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CCB911F7-20A7-7648-BEB9-7CF9EE851C4B}"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T23" i="1"/>
  <c r="BF24" i="1"/>
  <c r="BT24" i="1"/>
  <c r="BF25" i="1"/>
  <c r="BT25" i="1"/>
  <c r="BF26" i="1"/>
  <c r="BT26" i="1"/>
  <c r="BF27" i="1"/>
  <c r="BT27" i="1"/>
  <c r="BF28" i="1"/>
  <c r="BT28" i="1"/>
  <c r="BT29" i="1"/>
  <c r="BF30" i="1"/>
  <c r="BT30" i="1"/>
  <c r="BF31" i="1"/>
  <c r="BT31"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T192" i="1"/>
  <c r="BF193" i="1"/>
  <c r="BT193" i="1"/>
  <c r="BF194" i="1"/>
  <c r="BT194" i="1"/>
  <c r="BF195" i="1"/>
  <c r="BT195" i="1"/>
  <c r="BT196" i="1"/>
  <c r="BT197" i="1"/>
  <c r="BF198" i="1"/>
  <c r="BT198" i="1"/>
  <c r="BF199" i="1"/>
  <c r="BT199" i="1"/>
  <c r="BF200" i="1"/>
  <c r="BT200" i="1"/>
  <c r="BF201" i="1"/>
  <c r="BT201" i="1"/>
  <c r="BF202" i="1"/>
  <c r="BT202"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T307" i="1"/>
  <c r="BT308" i="1"/>
  <c r="BT309" i="1"/>
  <c r="BT310" i="1"/>
  <c r="BF311" i="1"/>
  <c r="BT311" i="1"/>
  <c r="BF312" i="1"/>
  <c r="BT312" i="1"/>
  <c r="BF313" i="1"/>
  <c r="BT313" i="1"/>
  <c r="BF314" i="1"/>
  <c r="BT314" i="1"/>
  <c r="BF315" i="1"/>
  <c r="BT315" i="1"/>
  <c r="BF316" i="1"/>
  <c r="BT316" i="1"/>
  <c r="BF317" i="1"/>
  <c r="BT317" i="1"/>
  <c r="BF318" i="1"/>
  <c r="BT318" i="1"/>
  <c r="BF319" i="1"/>
  <c r="BT319"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T336" i="1"/>
  <c r="BF337" i="1"/>
  <c r="BT337" i="1"/>
  <c r="BF338" i="1"/>
  <c r="BT338"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T488" i="1"/>
  <c r="BF489" i="1"/>
  <c r="BT489" i="1"/>
  <c r="BF490" i="1"/>
  <c r="BT490" i="1"/>
  <c r="BF491" i="1"/>
  <c r="BT491" i="1"/>
  <c r="BF492" i="1"/>
  <c r="BT492" i="1"/>
  <c r="BF493" i="1"/>
  <c r="BT493"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T557" i="1"/>
  <c r="BT558"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T676" i="1"/>
  <c r="BF677" i="1"/>
  <c r="BT677" i="1"/>
  <c r="BF678" i="1"/>
  <c r="BT678" i="1"/>
  <c r="BF679" i="1"/>
  <c r="BT679" i="1"/>
  <c r="BF680" i="1"/>
  <c r="BT680" i="1"/>
  <c r="BT681" i="1"/>
  <c r="BF682" i="1"/>
  <c r="BT682" i="1"/>
  <c r="BF683" i="1"/>
  <c r="BT683" i="1"/>
  <c r="BF684" i="1"/>
  <c r="BT684" i="1"/>
  <c r="BF685" i="1"/>
  <c r="BT685" i="1"/>
  <c r="BF686" i="1"/>
  <c r="BT686" i="1"/>
  <c r="BT687" i="1"/>
  <c r="BF688" i="1"/>
  <c r="BT688" i="1"/>
  <c r="BF689" i="1"/>
  <c r="BT689" i="1"/>
  <c r="BF690" i="1"/>
  <c r="BT690" i="1"/>
  <c r="BF691" i="1"/>
  <c r="BT691" i="1"/>
  <c r="BF692" i="1"/>
  <c r="BT692" i="1"/>
  <c r="BF693" i="1"/>
  <c r="BT693" i="1"/>
  <c r="BF694" i="1"/>
  <c r="BT694" i="1"/>
  <c r="BF695" i="1"/>
  <c r="BT695" i="1"/>
  <c r="BT696" i="1"/>
  <c r="BT697" i="1"/>
  <c r="BT698" i="1"/>
  <c r="BT699" i="1"/>
  <c r="BF700" i="1"/>
  <c r="BT700" i="1"/>
  <c r="BT701" i="1"/>
  <c r="BF702" i="1"/>
  <c r="BT702" i="1"/>
  <c r="BF703" i="1"/>
  <c r="BT703" i="1"/>
  <c r="BF704" i="1"/>
  <c r="BT704" i="1"/>
  <c r="BF705" i="1"/>
  <c r="BT705" i="1"/>
  <c r="BF706" i="1"/>
  <c r="BT706" i="1"/>
  <c r="BF707" i="1"/>
  <c r="BT707" i="1"/>
  <c r="BF708" i="1"/>
  <c r="BT708" i="1"/>
  <c r="BF709" i="1"/>
  <c r="BT709"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T939" i="1"/>
  <c r="BF940" i="1"/>
  <c r="BT940"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<sst xmlns="http://schemas.openxmlformats.org/spreadsheetml/2006/main" count="59596" uniqueCount="18480">
  <si>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</si>
  <si>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</si>
  <si>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</si>
  <si>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</si>
  <si>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</si>
  <si>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</si>
  <si>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</si>
  <si>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</si>
  <si>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</si>
  <si>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</si>
  <si>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</si>
  <si>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</si>
  <si>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</si>
  <si>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</si>
  <si>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</si>
  <si>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</si>
  <si>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</si>
  <si>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</si>
  <si>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</si>
  <si>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</si>
  <si>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</si>
  <si>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</si>
  <si>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</si>
  <si>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</si>
  <si>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</si>
  <si>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</si>
  <si>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</si>
  <si>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</si>
  <si>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</si>
  <si>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</si>
  <si>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</si>
  <si>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</si>
  <si>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</si>
  <si>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</si>
  <si>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</si>
  <si>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</si>
  <si>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</si>
  <si>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</si>
  <si>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</si>
  <si>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</si>
  <si>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</si>
  <si>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</si>
  <si>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</si>
  <si>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</si>
  <si>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</si>
  <si>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</si>
  <si>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</si>
  <si>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</si>
  <si>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</si>
  <si>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</si>
  <si>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</si>
  <si>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</si>
  <si>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</si>
  <si>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</si>
  <si>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</si>
  <si>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</si>
  <si>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</si>
  <si>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</si>
  <si>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</si>
  <si>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</si>
  <si>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</si>
  <si>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</si>
  <si>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</si>
  <si>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</si>
  <si>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</si>
  <si>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</si>
  <si>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</si>
  <si>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</si>
  <si>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</si>
  <si>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</si>
  <si>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</si>
  <si>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</si>
  <si>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</si>
  <si>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Roche, DM; Crosta, X; Renssen, H</t>
  </si>
  <si>
    <t/>
  </si>
  <si>
    <t>Roche, D. M.; Crosta, X.; Renssen, H.</t>
  </si>
  <si>
    <t>Evaluating Southern Ocean sea-ice for the Last Glacial Maximum and pre-industrial climates: PMIP-2 models and data evidence</t>
  </si>
  <si>
    <t>QUATERNARY SCIENCE REVIEWS</t>
  </si>
  <si>
    <t>English</t>
  </si>
  <si>
    <t>Article</t>
  </si>
  <si>
    <t>LGM; Sea ice; Southern Ocean; Reconstructions; Modeling</t>
  </si>
  <si>
    <t>COUPLED MODEL; OVERTURNING CIRCULATION; ANTARCTIC PENINSULA; HOLOCENE CLIMATE; SYSTEM MODEL; ATLANTIC; SIMULATION; SURFACE; RECONSTRUCTION; SENSITIVITY</t>
  </si>
  <si>
    <t>Sea ice is recognized as an important factor controlling climate conditions at high latitudes. It has a major impact in controlling the ocean to atmosphere exchanges (e.g. for CO2) as well as surface oceanic conditions and deep water formation in the high latitude oceans. Being at the interface of two major components of the climate system, sea ice is useful to evaluate and intercompare different climate models. We here analyze the results of eight coupled climate models (from which seven are from the PMIP-2 database) against available reconstructions for winter and summer sea ice extent around Antarctica. To evaluate the ability of models in representing different climate states, we compare their results for both the pre-industrial and the Last Glacial Maximum (LGM). We find that models generally have identical seasonal ranges for the two climate states analyzed, which is not supported by data inferences. Indeed, data indicate that the LGM seasonality was enhanced compared to the pre-industrial. The shape of the sea ice distribution is also different in models (circular around the Antarctic continent) and in reconstructions (oval-shaped distribution; similar to modern sea ice distribution). We show that models underestimating the sea ice extent for the pre-industrial are also underestimating the Last Glacial Maximum extent. Our results thus point to difficulties for climate models in representing the sea-ice dynamics in the Southern Ocean. (C) 2012 Elsevier Ltd. All rights reserved.</t>
  </si>
  <si>
    <t>[Roche, D. M.] UVSQ, CNRS INSU, CEA, LSCE,CE Saclay, F-91190 Gif Sur Yvette, France; [Roche, D. M.; Renssen, H.] Vrije Univ Amsterdam, Fac Earth &amp; Life Sci, Amsterdam, Netherlands; [Crosta, X.] Univ Bordeaux 1, F-33405 Talence, France</t>
  </si>
  <si>
    <t>Universite Paris Cite; Centre National de la Recherche Scientifique (CNRS); CNRS - National Institute for Earth Sciences &amp; Astronomy (INSU); CEA; Universite Paris Saclay; Vrije Universiteit Amsterdam; Universite de Bordeaux</t>
  </si>
  <si>
    <t>Roche, DM (corresponding author), UVSQ, CNRS INSU, CEA, LSCE,CE Saclay, F-91190 Gif Sur Yvette, France.</t>
  </si>
  <si>
    <t>Didier.Roche@lsce.ipsl.fr</t>
  </si>
  <si>
    <t>Roche, Didier M./C-9875-2010</t>
  </si>
  <si>
    <t>Roche, Didier M./0000-0001-6272-9428</t>
  </si>
  <si>
    <t>PERGAMON-ELSEVIER SCIENCE LTD</t>
  </si>
  <si>
    <t>OXFORD</t>
  </si>
  <si>
    <t>THE BOULEVARD, LANGFORD LANE, KIDLINGTON, OXFORD OX5 1GB, ENGLAND</t>
  </si>
  <si>
    <t>0277-3791</t>
  </si>
  <si>
    <t>QUATERNARY SCI REV</t>
  </si>
  <si>
    <t>Quat. Sci. Rev.</t>
  </si>
  <si>
    <t>NOV 21</t>
  </si>
  <si>
    <t>10.1016/j.quascirev.2012.09.020</t>
  </si>
  <si>
    <t>Geography, Physical; Geosciences, Multidisciplinary</t>
  </si>
  <si>
    <t>Science Citation Index Expanded (SCI-EXPANDED)</t>
  </si>
  <si>
    <t>Physical Geography; Geology</t>
  </si>
  <si>
    <t>044ZZ</t>
  </si>
  <si>
    <t>2024-04-21</t>
  </si>
  <si>
    <t>WOS:000311665000007</t>
  </si>
  <si>
    <t>Shprits, YY; Menietti, JD; Gu, X; Kim, KC; Horne, RB</t>
  </si>
  <si>
    <t>Shprits, Y. Y.; Menietti, J. D.; Gu, X.; Kim, K. C.; Horne, R. B.</t>
  </si>
  <si>
    <t>Gyroresonant interactions between the radiation belt electrons and whistler mode chorus waves in the radiation environments of Earth, Jupiter, and Saturn: A comparative study</t>
  </si>
  <si>
    <t>JOURNAL OF GEOPHYSICAL RESEARCH-SPACE PHYSICS</t>
  </si>
  <si>
    <t>QUASI-LINEAR DIFFUSION; RELATIVISTIC ELECTRONS; IO TORUS; JOVIAN MAGNETOSPHERE; PITCH-ANGLE; ACCELERATION; PLASMA; INTERCHANGE; COEFFICIENTS; SATELLITES</t>
  </si>
  <si>
    <t>In the current study we perform a comparative analysis of the gyroresonant interactions of whistler mode waves with radiation belt electrons in the magnetospheres of Earth, Jupiter, and Saturn. Our primary goal is to evaluate the effect of resonant wave-particle interactions with chorus waves and determine whether chorus waves can produce net acceleration or net loss of radiation belt electrons on the outer planets. The ratio of plasma frequency to gyrofrequency is a key parameter that determines the efficiency of the pitch angle and energy resonant scattering. We present a comparison of statistical maps of the ratio of plasma frequency to gyrofrequency for Jupiter, Saturn and Earth in terms of radial distance and latitude. Preliminary maps of the plasma frequency to gyrofrequency ratio and 2D simulations of pitch angle and energy diffusion using the Versatile Electron Radiation Belt (VERB) indicate that the Kronian plasma environment is not likely to support as efficient gyroresonant interactions with whistler mode chorus waves as in the Terrestrial or Jovian environments. Inefficiency of the local acceleration by whistler mode waves in the Kronian environment raises important questions about the origin of the relativistic electrons in the Saturn's radiation belts. Two-dimensional diffusive simulations of local acceleration and loss to the atmosphere using the VERB code confirm previous suggestions that the acceleration of electrons may be very efficient in the outer radiation belt of Jupiter. However, sensitivity simulations also show that the result of the competition between acceleration and loss in the Jupiter's magnetosphere strongly depends on the currently unknown latitudinal distribution of chorus waves that will be provided by the upcoming Juno mission. If waves extend to high latitudes, it is likely that the loss rates due to whistler mode waves will exceed energization rates.</t>
  </si>
  <si>
    <t>[Shprits, Y. Y.; Gu, X.] Univ Calif Los Angeles, Inst Geophys &amp; Planetary Phys, Los Angeles, CA 90095 USA; [Shprits, Y. Y.; Gu, X.] Univ Calif Los Angeles, Dept Earth &amp; Space Sci, Los Angeles, CA 90095 USA; [Shprits, Y. Y.] Skolkovo Inst Sci &amp; Technol, Moscow, Russia; [Menietti, J. D.] Univ Iowa, Dept Phys &amp; Astron, Iowa City, IA 52242 USA; [Kim, K. C.] Korea Astron &amp; Space Sci Inst, Taejon, South Korea; [Horne, R. B.] British Antarctic Survey, Cambridge CB3 0ET, England</t>
  </si>
  <si>
    <t>University of California System; University of California Los Angeles; University of California System; University of California Los Angeles; Skolkovo Institute of Science &amp; Technology; University of Iowa; Korea Astronomy &amp; Space Science Institute (KASI); UK Research &amp; Innovation (UKRI); Natural Environment Research Council (NERC); NERC British Antarctic Survey</t>
  </si>
  <si>
    <t>Shprits, YY (corresponding author), Univ Calif Los Angeles, Inst Geophys &amp; Planetary Phys, 405 Hilgard Ave,Box 951565,7127 Math Sci Bldg, Los Angeles, CA 90095 USA.</t>
  </si>
  <si>
    <t>yshprits@atmos.ucla.edu</t>
  </si>
  <si>
    <t>Horne, Richard B/U-3764-2019; Shprits, Yuri Y/I-2174-2014</t>
  </si>
  <si>
    <t>Horne, Richard B/0000-0002-0412-6407; Shprits, Yuri/0000-0002-9625-0834</t>
  </si>
  <si>
    <t>NASA [NNX11AM36G, NNX09AF51G, NNX10AK996]; Lab Fees Research Program; Natural Environment Research Council [bas0100023] Funding Source: researchfish; Science and Technology Facilities Council [ST/I001727/1] Funding Source: researchfish; NASA [142393, NNX11AM36G] Funding Source: Federal RePORTER; NERC [bas0100023] Funding Source: UKRI; STFC [ST/I001727/1] Funding Source: UKRI</t>
  </si>
  <si>
    <t>NASA(National Aeronautics &amp; Space Administration (NASA)); Lab Fees Research Program; Natural Environment Research Council(UK Research &amp; Innovation (UKRI)Natural Environment Research Council (NERC)); Science and Technology Facilities Council(UK Research &amp; Innovation (UKRI)Science &amp; Technology Facilities Council (STFC)); NASA(National Aeronautics &amp; Space Administration (NASA)); NERC(UK Research &amp; Innovation (UKRI)Natural Environment Research Council (NERC)); STFC(UK Research &amp; Innovation (UKRI)Science &amp; Technology Facilities Council (STFC))</t>
  </si>
  <si>
    <t>This study was supported by the NASA grant was primarily supported by NNX11AM36G. It was also supported by the NASA grant NNX09AF51G and NNX10AK996 and by the Lab Fees Research Program.</t>
  </si>
  <si>
    <t>AMER GEOPHYSICAL UNION</t>
  </si>
  <si>
    <t>WASHINGTON</t>
  </si>
  <si>
    <t>2000 FLORIDA AVE NW, WASHINGTON, DC 20009 USA</t>
  </si>
  <si>
    <t>2169-9380</t>
  </si>
  <si>
    <t>2169-9402</t>
  </si>
  <si>
    <t>J GEOPHYS RES-SPACE</t>
  </si>
  <si>
    <t>J. Geophys. Res-Space Phys.</t>
  </si>
  <si>
    <t>A11216</t>
  </si>
  <si>
    <t>10.1029/2012JA018031</t>
  </si>
  <si>
    <t>Astronomy &amp; Astrophysics</t>
  </si>
  <si>
    <t>043SD</t>
  </si>
  <si>
    <t>Bronze, Green Accepted</t>
  </si>
  <si>
    <t>WOS:000311567000002</t>
  </si>
  <si>
    <t>Leese, F; Brand, P; Rozenberg, A; Mayer, C; Agrawal, S; Dambach, J; Dietz, L; Doemel, JS; Goodall-Copstake, WP; Held, C; Jackson, JA; Lampert, KP; Linse, K; Macher, JN; Nolzen, J; Raupach, MJ; Rivera, NT; Schubart, CD; Striewski, S; Tollrian, R; Sands, CJ</t>
  </si>
  <si>
    <t>Leese, Florian; Brand, Philipp; Rozenberg, Andrey; Mayer, Christoph; Agrawal, Shobhit; Dambach, Johannes; Dietz, Lars; Doemel, Jana S.; Goodall-Copstake, William P.; Held, Christoph; Jackson, Jennifer A.; Lampert, Kathrin P.; Linse, Katrin; Macher, Jan N.; Nolzen, Jennifer; Raupach, Michael J.; Rivera, Nicole T.; Schubart, Christoph D.; Striewski, Sebastian; Tollrian, Ralph; Sands, Chester J.</t>
  </si>
  <si>
    <t>Exploring Pandora's Box: Potential and Pitfalls of Low Coverage Genome Surveys for Evolutionary Biology</t>
  </si>
  <si>
    <t>PLOS ONE</t>
  </si>
  <si>
    <t>SPOT SYNDROME VIRUS; MITOCHONDRIAL GENOME; MICROSATELLITE DEVELOPMENT; READ ALIGNMENT; GENERATION; DNA; MARKERS; BLAST; MULTILOCUS; DISCOVERY</t>
  </si>
  <si>
    <t>High throughput sequencing technologies are revolutionizing genetic research. With this rise of the machines'', genomic sequences can be obtained even for unknown genomes within a short time and for reasonable costs. This has enabled evolutionary biologists studying genetically unexplored species to identify molecular markers or genomic regions of interest (e. g. micro- and minisatellites, mitochondrial and nuclear genes) by sequencing only a fraction of the genome. However, when using such datasets from non-model species, it is possible that DNA from non-target contaminant species such as bacteria, viruses, fungi, or other eukaryotic organisms may complicate the interpretation of the results. In this study we analysed 14 genomic pyrosequencing libraries of aquatic non-model taxa from four major evolutionary lineages. We quantified the amount of suitable micro-and minisatellites, mitochondrial genomes, known nuclear genes and transposable elements and searched for contamination from various sources using bioinformatic approaches. Our results show that in all sequence libraries with estimated coverage of about 0.02-25%, many appropriate micro-and minisatellites, mitochondrial gene sequences and nuclear genes from different KEGG (Kyoto Encyclopedia of Genes and Genomes) pathways could be identified and characterized. These can serve as markers for phylogenetic and population genetic analyses. A central finding of our study is that several genomic libraries suffered from different biases owing to non-target DNA or mobile elements. In particular, viruses, bacteria or eukaryote endosymbionts contributed significantly (up to 10%) to some of the libraries analysed. If not identified as such, genetic markers developed from high-throughput sequencing data for non-model organisms may bias evolutionary studies or fail completely in experimental tests. In conclusion, our study demonstrates the enormous potential of low-coverage genome survey sequences and suggests bioinformatic analysis workflows. The results also advise a more sophisticated filtering for problematic sequences and non-target genome sequences prior to developing markers.</t>
  </si>
  <si>
    <t>[Leese, Florian; Brand, Philipp; Rozenberg, Andrey; Dietz, Lars; Doemel, Jana S.; Lampert, Kathrin P.; Macher, Jan N.; Nolzen, Jennifer; Striewski, Sebastian; Tollrian, Ralph] Ruhr Univ Bochum, Dept Anim Ecol Evolut &amp; Biodivers, Bochum, Germany; [Leese, Florian; Goodall-Copstake, William P.; Jackson, Jennifer A.; Linse, Katrin; Sands, Chester J.] British Antarctic Survey, Cambridge CB3 0ET, England; [Agrawal, Shobhit; Held, Christoph] Alfred Wegener Inst Polar &amp; Marine Res, Bremerhaven, Germany; [Mayer, Christoph; Dambach, Johannes] Zool Forsch Museum Alexander Koenig, Bonn, Germany; [Raupach, Michael J.] German Ctr Marine Biodivers Res, Mol Taxon Grp, Wilhelmshaven, Germany; [Rivera, Nicole T.; Schubart, Christoph D.] Univ Regensburg, Dept Evolut Behav &amp; Genet, Regensburg, Germany</t>
  </si>
  <si>
    <t>Ruhr University Bochum; UK Research &amp; Innovation (UKRI); Natural Environment Research Council (NERC); NERC British Antarctic Survey; Helmholtz Association; Alfred Wegener Institute, Helmholtz Centre for Polar &amp; Marine Research; Zoologisches Forschungsmuseum Alexander Koenig (ZFMK); University of Regensburg</t>
  </si>
  <si>
    <t>Leese, F (corresponding author), Ruhr Univ Bochum, Dept Anim Ecol Evolut &amp; Biodivers, Univ Str 150, Bochum, Germany.</t>
  </si>
  <si>
    <t>florian.leese@rub.de</t>
  </si>
  <si>
    <t>Raupach, Michael/G-7072-2012; Goodall-Copestake, William/CAF-6866-2022; Brand, Philipp/H-4473-2019; Leese, Florian/D-4277-2012; Mayer, Christoph/AAD-6696-2019; Raupach, Michael J./AAF-7566-2020; Jackson, Jennifer A/E-7997-2013</t>
  </si>
  <si>
    <t>Brand, Philipp/0000-0003-4287-4753; Leese, Florian/0000-0002-5465-913X; Mayer, Christoph/0000-0001-5104-6621; Raupach, Michael J./0000-0001-8299-6697; Jackson, Jennifer/0000-0003-4158-1924; Sands, Chester/0000-0003-1028-0328; Rozenberg, Andrey/0000-0001-9534-2297; Linse, Katrin/0000-0003-3477-3047</t>
  </si>
  <si>
    <t>German Research Foundation (DFG) [LE 2323/2, MA 3684/3, (SPP) 1158]; European Science Foundation; Antarctic Science Bursary grant; DFG [1460/3, 1460/8, RA 1688/2]; Crustacean Society; Consortium Grant [NE/DO1249X/1]; British Antarctic Survey Polar Science for Planet Earth Programme; Natural Environment Research Council; NERC [bas0100025, bas0100026] Funding Source: UKRI; Natural Environment Research Council [bas0100026, bas0100025] Funding Source: researchfish</t>
  </si>
  <si>
    <t>German Research Foundation (DFG)(German Research Foundation (DFG)); European Science Foundation(European Science Foundation (ESF)); Antarctic Science Bursary grant; DFG(German Research Foundation (DFG)); Crustacean Society; Consortium Grant; British Antarctic Survey Polar Science for Planet Earth Programme;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</si>
  <si>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FL and CM were supported by German Research Foundation (DFG) grants LE 2323/2 and MA 3684/3 within the DFG priority programme (SPP) 1158. FL was furthermore supported by a European Science Foundation Frontiers of Speciation Research exchange grant to Cambridge, UK. CJS was supported by an Antarctic Science Bursary grant. CDS and NTR were supported by DFG grants 1460/3, 1460/8, by Jurgen Heinze, and by a student scholarship of The Crustacean Society to NTR. KL and JJ were supported by Consortium Grant (NE/DO1249X/1) and the British Antarctic Survey Polar Science for Planet Earth Programme both funded by The Natural Environment Research Council. JD was supported by DFG grant RA 1688/2. SS was supported by a scheme to support specific activities of doctoral students of the rectorate of the Ruhr University Bochum. 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</si>
  <si>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</si>
  <si>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</si>
  <si>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</si>
  <si>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</si>
  <si>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</si>
  <si>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e49202</t>
  </si>
  <si>
    <t>10.1371/journal.pone.0049202</t>
  </si>
  <si>
    <t>Multidisciplinary Sciences</t>
  </si>
  <si>
    <t>Science &amp; Technology - Other Topics</t>
  </si>
  <si>
    <t>047ER</t>
  </si>
  <si>
    <t>Green Submitted, Green Published, gold, Green Accepted</t>
  </si>
  <si>
    <t>WOS:000311821000035</t>
  </si>
  <si>
    <t>Menviel, L; Joos, F; Ritz, SP</t>
  </si>
  <si>
    <t>Menviel, L.; Joos, F.; Ritz, S. P.</t>
  </si>
  <si>
    <t>Simulating atmospheric CO2, 13C and the marine carbon cycle during the Last Glacial-Interglacial cycle: possible role for a deepening of the mean remineralization depth and an increase in the oceanic nutrient inventory</t>
  </si>
  <si>
    <t>Glacial-Interglacial cycles; Atmospheric CO2; Marine carbon cycle; Earth system model of intermediate complexity</t>
  </si>
  <si>
    <t>ANTARCTIC ICE-SHEET; ATLANTIC DEEP-WATER; STABLE-ISOTOPE CONSTRAINTS; SEA-SURFACE SALINITY; SOUTHERN-OCEAN; NORTH-ATLANTIC; THERMOHALINE CIRCULATION; CACO3 COMPENSATION; ORGANIC-MATTER; TIME SCALES</t>
  </si>
  <si>
    <t>Using the Earth system model of intermediate complexity Bern3D, we transiently simulate changes in atmospheric CO2 and climate over the Last Glacial-Interglacial cycle. A third of the glacial-interglacial atmospheric CO2 change can be explained by relatively well-established forcings such as temperature, salinity, a shallowing and weakening of the Atlantic Meridional Overturning Circulation, iron fertilization of the marine biosphere by aeolian dust input and land carbon inventory changes. A 10% increase in the oceanic phosphate inventory decreases atmospheric CO2 by 50 ppmv during the glaciation, however due to the long residence time of phosphorus in the ocean and the long time scales of ocean-sediment interactions it only contributes to a 5 ppmv increase between 20 and 0 ka B.P. The enhanced surface nutrient utilisation simulated as a result of a greater oceanic phosphate inventory leads to a good representation of glacial export production and delta(CO2)-C-13 changes, lending support to this hypothesis. A deepening of particulate organic matter remineralization can effectively lower pCO(2) during the glaciation, however it leads to a significant increase in deep [CO32-] and to changes in export production in poor agreement with paleo-proxies. Finally the parametrization of brine rejection around Antarctica could lead to 10-20 ppmv change in pCO(2), but its timing casts doubt onto its effectiveness in forcing CO2 variations over the Last Glacial-Interglacial cycle. The results highlight the importance of a transient, 3-dimensional setting for the interpretation of proxy records. (C) 2012 Elsevier Ltd. All rights reserved.</t>
  </si>
  <si>
    <t>[Menviel, L.] Univ New S Wales, Ctr Excellence, Climate Change Res Ctr, Sydney, NSW, Australia; [Menviel, L.; Joos, F.; Ritz, S. P.] Univ Bern, Oeschger Ctr Climate Change Res, Bern, Switzerland</t>
  </si>
  <si>
    <t>University of New South Wales Sydney; University of Bern</t>
  </si>
  <si>
    <t>Menviel, L (corresponding author), Univ New S Wales, Ctr Excellence, Climate Change Res Ctr, Sydney, NSW, Australia.</t>
  </si>
  <si>
    <t>l.menviel@unsw.edu.au</t>
  </si>
  <si>
    <t>Joos, Fortunat/B-4118-2018; Menviel, Laurie/D-6902-2013; Menviel, Laurie/O-7833-2019</t>
  </si>
  <si>
    <t>Joos, Fortunat/0000-0002-9483-6030; Menviel, Laurie/0000-0002-5068-1591;</t>
  </si>
  <si>
    <t>Swiss National Science Foundation; European Commission [243908, 264879]; Oeschger Center for Climate Change Research</t>
  </si>
  <si>
    <t>Swiss National Science Foundation(Swiss National Science Foundation (SNSF)); European Commission(European Union (EU)European Commission Joint Research Centre); Oeschger Center for Climate Change Research</t>
  </si>
  <si>
    <t>We thank H. Fischer as well as two anonymous reviewers and the Editor, Claude Hillaire-Marcel, for their helpful comments. This study received support by the Swiss National Science Foundation and by the European Commission through the FP7 projects Past4-Future (grant no. 243908) and CARBOCHANGE (grant no. 264879). L Menviel was supported by funding from the Oeschger Center for Climate Change Research and is now a research associate at UNSW.</t>
  </si>
  <si>
    <t>10.1016/j.quascirev.2012.09.012</t>
  </si>
  <si>
    <t>WOS:000311665000004</t>
  </si>
  <si>
    <t>Dybkjær, K; King, C; Sheldon, E</t>
  </si>
  <si>
    <t>Dybkjaer, Karen; King, Chris; Sheldon, Emma</t>
  </si>
  <si>
    <t>Identification and characterisation of the Oligocene-Miocene boundary (base Neogene) in the eastern North Sea Basin - based on dinocyst stratigraphy, micropalaeontology and δ13C-isotope data</t>
  </si>
  <si>
    <t>PALAEOGEOGRAPHY PALAEOCLIMATOLOGY PALAEOECOLOGY</t>
  </si>
  <si>
    <t>North Sea Basin; Chattian; Aquitanian; Mi-1 glaciation event; Frida-1; Palynology; Micropalaeontology; delta C-13-isotopes</t>
  </si>
  <si>
    <t>ORBITALLY-INDUCED OSCILLATIONS; GLOBAL STRATOTYPE SECTION; ANTARCTIC ICE-SHEET; ASTRONOMICAL CALIBRATION; DINOFLAGELLATE CYSTS; UPPERMOST OLIGOCENE; POINT GSSP; BIOSTRATIGRAPHY; TERTIARY; ISOTOPE</t>
  </si>
  <si>
    <t>For the first time a combined palynological and delta C-13-isotope study has identified the Oligocene-Miocene boundary - and thus the base of the Neogene - within the North Sea Basin. The type section, the Lemme-Carrosio section in northern Italy, is correlated with the Frida-1 well in the eastern (Danish) part of the North Sea Basin using a combination of data from a previous dinocyst stratigraphic study and new delta C-13-isotope data. The results show that the Oligocene-Miocene boundary is located at a depth of 1440 m in the Frida-1 well. The Frida-1 delta C-13-isotope curve further reflects the Mi-1 glaciation event also recorded in the Lemme-Carrosio section. The dinocyst events bracketing the boundary in Frida-1 are; the last occurrence (LO) of Distatodinium biffii at 1630 m, below the boundary, the LO of Chiropteridium spp. at 1370 m and first occurrence (FO) of Ectosphaeropsis burdigalensis at 1330 m, both above the boundary. An influx of Deflandrea phosphoritica is found in an interval immediately below the boundary (1532-1490 m), while the genus Homotryblium occurs abundantly in a broader interval (1650-1330 m) encompassing the boundary. Hitherto unpublished data combined with new data provide a series of stratigraphically important nanno- and micropalaeontological events that frame/characterise the Oligocene-Miocene boundary within the North Sea Basin; an almost monospecific assemblage of Reticulofenestra bisecta at 1630 m, the LO of Elphidium subnodosum at 1625 m, the LO of Aulacodiscus insignis quadrata (Diatom sp. 3 of King, 1983) at 1610 m, the LO of Karreriella seigliei at 1580 m and the LO of Pararotalia canui at 1570 m, all below the boundary, and the FO of Aulacodiscus aemulans (Diatom sp. 5 of King, 1983) at 1410 m and the LO of Aulacodiscus aemulans at 1250 m, both above the boundary. The dinocyst, nanno- and micropalaeontological studies thus provide a series of bioevents and abundance variations which can be used to locate and to correlate the Oligocene-Miocene boundary within the eastern North Sea Basin more precisely than was previously possible. (C) 2012 Elsevier B.V. All rights reserved.</t>
  </si>
  <si>
    <t>[Dybkjaer, Karen; Sheldon, Emma] Geol Survey Denmark &amp; Greenland GEUS, DK-1350 Copenhagen K, Denmark</t>
  </si>
  <si>
    <t>Geological Survey Of Denmark &amp; Greenland</t>
  </si>
  <si>
    <t>Dybkjær, K (corresponding author), Geol Survey Denmark &amp; Greenland GEUS, Oster Voldgade 10, DK-1350 Copenhagen K, Denmark.</t>
  </si>
  <si>
    <t>kd@geus.dk</t>
  </si>
  <si>
    <t>Dybkjær, Karen/G-5223-2018; Sheldon, Emma/H-5281-2018</t>
  </si>
  <si>
    <t>Sheldon, Emma/0000-0003-4353-8241</t>
  </si>
  <si>
    <t>ELSEVIER</t>
  </si>
  <si>
    <t>AMSTERDAM</t>
  </si>
  <si>
    <t>RADARWEG 29, 1043 NX AMSTERDAM, NETHERLANDS</t>
  </si>
  <si>
    <t>0031-0182</t>
  </si>
  <si>
    <t>1872-616X</t>
  </si>
  <si>
    <t>PALAEOGEOGR PALAEOCL</t>
  </si>
  <si>
    <t>Paleogeogr. Paleoclimatol. Paleoecol.</t>
  </si>
  <si>
    <t>NOV 20</t>
  </si>
  <si>
    <t>10.1016/j.palaeo.2012.08.007</t>
  </si>
  <si>
    <t>Geography, Physical; Geosciences, Multidisciplinary; Paleontology</t>
  </si>
  <si>
    <t>Physical Geography; Geology; Paleontology</t>
  </si>
  <si>
    <t>036IW</t>
  </si>
  <si>
    <t>WOS:000311020600002</t>
  </si>
  <si>
    <t>Slater, BJ; McLoughlin, S; Hilton, J</t>
  </si>
  <si>
    <t>Slater, Ben J.; McLoughlin, Stephen; Hilton, Jason</t>
  </si>
  <si>
    <t>Animal-plant interactions in a Middle Permian permineralised peat of the Bainmedart Coal Measures, Prince Charles Mountains, Antarctica</t>
  </si>
  <si>
    <t>Plant-animal interaction; Coprolite; Vertebraria; Ecosystem; Antarctica; Gondwana; Detritivory; Sporivory; Glossopteris; Component community</t>
  </si>
  <si>
    <t>TRACE FOSSILS; ARTHROPOD INTERACTIONS; REVISED STRATIGRAPHY; INSECT; COPROLITES; LAND; ASSOCIATIONS; PATTERNS; FOOD; RECONSTRUCTIONS</t>
  </si>
  <si>
    <t>Evidence for invertebrate feeding on glossopterid gymnosperms is documented from Middle Permian silicified peats of the Prince Charles Mountains, Antarctica, in the form of coprolites occurring both free in the peat matrix and clustered within excavations in roots, aerial wood and leaves. Observations of coprolites in thin-sections of the peats and from scanning electron microscopy of examples extracted via bulk maceration reveal nine morphotypes distinguished by size, shape, surface texture and contents. These include coprolites with coarse plant debris, spirally ornamented coprolites, coprolites containing spore/pollen remains and fern sporangia, coprolites within Glossopteris leaves, an ellipsoidal morphotype within a fern sporangium, large isolated coprolites between matted leaves, clustered forms filling galleries inside Vertebraria roots and Australoxylon wood, forms with coarse indeterminate constituents and others with fungal contents. Other faunal evidence is limited to indeterminate arthropod exoskeleton fragments. Collectively, the coprolites within the permineralised peat from the Prince Charles Mountains document the presence of diverse feeding behaviours including stem feeding, sporangial feeding, palynivory, root feeding and mycophagy. The first evidence of invertebrate feeding traces in Vertebraria (glossopterid) roots is identified. These findings indicate that herbivory by invertebrates in the high-latitude Permian forest-mire ecosystems of Antarctica was more intense and diverse than previous studies have reported, and affected all parts of the Glossopteris plant, together with components of associated herbaceous taxa. Crown Copyright (C) 2012 Published by Elsevier B.V. All rights reserved.</t>
  </si>
  <si>
    <t>[Slater, Ben J.; Hilton, Jason] Univ Birmingham, Sch Geog Earth &amp; Environm Sci, Birmingham, W Midlands, England; [McLoughlin, Stephen] Swedish Museum Nat Hist, Dept Paleobot, S-10405 Stockholm, Sweden</t>
  </si>
  <si>
    <t>University of Birmingham; Swedish Museum of Natural History</t>
  </si>
  <si>
    <t>Slater, BJ (corresponding author), Univ Birmingham, Sch Geog Earth &amp; Environm Sci, Birmingham, W Midlands, England.</t>
  </si>
  <si>
    <t>bxs574@bham.ac.uk</t>
  </si>
  <si>
    <t>Hilton, Jason/F-5830-2012; Hilton, Jason/JCE-0756-2023</t>
  </si>
  <si>
    <t>Hilton, Jason/0000-0003-0286-8236; Hilton, Jason/0000-0003-0286-8236; Slater, Ben/0000-0002-5774-9114</t>
  </si>
  <si>
    <t>Natural Environment Research Council [NE/H5250381/1]; EU [SE-TAF-4827]; Australian Antarctic Division via Antarctic Science Advisory Council [509]; Swedish Research Council (VR); Australian Research Council (Linkage) grants</t>
  </si>
  <si>
    <t>Natural Environment Research Council(UK Research &amp; Innovation (UKRI)Natural Environment Research Council (NERC)); EU(European Union (EU)); Australian Antarctic Division via Antarctic Science Advisory Council; Swedish Research Council (VR)(Swedish Research Council); Australian Research Council (Linkage) grants(Australian Research Council)</t>
  </si>
  <si>
    <t>This research forms part of a doctoral investigation by BJS supported by the Natural Environment Research Council (NE/H5250381/1 to BJS) and the Synthesys programme of the EU to support research on museum collections (SE-TAF-4827 to BJS). The Australian Antarctic Division provided financial and logistical support for collection of the specimens via Antarctic Science Advisory Council Project 509. Professors D. Cantrill and A. Drinnan helped collect material in the field on two Antarctic expeditions in the early 1990s. SM acknowledges funding support from the Swedish Research Council (VR) and the Australian Research Council (Linkage) grants. Special thanks to Conrad Labandeira for helpful comments and suggestions during the review process.</t>
  </si>
  <si>
    <t>10.1016/j.palaeo.2012.08.018</t>
  </si>
  <si>
    <t>hybrid, Green Published</t>
  </si>
  <si>
    <t>WOS:000311020600010</t>
  </si>
  <si>
    <t>Dickinson, WW; Schiller, M; Ditchburn, BG; Graham, IJ; Zondervan, A</t>
  </si>
  <si>
    <t>Dickinson, Warren W.; Schiller, Martin; Ditchburn, Bob G.; Graham, Ian J.; Zondervan, Albert</t>
  </si>
  <si>
    <t>Meteoric Be-10 from Sirius Group suggests high elevation McMurdo Dry Valleys permanently frozen since 6 Ma</t>
  </si>
  <si>
    <t>EARTH AND PLANETARY SCIENCE LETTERS</t>
  </si>
  <si>
    <t>meteoric Be-10; illuviated clay; translocated clay; Sirius Group; Late Miocene; Antarctica</t>
  </si>
  <si>
    <t>TABLE-MOUNTAIN; EXPOSURE AGES; SOILS; AL-26</t>
  </si>
  <si>
    <t>A long-standing debate concerning Neogene Antarctic climate in the McMurdo Dry Valleys relies largely on evidence from landscape evolution, glacial modeling and stratigraphy. We provide new evidence from meteoric Be-10 for the onset of frozen, hyper-arid conditions on a high elevation (1840 m) interfluve at Table Mountain. A simple decay model for the co-occurrence of meteoric Be-10 and illuviated clay in cores of ice-cemented glacial sediments indicates that the clays were actively migrating down from the surface in a warm climate until the system froze between 6 and 9 Ma. Although this age range may be sensitive to possible interference by in situ produced Be-10, the implied minimum age of 6 Ma for the Sirius Group indicates that the Dry Valleys were permanently frozen down to this elevation at this time. The model also suggests denudation rates of 1-6 cm Myr(-1) since freezing. These data provide an independent test of glacial-stratigraphic evidence used to determine Antarctic paleoclimate. (C) 2012 Elsevier B.V. All rights reserved.</t>
  </si>
  <si>
    <t>[Dickinson, Warren W.] Victoria Univ Wellington, Antarctic Res Ctr, Wellington, New Zealand; [Schiller, Martin] Univ Copenhagen, Ctr Star &amp; Planet Format, DK-1350 Copenhagen, Denmark; [Ditchburn, Bob G.; Graham, Ian J.; Zondervan, Albert] GNS Sci, Natl Isotope Ctr, Lower Hutt 5010, New Zealand</t>
  </si>
  <si>
    <t>Victoria University Wellington; University of Copenhagen; GNS Science - New Zealand</t>
  </si>
  <si>
    <t>Dickinson, WW (corresponding author), Victoria Univ Wellington, Antarctic Res Ctr, Wellington, New Zealand.</t>
  </si>
  <si>
    <t>Warren.Dickinson@vuw.ac.nz</t>
  </si>
  <si>
    <t>Schiller, Martin/E-8054-2010</t>
  </si>
  <si>
    <t>Schiller, Martin/0000-0003-4149-0627</t>
  </si>
  <si>
    <t>U.S. NSF; Dutch NSF; Victoria University</t>
  </si>
  <si>
    <t>U.S. NSF(National Science Foundation (NSF)); Dutch NSF; Victoria University</t>
  </si>
  <si>
    <t>We thank A. Pyne, T. Kingan, G. Kingan and Webster Drilling NZ for core acquisition. S. Bush provided thin sections. Comments from R. McKay, P. Barrett, P. Bierman and K. Norton were especially helpful. Antarctica NZ provided logistical support with funding from U.S. NSF, Dutch NSF, and Victoria University.</t>
  </si>
  <si>
    <t>0012-821X</t>
  </si>
  <si>
    <t>1385-013X</t>
  </si>
  <si>
    <t>EARTH PLANET SC LETT</t>
  </si>
  <si>
    <t>Earth Planet. Sci. Lett.</t>
  </si>
  <si>
    <t>NOV 15</t>
  </si>
  <si>
    <t>10.1016/j.epsl.2012.09.003</t>
  </si>
  <si>
    <t>Geochemistry &amp; Geophysics</t>
  </si>
  <si>
    <t>078DQ</t>
  </si>
  <si>
    <t>WOS:000314079000002</t>
  </si>
  <si>
    <t>Albalat, E; Telouk, P; Albarède, F</t>
  </si>
  <si>
    <t>Albalat, Emmanuelle; Telouk, Philippe; Albarede, Francis</t>
  </si>
  <si>
    <t>Er and Yb isotope fractionation in planetary materials</t>
  </si>
  <si>
    <t>rare-earth elements; isotope; moon; terrestrial mantle; redox; neutron capture</t>
  </si>
  <si>
    <t>RARE-EARTH-ELEMENTS; CHEMICAL-COMPOSITION; ATOMIC-WEIGHT; EARLY HISTORY; BENI-BOUSERA; GARNET; HF; SAMPLES; CONDENSATION; ORIGIN</t>
  </si>
  <si>
    <t>Terrestrial planets are depleted in volatile elements relative to solar abundances. Little is known, however, about volatility at the high temperatures relevant to asteroidal collisions and to the giant lunar impact. Although refractory rare-earth elements have overall similar crystallochemical properties, some differ in their temperatures of condensation from the nebular gas. This is the case for Yb, which condenses at similar to 1490 K and in the vapor is mostly in elemental form. By contrast, Er, largely present as ErO, condenses at similar to 1660 K. We analyzed the Er and Yb isotopic compositions in 33 terrestrial basalts, garnets, different classes of chondrites and achondrites, and lunar samples by MC-ICP-MS. The range of mass-dependent isotope fractionation is larger for Yb (0.43 parts per thousand per amu) than Er (0.23 parts per thousand) isotopes. For terrestrial rocks, a positive correlation between (delta Yb and La/Yb suggests that the isotopic differences between Er and Yb can be accounted for by the presence of small fractions of Yb2+. Yb is isotopically heavy in kimberlite and light in garnets. Ytterbium behaves similarly to Fe, with Yb3+ being more incompatible than the much less abundant Yb2+. In addition, the coexistence of divalent and trivalent sites in the garnet structure and the preference of heavy isotopes for stable bonds makes Yb in garnet isotopically light. The deficit of heavy Yb isotopes in lunar basaltic samples relative to the Earth, chondrites, and eucrites provides new evidence that the Moon formed by the condensation of silicate vapor in the aftermath of the giant lunar impact. Separation of vapor from melt and of heavy from light isotopes is first expected during the adiabatic expansion of the initial vapor plume. Subsequently, friction between melt and gas tends to further enrich the Moon feeding zone in silicate vapor to compensate the inward migration of melt out of the pre-lunar disk. A major consequence of interpreting the present lunar data by vapor/melt segregation is that the relative abundances of refractory elements in the Moon are unlikely to be chondrite-like or even Earth-like. Erbium isotope ratios in lunar samples reflect the capture of neutrons produced by galactic cosmic rays. The first resonance of Er-167 for neutron capture will help cover an energy range poorly covered by other nuclides. (C) 2012 Elsevier B.V. All rights reserved.</t>
  </si>
  <si>
    <t>[Albalat, Emmanuelle] Univ Lyon 1, Ecole Normale Super Lyon, F-69007 Lyon, France; CNRS, F-69007 Lyon, France</t>
  </si>
  <si>
    <t>Ecole Normale Superieure de Lyon (ENS de LYON); Universite Claude Bernard Lyon 1; Centre National de la Recherche Scientifique (CNRS)</t>
  </si>
  <si>
    <t>Albalat, E (corresponding author), Univ Lyon 1, Ecole Normale Super Lyon, F-69007 Lyon, France.</t>
  </si>
  <si>
    <t>emmanuelle.albalat@ens-lyon.fr</t>
  </si>
  <si>
    <t>TELOUK, Philippe/AAY-6708-2021; Albarede, Francis/A-8871-2011</t>
  </si>
  <si>
    <t>Albarede, Francis/0000-0003-1994-1428; Albalat, Emmanuelle/0000-0003-0864-5199</t>
  </si>
  <si>
    <t>Agence Nationale de la Recherche through the T-Tauri project; Programme National de Planetologie of the Institut des sciences de l'Univers (CNRS); Lyon ICP-MS facility by the Ecole Normale Superieure; INSU</t>
  </si>
  <si>
    <t>Agence Nationale de la Recherche through the T-Tauri project(Agence Nationale de la Recherche (ANR)); Programme National de Planetologie of the Institut des sciences de l'Univers (CNRS); Lyon ICP-MS facility by the Ecole Normale Superieure; INSU(Centre National de la Recherche Scientifique (CNRS))</t>
  </si>
  <si>
    <t>A grant from the Agence Nationale de la Recherche through the T-Tauri project, support from the Programme National de Planetologie of the Institut des sciences de l'Univers (CNRS) to this particular work, and the continuing funding of the Lyon ICP-MS facility by the Ecole Normale Superieure and INSU are gratefully acknowledged. We thank the CAPTEM, and in particular Gary Lofgren, for granting us access to Apollo lunar samples and Antarctic meteorites. Curators from the Museum d'Histoire Naturelle in Paris, the Chicago Field Museum, the American Museum of Natural History, Jean-Alix Barrat and Jacques Kornprobst are thanked for sample donation. Greenland samples were made available through field work conducted by Minik Rosing. Janne Blichert-Toft provided generous help in the chemistry lab and kindly edited the text. Reviews by two anonymous reviewers and Editor Tim Elliott greatly improve the manuscript.</t>
  </si>
  <si>
    <t>ELSEVIER SCIENCE BV</t>
  </si>
  <si>
    <t>PO BOX 211, 1000 AE AMSTERDAM, NETHERLANDS</t>
  </si>
  <si>
    <t>10.1016/j.epsl.2012.08.021</t>
  </si>
  <si>
    <t>WOS:000314079000005</t>
  </si>
  <si>
    <t>Pedro, JB; McConnell, JR; van Ommen, TD; Fink, D; Curran, MAJ; Smith, AM; Simon, KJ; Moy, AD; Das, SB</t>
  </si>
  <si>
    <t>Pedro, J. B.; McConnell, J. R.; van Ommen, T. D.; Fink, D.; Curran, M. A. J.; Smith, A. M.; Simon, K. J.; Moy, A. D.; Das, S. B.</t>
  </si>
  <si>
    <t>Solar and climate influences on ice core 10Be records from Antarctica and Greenland during the neutron monitor era</t>
  </si>
  <si>
    <t>cosmogenic Be-10; beryllium-10; ice core; solar activity; climate; North Atlantic Oscillation</t>
  </si>
  <si>
    <t>NORTH-ATLANTIC OSCILLATION; LAW DOME; COSMOGENIC RADIONUCLIDES; ATMOSPHERIC CIRCULATION; GEOMAGNETIC-FIELD; BERYLLIUM 10; MODULATION; DEPOSITION; RECONSTRUCTION; TRANSPORT</t>
  </si>
  <si>
    <t>Cosmogenic Be-10 in polar ice cores is a primary proxy for past solar activity. However, interpretation of the Be-10 record is hindered by limited understanding of the physical processes governing its atmospheric transport and deposition to the ice sheets. This issue is addressed by evaluating two accurately dated, annually resolved ice core Be-10 records against modern solar activity observations and instrumental and reanalysis climate data. The cores are sampled from the DSS site on Law Dome, East Antarctica (spanning 1936-2009) and the Das2 site, southeast Greenland (1936-2002), permitting inter-hemispheric comparisons. Concentrations at both DSS and Das2 are significantly correlated to the 11-yr solar cycle modulation of cosmic ray intensity, r(xy) = 0.54 with 95% CI [0.31; 0.70], and r(xy) = 0.45 with 95% CI [022; 0.62], respectively. For both sites, if fluxes are used instead of concentrations then correlations with solar activity decrease. The strength and spectral coherence of the solar activity signal in Be-10 is enhanced when ice core records are combined from both Antarctica and Greenland. The amplitudes of the 11-yr solar cycles in the Be-10 data appear inconsistent with the view that the ice sheets receive only Be-10 produced at polar latitudes. Significant climate signals detected in the Be-10 series include the zonal wave three pattern of atmospheric circulation at DSS, r(xy) = -0.36 with 95% CI [-0.57; -0.10], and the North Atlantic Oscillation at Das2, r(xy) = -0.42 with 95% CI [-0.64; -0.15]. The sensitivity of Be-10 concentrations to modes of atmospheric circulation advises caution in the use of Be-10 records from single sites in solar forcing reconstructions. (C) 2012 Elsevier B.V. All rights reserved.</t>
  </si>
  <si>
    <t>[Pedro, J. B.] Univ Tasmania, Inst Marine &amp; Antarctic Studies, Hobart, Tas, Australia; [Pedro, J. B.; van Ommen, T. D.; Curran, M. A. J.; Moy, A. D.] Univ Tasmania, Antarctic Climate &amp; Ecosyst Cooperat Res Ctr, Hobart, Tas, Australia; [McConnell, J. R.] Univ Nevada, Desert Res Inst, Reno, NV 89506 USA; [van Ommen, T. D.; Curran, M. A. J.; Moy, A. D.] Australian Antarctic Div, Kingston, Tas, Australia; [Fink, D.; Smith, A. M.; Simon, K. J.] Australian Nucl Sci &amp; Technol Org, Menai, NSW 2234, Australia; [Das, S. B.] Woods Hole Oceanog Inst, Woods Hole, MA 02543 USA</t>
  </si>
  <si>
    <t>University of Tasmania; Antarctic Climate &amp; Ecosystems Cooperative Research Centre (ACE CRC); University of Tasmania; Nevada System of Higher Education (NSHE); Desert Research Institute NSHE; University of Nevada Reno; Australian Antarctic Division; Australian Nuclear Science &amp; Technology Organisation; Woods Hole Oceanographic Institution</t>
  </si>
  <si>
    <t>Pedro, JB (corresponding author), Univ Tasmania, Inst Marine &amp; Antarctic Studies, Hobart, Tas, Australia.</t>
  </si>
  <si>
    <t>jbpedro@utas.edu.au</t>
  </si>
  <si>
    <t>, Andrew/HLX-8550-2023; Pedro, Joel/M-5632-2014; fink, David/A-9518-2012; Pedro, Joel Benjamin/L-8918-2019; van Ommen, Tas/B-5020-2012</t>
  </si>
  <si>
    <t>Pedro, Joel/0000-0002-0728-2712; fink, David/0000-0001-7156-4602; Pedro, Joel Benjamin/0000-0002-0728-2712; van Ommen, Tas/0000-0002-2463-1718; Moy, Andrew/0000-0002-7664-9960; Simon, Krista/0000-0003-4443-4305; Smith, Andrew/0000-0002-9193-2617</t>
  </si>
  <si>
    <t>Australian Antarctic Division [2384, 3064, 1172]; Australian Government's Cooperative Research Centres Programme through the Antarctic Climate 82 Ecosystems Cooperative Research Centre (ACE CRC); Isotopes in Climate Change and Atmospheric Systems (ICCAS) project at the Australian Nuclear Science and Technology Organisation (ANSTO); Australian Institute of Nuclear Science and Engineering (AINSE)</t>
  </si>
  <si>
    <t>Australian Antarctic Division; Australian Government's Cooperative Research Centres Programme through the Antarctic Climate 82 Ecosystems Cooperative Research Centre (ACE CRC)(Australian GovernmentDepartment of Industry, Innovation and ScienceCooperative Research Centres (CRC) Programme); Isotopes in Climate Change and Atmospheric Systems (ICCAS) project at the Australian Nuclear Science and Technology Organisation (ANSTO); Australian Institute of Nuclear Science and Engineering (AINSE)</t>
  </si>
  <si>
    <t>The authors acknowledge support from the Australian Antarctic Division (AAS#2384, AAS#3064 and AAS#1172), the Australian Government's Cooperative Research Centres Programme through the Antarctic Climate 82 Ecosystems Cooperative Research Centre (ACE CRC) and the Isotopes in Climate Change and Atmospheric Systems (ICCAS) project at the Australian Nuclear Science and Technology Organisation (ANSTO). The NASA Cryosphere program supported the acquisition of the Das2 ice core. Funding for continuous chemical and elemental analyses of the DSS and DAS2 cores at the Desert Research Institute (DRI) was also provided by the NASA Cryosphere program and the Arctic Section of NSF's Office of Polar Programs. The staff and students in the DRI ice core chemistry lab are thanked for their assistance in analysing the ice cores. Illya Usoskin generously provided the CRAC:10Be model data. J.B.P. is grateful for the support of an Australian Institute of Nuclear Science and Engineering (AINSE) Post-Graduate Research Award. Constructive comments from three anonymous reviewers helped to strengthen the manuscript</t>
  </si>
  <si>
    <t>10.1016/j.epsl.2012.08.038</t>
  </si>
  <si>
    <t>WOS:000314079000018</t>
  </si>
  <si>
    <t>Matthews, KJ; Seton, M; Müller, RD</t>
  </si>
  <si>
    <t>Matthews, Kara J.; Seton, Maria; Mueller, R. Dietmar</t>
  </si>
  <si>
    <t>A global-scale plate reorganization event at 105-100 Ma</t>
  </si>
  <si>
    <t>plate reorganizations; mid cretaceous; eastern Gondwanaland; fracture zone bends; plate driving forces; Bouvet plume</t>
  </si>
  <si>
    <t>APATITE FISSION-TRACK; SPREADING MAGNETIC-ANOMALIES; MARIE-BYRD-LAND; SOUTH-ATLANTIC; NEW-ZEALAND; MIDCRETACEOUS UPLIFT; GANGDESE BATHOLITH; CONTINENTAL-MARGIN; EASTERN AUSTRALIA; FORELAND BASIN</t>
  </si>
  <si>
    <t>A major plate reorganization is postulated to have occurred at approximately 100 Ma. However, this reorganization has received limited attention, despite being associated with the most prominent suite of fracture zone bends on the planet and many other geological events. We investigate tectonic events from the period similar to 110 to 90 Ma and show that the reorganization occurred between 105 and 100 Ma, was global in scale, and affected all major plates. Seafloor evidence for plate motion changes is abundant during this period, with either fracture zone bends or terminations preserved in all ocean basins. Long-lived eastern Gondwanaland subduction ended along a 7000 km long section of the margin, while elsewhere around the proto-Pacific rim subduction continued and there is evidence that compressional stresses increased in the overriding plates. Thrusting in western North America, transpression and basin inversion in eastern Asia, and development of the present-day Andean-style margin along western South America occurred contemporaneous with the development of an extensional regime in eastern Gondwanaland. Basin instability in Africa and western Europe further demonstrates that lithospheric stress regime changes were widespread at this time. Considering the timing of the reorganization and the nature of associated plate boundary changes, we suggest that eastern Gondwanaland subduction cessation is the most likely driving mechanism for the reorganization. Subduction is the dominant driver of plate motion and therefore this event had the potential to strongly modify the balance of driving forces acting on the plates in the southwestern proto-Pacific and neighboring plates, whereby producing widespread changes in plate motion and continental lithospheric stress patterns. We propose that major changes in ridge-trench interaction triggered the cessation of subduction. The progressive subduction of two closely spaced perpendicular mid ocean ridges at the eastern Gondwanaland subduction zone, to the east of Australia and New Zealand, respectively, resulted in very young crust entering the trench and we suggest that by 105-100 Ma there was insufficient negative buoyancy to drive subduction. Finally, we propose that the plume push force of the Bouvet plume, that erupted near the African-Antarctic-South American triple junction, contributed to plate motion changes in the southern Atlantic region. Crown Copyright (C) 2012 Published by Elsevier B.V. All rights reserved.</t>
  </si>
  <si>
    <t>[Matthews, Kara J.; Seton, Maria; Mueller, R. Dietmar] Univ Sydney, Sch Geosci, EarthByte Grp, Sydney, NSW 2006, Australia</t>
  </si>
  <si>
    <t>University of Sydney</t>
  </si>
  <si>
    <t>Matthews, KJ (corresponding author), Univ Sydney, Sch Geosci, EarthByte Grp, Madsen Bldg F09, Sydney, NSW 2006, Australia.</t>
  </si>
  <si>
    <t>kara.matthews@sydney.edu.au</t>
  </si>
  <si>
    <t>Seton, Maria/H-8272-2013; Müller, Dietmar/L-1200-2019</t>
  </si>
  <si>
    <t>Seton, Maria/0000-0001-8541-1367; Müller, Dietmar/0000-0002-3334-5764; Matthews, Kara/0000-0003-3249-3869</t>
  </si>
  <si>
    <t>Australian Research Council [DP0987713, FL0992245]; Australian Research Council [FL0992245, DP0987713] Funding Source: Australian Research Council</t>
  </si>
  <si>
    <t>Australian Research Council(Australian Research Council); Australian Research Council(Australian Research Council)</t>
  </si>
  <si>
    <t>M.S. and R.D.M. were funded through Australian Research Council grants DP0987713 and FL0992245, respectively. All figures were produced using GMTv5.0.0b (Wessel and Smith, 1998). We thank the Editor, John Veevers and an anonymous reviewer for their comments that improved the quality of the original manuscript.</t>
  </si>
  <si>
    <t>10.1016/j.epsl.2012.08.023</t>
  </si>
  <si>
    <t>WOS:000314079000028</t>
  </si>
  <si>
    <t>Middleton, JL; Ackert, RP; Mukhopadhyay, S</t>
  </si>
  <si>
    <t>Middleton, Jennifer L.; Ackert, Robert P., Jr.; Mukhopadhyay, Sujoy</t>
  </si>
  <si>
    <t>Pothole and channel system formation in the McMurdo Dry Valleys of Antarctica: New insights from cosmogenic nuclides</t>
  </si>
  <si>
    <t>cosmogenic nuclide; neon-21; beryllium-10; Antarctica; Dry Valleys; channels</t>
  </si>
  <si>
    <t>SURFACE EXPOSURE AGES; SOUTHERN VICTORIA LAND; ICE-SHEET; TRANSANTARCTIC MOUNTAINS; PLIOCENE PALEOCLIMATE; MISSOULA FLOODS; WRIGHT VALLEY; NOBLE-GASES; BE-10; RATES</t>
  </si>
  <si>
    <t>Large pothole and channel features (similar to 15 m deep, similar to 30 m wide) carved into the Beacon Sandstone in the upland Dry Valleys of Antarctica have been used to infer catastrophic subglacial flooding beneath an expanded East Antarctic Ice Sheet that overran the Transantarctic Mountains during the mid-Miocene. Though the age and erosion rates of these geomorphic features have not been quantified, preservation of the potholes and channels has been attributed to negligible erosion under consistent polar desert conditions since the retreat of the ice sheet at similar to 14 Ma. We present cosmogenic Ne-21 and Be-10 data from samples collected along vertical transects of pothole and channel walls, as well as from intervening benches, within Battleship Promontory in the Convoy Range and within Sessrumnir Valley in the Western Asgard Range to constrain their exposure history. Measurements of fissiogenic Xe-136 are used to estimate a nucleogenic Ne-21 concentration in the Beacon Sandstone of 7.7 +/- 2.4 x 10(6) atoms g(-1) and to correct our Ne-21 data for this component. Sample concentrations of cosmogenic Ne-21 and Be-10 are significantly lower than previously measured in the regional bedrock and reveal steady state erosion rates ranging from 99 to 171 cm Ma(-1) in Battleship Promontory and from 59 to 383 cm Ma(-1) in Sessrumnir Valley. Continuous exposure at such erosion rates would remove 8-54 m of bedrock over a 14 Ma period, a length scale similar to the features themselves, and suggests that these systems could have formed primarily through subaerial erosive processes. Alternatively, if the features formed subglacially in the Miocene, then a complex erosion and exposure history must have occurred to prevent the accumulation of cosmogenic nuclides to levels higher than those observed. Either prolonged and extensive ice cover of these features prior to 2 Ma, or a threefold increase in erosion rates during the Plio-Pleistocene could produce the Ne-21 and Be-10 concentrations measured here. Ultimately, all of these scenarios imply that the upland Dry Valleys landscape has experienced greater changes over the last 14 Ma than previously considered. (C) 2012 Elsevier B.V. All rights reserved.</t>
  </si>
  <si>
    <t>[Middleton, Jennifer L.; Ackert, Robert P., Jr.; Mukhopadhyay, Sujoy] Harvard Univ, Dept Earth &amp; Planetary Sci, Cambridge, MA 02138 USA</t>
  </si>
  <si>
    <t>Harvard University</t>
  </si>
  <si>
    <t>Middleton, JL (corresponding author), Harvard Univ, Dept Earth &amp; Planetary Sci, 20 Oxford St, Cambridge, MA 02138 USA.</t>
  </si>
  <si>
    <t>jmiddlet@fas.harvard.edu</t>
  </si>
  <si>
    <t>U.S. National Science Foundation [ANT-0739452]</t>
  </si>
  <si>
    <t>U.S. National Science Foundation(National Science Foundation (NSF))</t>
  </si>
  <si>
    <t>The project was supported by U.S. National Science Foundation grant number ANT-0739452. We thank Raytheon Polar Services and the Air National Guard for logistical support, Robert McBrearty and Allen Pope for assistance during field work in the Dry Valleys, and Greg Balco for providing Th/U data on the Beacon Sandstone. Samuel Niedermann and an anonymous reviewer are also thanked for providing comments helpful for the improvement of the manuscript.</t>
  </si>
  <si>
    <t>10.1016/j.epsl.2012.08.017</t>
  </si>
  <si>
    <t>WOS:000314079000032</t>
  </si>
  <si>
    <t>Brasso, RL; Polito, MJ; Lynch, HJ; Naveen, R; Emslie, SD</t>
  </si>
  <si>
    <t>Brasso, Rebecka L.; Polito, Michael J.; Lynch, Heather J.; Naveen, R.; Emslie, Steven D.</t>
  </si>
  <si>
    <t>Penguin eggshell membranes reflect homogeneity of mercury in the marine food web surrounding the Antarctic Peninsula</t>
  </si>
  <si>
    <t>SCIENCE OF THE TOTAL ENVIRONMENT</t>
  </si>
  <si>
    <t>Mercury; Pygoscelis penguins; Eggshell membrane; Antarctic Peninsula; delta N-15; delta C-13</t>
  </si>
  <si>
    <t>SOUTH SHETLAND ISLANDS; KING GEORGE ISLAND; CHINSTRAP PENGUINS; ADELIE-PENGUINS; STABLE-ISOTOPES; WINTER DISTRIBUTION; PYGOSCELIS-PAPUA; GENTOO PENGUINS; EGG COMPONENTS; SEAL HAIRS</t>
  </si>
  <si>
    <t>Remote regions such as the Antarctic have become increasingly important for investigations into far-reaching anthropogenic impacts on the environment, most recently in regard to the global mercury cycle. Spatial patterns of mercury availability in four regions of the Antarctic Peninsula were investigated using three species of sympatrically breeding Pygoscelis penguins as biomonitors. Eggshells with intact membranes from Adelie, Gentoo, and Chinstrap penguins were collected at 24 breeding colonies in the South Orkney Islands, South Shetland Islands, eastern Antarctic Peninsula, and western Antarctic Peninsula during the 2006/2007 austral summer. In addition, we compared eggshell membrane mercury concentrations with eggshell stable isotope values (delta N-15 and delta C-13) to determine if species-specific trophic or foraging habitat preferences influenced female mercury exposure prior to breeding. With few exceptions, mercury concentrations were found to be fairly homogeneous throughout the Antarctic Peninsula suggesting little spatial variation in the risk of exposure to dietary mercury in this food web. Mercury concentrations in Gentoo and Adelie penguins were similar while Chinstrap penguins tended to have higher eggshell membrane mercury concentrations than their congeners. However, inter and intra-specific differences in eggshell membrane mercury concentration were not related to eggshell delta N-15 or delta C-13 values, a likely result of all three species foraging at similar trophic positions. The lack of regional-scale differences in mercury availability in this marine ecosystem may be a reflection of generally uniform atmospheric deposition and upwelling of regionally homogeneous deep water rather than from geographically distinct point sources. (C) 2012 Elsevier B.V. All rights reserved.</t>
  </si>
  <si>
    <t>[Brasso, Rebecka L.; Polito, Michael J.; Emslie, Steven D.] Univ N Carolina Wilmington, Dept Biol &amp; Marine Biol, Wilmington, NC 28403 USA; [Lynch, Heather J.] SUNY Stony Brook, Dept Ecol &amp; Evolut, Stony Brook, NY 11794 USA; [Naveen, R.] Oceanites Inc, Chevy Chase, MD 20825 USA</t>
  </si>
  <si>
    <t>University of North Carolina; University of North Carolina Wilmington; State University of New York (SUNY) System; State University of New York (SUNY) Stony Brook</t>
  </si>
  <si>
    <t>Brasso, RL (corresponding author), Univ N Carolina Wilmington, Dept Biol &amp; Marine Biol, 601 S Coll Road, Wilmington, NC 28403 USA.</t>
  </si>
  <si>
    <t>rlb1196@uncw.edu</t>
  </si>
  <si>
    <t>Polito, Michael/G-9118-2012; Brasso, Rebecka L/I-7014-2013</t>
  </si>
  <si>
    <t>Polito, Michael/0000-0001-8639-4431;</t>
  </si>
  <si>
    <t>United States National Science Foundation Office of Polar Programs [ANT 0739575]; Office of Polar Programs (OPP); Directorate For Geosciences [0739515, 0739575] Funding Source: National Science Foundation</t>
  </si>
  <si>
    <t>United States National Science Foundation Office of Polar Programs(National Science Foundation (NSF)); Office of Polar Programs (OPP); Directorate For Geosciences(National Science Foundation (NSF)NSF - Directorate for Geosciences (GEO))</t>
  </si>
  <si>
    <t>Funding for this research was provided by a United States National Science Foundation Office of Polar Programs grant (Grant no. ANT 0739575) to S. Emslie, M. Polito, and W. Patterson. For their assistance with the collection of eggshell samples we thank L Blight, I. Bullock, J. Carlson, R. Dagit, M. Drennan, S. Forrest, M. McOscar, T. Mueller, and E. Woehler from Oceanites; W. Trivelpiece, S. Trivelpiece, A Miller, R. Orben, S. Chisolm, D. Loomis, A Loomis, S. Kropidlowski, N. Bargmann, and S. Woods from the US AMLR program; H.-U. Ulrich and A. Frohlich from the Friedrich Schiller University of Jena; W. Fraser, K. Gorman, and J. Blum from the Polar Oceans Research Group; and D. Briggs and M. Dunn from the British Antarctic Survey. M. Rider, Raytheon Polar Services, Linblad Expeditions, National Geographic and the expedition leaders, naturalists, officers, and crew of the 'National Geographic Endeavour' provided invaluable logistical support. J. Seminoff, C. Tobias, K. Durenberger, E. Unger, A Hydrusko, and E. Guber provided helpful assistance with lipid extractions and stable isotope analysis. D. Cristol graciously provided the use of the direct mercury analyzer at The College of William and Mary as well as laboratory assistance from C. Ramos and M. Whitney. This work complies with, and was completed in accordance with Antarctic Conservation Acts permits provided to S.D.E. (2006-001) and R.N. (2005-005) by the NSF.</t>
  </si>
  <si>
    <t>0048-9697</t>
  </si>
  <si>
    <t>SCI TOTAL ENVIRON</t>
  </si>
  <si>
    <t>Sci. Total Environ.</t>
  </si>
  <si>
    <t>10.1016/j.scitotenv.2012.09.028</t>
  </si>
  <si>
    <t>Environmental Sciences</t>
  </si>
  <si>
    <t>Environmental Sciences &amp; Ecology</t>
  </si>
  <si>
    <t>058JP</t>
  </si>
  <si>
    <t>WOS:000312630200021</t>
  </si>
  <si>
    <t>Trumble, SJ; Robinson, EM; Noren, SR; Usenko, S; Davis, J; Kanatous, SB</t>
  </si>
  <si>
    <t>Trumble, Stephen J.; Robinson, Eleanor M.; Noren, Shawn R.; Usenko, Sascha; Davis, Jay; Kanatous, Shane B.</t>
  </si>
  <si>
    <t>Assessment of legacy and emerging persistent organic pollutants in Weddell seal tissue (Leptonychotes weddellii) near McMurdo Sound, Antarctica</t>
  </si>
  <si>
    <t>Weddell seals; McMurdo sound; Persistent organic pollutants; Antarctica; DDT; PBDE</t>
  </si>
  <si>
    <t>POLYBROMINATED DIPHENYL ETHERS; BODY OXYGEN STORES; MARINE MAMMALS; RINGED SEALS; HARBOR SEALS; POLYCHLORINATED-BIPHENYLS; DIVING CAPACITY; FOOD-CHAINS; BLUBBER; TRENDS</t>
  </si>
  <si>
    <t>Muscle samples were collected from pup, juvenile and adult Weddell seals (Leptonychotes weddellii) near McMurdo Sound. Antarctica during the austral summer of 2006. Blubber samples were collected from juvenile and adult seals. Samples were analyzed for emerging and legacy persistent organic pollutants (POPs) including current and historic-use organochlorine pesticides, polychlorinated biphenyls (PCBs), and polybrominated diphenyl ethers (PBDEs). Of the 41 target analytes, 28 contaminants were recovered from the Weddell seal blubber, in this order of prevalence: p,p'-DDE, p,p'-DDT, trans-nonachlor, mirex, cis-nonachlor. PCB 153, PCB 138, dieldrin. heptachlor epoxide, nonachlor III, PCB 187, oxychlordane, cis-chlordane. PCB 118, PBDE 47, PCB 156, PCB 149, PCB 180. PCB 101, PCB 170, PCB 105, o,p'-DDT, PCB 99. trans-chlordane, PCB 157, PCB 167, PCB 189, and PCB 114. Fewer POPs were found in the muscle samples, but were similar in the order of prevalence to that of the blubber: p,p'-DDE, o,p'-DDT, trans-nonachlor, nonachlor III, oxychlordane, p,p'-DDT, dieldrin, mirex, cis-nonachlor, PCB 138, and PCB 105. Besides differences in toxicant concentrations reported between the muscle and blubber, we found differences in POP levels according to age class and suggest that differences in blubber storage and/or mobilization of lipids result in age class differences in POPs. To our knowledge, such ontogenetic associations are novel. Importantly, data from this study suggest that p,p'-DDT is becoming less prevalent temporally, resulting in an increased proportion of its metabolite p,p'-DDE in the tissues of this top predator. In addition, this study is among the first to identify a PBDE congener in Weddell seals near the McMurdo Station. This may provide evidence of increased PBDE transport and encroachment in Antarctic wildlife. (C) 2012 Elsevier B.V. All rights reserved.</t>
  </si>
  <si>
    <t>[Trumble, Stephen J.; Robinson, Eleanor M.; Usenko, Sascha] Baylor Univ, Waco, TX 76798 USA; [Noren, Shawn R.] Univ Calif Santa Cruz, Inst Marine Sci, Santa Cruz, CA 95064 USA; [Davis, Jay] US Fish &amp; Wildlife Serv, Western Washington Fish &amp; Wildlife Off, Lacey, WA 98503 USA; [Kanatous, Shane B.] Colorado State Univ, Dept Biol, Ft Collins, CO 80523 USA</t>
  </si>
  <si>
    <t>Baylor University; University of California System; University of California Santa Cruz; United States Department of the Interior; US Fish &amp; Wildlife Service; Colorado State University</t>
  </si>
  <si>
    <t>Usenko, S (corresponding author), Baylor Univ, 1 Bear Pl 97388, Waco, TX 76798 USA.</t>
  </si>
  <si>
    <t>Sascha_Usenko@baylor.edu</t>
  </si>
  <si>
    <t>Usenko, Sascha/N-8730-2015; Guenat, Heather/H-6528-2014</t>
  </si>
  <si>
    <t>Usenko, Sascha/0000-0003-3303-2909; Trumble, Stephen/0000-0001-6319-9633</t>
  </si>
  <si>
    <t>NSF Office of Polar Programs [OPP-0125475, OPP 0440713]</t>
  </si>
  <si>
    <t>NSF Office of Polar Programs(National Science Foundation (NSF))</t>
  </si>
  <si>
    <t>This work was supported by NSF Office of Polar Programs grants (OPP-0125475 and OPP 0440713) awarded to S.B.K. All samples were collected under MMPA # 10751788-00. We wish to thank all the personnel at Raytheon Polar Services for their outstanding support. We would also like to thank Drs. Allyson Hindell, Rebecca Watson, Linnea Pearson and Thomas pine nut Hawke for their field assistance. Special thanks to Joy Lapseritis for the constructive editorial and theoretical comments.</t>
  </si>
  <si>
    <t>1879-1026</t>
  </si>
  <si>
    <t>10.1016/j.scitotenv.2012.09.018</t>
  </si>
  <si>
    <t>WOS:000312630200033</t>
  </si>
  <si>
    <t>Lazzara, MA; Keller, LM; Markle, T; Gallagher, J</t>
  </si>
  <si>
    <t>Lazzara, Matthew A.; Keller, Linda M.; Markle, Timothy; Gallagher, John</t>
  </si>
  <si>
    <t>Fifty-year Amundsen-Scott South Pole station surface climatology</t>
  </si>
  <si>
    <t>ATMOSPHERIC RESEARCH</t>
  </si>
  <si>
    <t>South Pole; Antarctica; Climatology; Climate change</t>
  </si>
  <si>
    <t>LOW-FREQUENCY VARIABILITY; ANTARCTIC TEMPERATURE; UNDOCUMENTED CHANGEPOINTS; TRENDS; HEMISPHERE; OSCILLATION; CIRCULATION; REVISION</t>
  </si>
  <si>
    <t>Fifty-four years of Amundsen-Scott South Pole Station meteorological data have been analyzed to develop a comprehensive climatology from the station's meteorological observations. In reaching the goal of a full climatological analysis, a meteorological station history was required and a full quality control review of the data was conducted. Analysis of the general fifty-year climate is presented for temperature, pressure, wind speed and wind direction along with averages (means), extremes and records, daily ranges, trends and discontinuities. Additional investigations include how often the temperature reaches -100 degrees F and changes in the flying season as seen via acceptable temperatures. The analysis found slight decreases in the temperature and pressure over the 1957-2010 time period that are not statistically significant. The wind speed, however, does show a significant downward trend of 0.28 m s(-1) decade(-1) over the same period. The seasonal time series of temperature and pressure illustrate how longer term oscillations are superimposed on shorter-term fluctuations. The seasonal mean wind speed over the 54 year period shows a consistent pattern of decreasing speed for all seasons. In contrast to the mean wind speeds, the maximum wind speeds are increasing for the summer and transition seasons, and the increases are statistically significant. Finally, for the period 1983-2010, the average annual snow accumulation is decreasing at a statistically significant downward rate of -2.9 mm year(-1). (C) 2012 Elsevier B.V. All rights reserved.</t>
  </si>
  <si>
    <t>[Lazzara, Matthew A.] Univ Wisconsin, Space Sci &amp; Engn Ctr, Antarct Meteorol Res Ctr, Madison, WI 53706 USA; [Keller, Linda M.] Univ Wisconsin, Dept Atmospher &amp; Ocean Sci, Madison, WI USA; [Markle, Timothy; Gallagher, John] Raytheon Polar Serv Co, S Pole Meteorol Off, Centennial, CO USA</t>
  </si>
  <si>
    <t>University of Wisconsin System; University of Wisconsin Madison; University of Wisconsin System; University of Wisconsin Madison</t>
  </si>
  <si>
    <t>Lazzara, MA (corresponding author), Univ Wisconsin, Space Sci &amp; Engn Ctr, Antarct Meteorol Res Ctr, Madison, WI 53706 USA.</t>
  </si>
  <si>
    <t>mattl@ssec.wisc.edu</t>
  </si>
  <si>
    <t>Gallagher, John/J-1373-2014</t>
  </si>
  <si>
    <t>Lazzara, Matthew/0000-0002-4343-498X</t>
  </si>
  <si>
    <t>National Science Foundation [ANT-0636873, ANT-083884]; Directorate For Geosciences; Office of Polar Programs (OPP) [0838834] Funding Source: National Science Foundation</t>
  </si>
  <si>
    <t>National Science Foundation(National Science Foundation (NSF)); Directorate For Geosciences; Office of Polar Programs (OPP)(National Science Foundation (NSF)NSF - Directorate for Geosciences (GEO))</t>
  </si>
  <si>
    <t>The authors wish to acknowledge Kathie Hill Baker, Sue O'Reilly, Phillip Marzette, Mike Carmody, Katie Koster, and all those who have staffed the South Pole Meteorology Office over the years and assisted with the data collection. Thanks also to Bill Spindler who is the unofficial South Pole historian and maintains the South Pole history Web site. Thanks to the National Climatic Data Center for its archives of South Pole Station observations and to the NOAA GMD for its archives of ARO observations. This material is based upon work supported by the National Science Foundation under grants ANT-0636873 and ANT-083884.</t>
  </si>
  <si>
    <t>ELSEVIER SCIENCE INC</t>
  </si>
  <si>
    <t>NEW YORK</t>
  </si>
  <si>
    <t>STE 800, 230 PARK AVE, NEW YORK, NY 10169 USA</t>
  </si>
  <si>
    <t>0169-8095</t>
  </si>
  <si>
    <t>1873-2895</t>
  </si>
  <si>
    <t>ATMOS RES</t>
  </si>
  <si>
    <t>Atmos. Res.</t>
  </si>
  <si>
    <t>10.1016/j.atmosres.2012.06.027</t>
  </si>
  <si>
    <t>Meteorology &amp; Atmospheric Sciences</t>
  </si>
  <si>
    <t>027WZ</t>
  </si>
  <si>
    <t>hybrid</t>
  </si>
  <si>
    <t>WOS:000310386100020</t>
  </si>
  <si>
    <t>Singh, RK; Gupta, AK; Das, M</t>
  </si>
  <si>
    <t>Singh, Raj K.; Gupta, Anil K.; Das, Moumita</t>
  </si>
  <si>
    <t>Paleoceanographic significance of deep-sea benthic foraminiferal species diversity at southeastern Indian Ocean Hole 752A during the Neogene</t>
  </si>
  <si>
    <t>Paleoceanography; Neogene; Benthic foraminifera; Diversity; Indian Ocean; Oxygen Minimum Zone</t>
  </si>
  <si>
    <t>OXYGEN MINIMUM ZONE; PLIOCENE BIOGENIC BLOOM; ATLANTIC-OCEAN; LATE MIOCENE; EQUATORIAL PACIFIC; NORTH-ATLANTIC; CONTINENTAL-MARGIN; LATEST MIOCENE; CLIMATE-CHANGE; BATHYMETRIC DISTRIBUTION</t>
  </si>
  <si>
    <t>Diversity parameters of Neogene deep-sea benthic foraminifera were measured at Ocean Drilling Program (ODP) Hole 752A, southeastern Indian Ocean (water depth of 1086.3 m) using Information Function (H), Equitability (E), number of species (S) and Sander's rarefaction values. These parameters combined with population abundance of dominant benthic foraminifera (Bulimina macilenta, Nuttallides umbonifera, Cibicides wuellerstorfi, Cibicides lobatulus, Bolivina pusilla, Ehrenbergina carinata, Gavelinopsis lobatulus, Cassidulina laevigata, Globocassiulina subglobosa) reveal significant paleoceanographic changes in the southeastern Indian Ocean during the Neogene. The values of all the diversity parameters show a decrease from 25 to 23 Ma and thereafter an increase with peak values at similar to 13.5 Ma. The Late Oligocene to Earliest Miocene was an interval of more unstable conditions at Hole 752A dominated by species characteristic of low organic carbon, well-ventilated, carbonate corrosive high energy conditions. The highest values of diversity parameters coincide with the early Middle Miocene climatic optimum. All these parameters show a declining trend and gradual decrease from 13.5 to 4.5 Ma coinciding with the major build up of ice sheets in the Antarctic region. Major increase in B. pusilla and E. carinata population during this time suggests high nutrient levels and low oxygen conditions at Hole 752A. This interval corresponds with the so-called biogenic bloom and an intense Oxygen Minimum Zone as observed throughout the Indo-Pacific region. Deep waters were warmer from 4.5 to 3 Ma marked by an increase in species diversity values, coinciding with the early middle Pliocene warmth. The species diversity values abruptly decreased in the younger interval, contemporaneous with the major Northern Hemisphere glaciation. During this time species characteristics of high-energy bottom currents and relatively cold deep water were dominant. (C) 2012 Elsevier B.V. All rights reserved.</t>
  </si>
  <si>
    <t>[Singh, Raj K.; Gupta, Anil K.; Das, Moumita] Indian Inst Technol, Dept Geol &amp; Geophys, Kharagpur 721302, W Bengal, India</t>
  </si>
  <si>
    <t>Indian Institute of Technology System (IIT System); Indian Institute of Technology (IIT) - Kharagpur</t>
  </si>
  <si>
    <t>Singh, RK (corresponding author), Wadia Inst Himalayan Geol, 33 GMS Rd, Dehra Dun 248001, Uttar Pradesh, India.</t>
  </si>
  <si>
    <t>rajkursingh@yahoo.com</t>
  </si>
  <si>
    <t>SINGH, RAJ K./HGE-7393-2022; SINGH, RAJ K./ABE-4793-2021</t>
  </si>
  <si>
    <t>SINGH, RAJ K./0000-0003-2900-7145; SINGH, RAJ K./0000-0003-2900-7145; Gupta, Anil/0000-0003-0536-3911</t>
  </si>
  <si>
    <t>Council of Scientific and Industrial Research (CSIR), New Delhi [24(0256)/02/EMR-II]</t>
  </si>
  <si>
    <t>Council of Scientific and Industrial Research (CSIR), New Delhi(Council of Scientific &amp; Industrial Research (CSIR) - India)</t>
  </si>
  <si>
    <t>Ocean Drilling Program is thankfully acknowledged for providing core samples to AKG for the present study (ODP Request 13626). We are grateful to the Editor Thierry Correge for editorial comments, and reviewer Matias Reolid and an anonymous reviewer for thoughtful reviews. The Council of Scientific and Industrial Research (CSIR), New Delhi provided the financial support (No. 24(0256)/02/EMR-II) and an independent Junior Research Fellowship to RKS.</t>
  </si>
  <si>
    <t>10.1016/j.palaeo.2012.08.008</t>
  </si>
  <si>
    <t>033TU</t>
  </si>
  <si>
    <t>WOS:000310824800009</t>
  </si>
  <si>
    <t>Sáez, A; Cabrera, L; Garcés, M; van den Bogaard, P; Jensen, A; Gimeno, D</t>
  </si>
  <si>
    <t>Saez, Alberto; Cabrera, Lluis; Garces, Miguel; van den Bogaard, Paul; Jensen, Arturo; Gimeno, Domingo</t>
  </si>
  <si>
    <t>The stratigraphic record of changing hyperaridity in the Atacama desert over the last 10 Ma</t>
  </si>
  <si>
    <t>Late Neogene; Antarctic and Patagonian glaciations; Humboldt Current; South American Summer Monsoon hyperaridity</t>
  </si>
  <si>
    <t>ANDEAN FORE-ARC; CLIMATE-CHANGE; CALAMA BASIN; LATE NEOGENE; NORTHERN; PLEISTOCENE; UPLIFT; WATER; AGE</t>
  </si>
  <si>
    <t>New radiometric and magnetostratigraphic data from Quillagua and Calama basins (Atacama desert) indicate that the stratigraphic record over the last 10 Ma includes two hiatuses, lasting approximately 2 and 4 million years respectively. These sedimentary gaps are thought to represent prolonged periods of hyperaridity in the region, with absence of sediment production and accumulation in the central depressions. Their remarkable synchrony with Antarctic and Patagonian glacial stages, Humboldt cold current enhancement and cold upwelling waters lead us to suggest long-term climate forcing. Higher frequency climate (orbital precession and eccentricity) forcing is thought to control the sequential arrangement of the lacustrine units deposited at times of lower aridity. Hyperaridity trends appear to be modulated by the activity of the South American Summer Monsoon, which drives precipitation along the high altitude areas to the east of Atacama. This precipitation increase combined with the eastward enlargement of the regional drainage during the late Pleistocene enabled water transfer from these high altitude areas to the low lying closed Quillagua basin and resulted in the deposition of the last widespread saline lacustrine deposits in this depression, before its drainage was open to the Pacific Ocean. (C) 2012 Elsevier B.V. All rights reserved.</t>
  </si>
  <si>
    <t>[Saez, Alberto; Cabrera, Lluis; Garces, Miguel] Univ Barcelona, Dept Estratig Paleontol &amp; Geociencies Marines, Grp Geodinam &amp; Anal Conques, E-08028 Barcelona, Spain; [van den Bogaard, Paul] GEOMAR Helmholtz Ctr Ocean Res Kiel, Kiel, Germany; [Jensen, Arturo] Univ Catolica Norte, Dept Ciencias Geol, Antofagasta, Chile; [Gimeno, Domingo] Univ Barcelona, Dept Geoquim Petrol &amp; Prospeccio Geol, E-08028 Barcelona, Spain</t>
  </si>
  <si>
    <t>University of Barcelona; Helmholtz Association; GEOMAR Helmholtz Center for Ocean Research Kiel; Universidad Catolica del Norte; University of Barcelona</t>
  </si>
  <si>
    <t>Sáez, A (corresponding author), Univ Barcelona, Dept Estratig Paleontol &amp; Geociencies Marines, Grp Geodinam &amp; Anal Conques, Marti Franques S-N, E-08028 Barcelona, Spain.</t>
  </si>
  <si>
    <t>a.saez@ub.edu</t>
  </si>
  <si>
    <t>Gimeno, Domingo/L-6441-2014; Saez, Alberto/K-4269-2012; Gimeno-Torrente, Domingo/Y-4722-2018; garces, miguel/AAC-9358-2021; garces, miguel/D-4386-2014</t>
  </si>
  <si>
    <t>Gimeno, Domingo/0000-0002-9998-4518; Gimeno-Torrente, Domingo/0000-0002-9998-4518; garces, miguel/0000-0001-7666-6392; garces, miguel/0000-0001-7666-6392; Saez, Alberto/0000-0003-4215-5038</t>
  </si>
  <si>
    <t>Spanish Government [PB94-0901, CGL2004-00780, CGL2007-66431-C02-02/BTE, CGL2007-60932/BTE, CGL2010-17479]; Generalitat de Catalunya through Research Institute GEOMODELS; Research Group of Geodinamica i Analisi de Conques</t>
  </si>
  <si>
    <t>Spanish Government(Spanish Government); Generalitat de Catalunya through Research Institute GEOMODELS; Research Group of Geodinamica i Analisi de Conques</t>
  </si>
  <si>
    <t>This research was funded by the Spanish Government, Projects: PB94-0901, CGL2004-00780, CGL2007-66431-C02-02/BTE, CGL2007-60932/BTE and CGL2010-17479; and by Generalitat de Catalunya through Research Institute GEOMODELS and the Research Group of Geodinamica i Analisi de Conques (2009 GGR 1198). Thanks are due to A Carroll, C. Connors and E. Gierlowski by the critical reading of an early version of this paper. We are grateful to Teresa Jordan, Rene Garreaud, two anonymous reviewers and the EPSL editor for their useful revisions and comments that enabled us to precise the paper content.</t>
  </si>
  <si>
    <t>10.1016/j.epsl.2012.08.029</t>
  </si>
  <si>
    <t>Green Accepted</t>
  </si>
  <si>
    <t>WOS:000314079000004</t>
  </si>
  <si>
    <t>Jetz, W; Thomas, GH; Joy, JB; Hartmann, K; Mooers, AO</t>
  </si>
  <si>
    <t>Jetz, W.; Thomas, G. H.; Joy, J. B.; Hartmann, K.; Mooers, A. O.</t>
  </si>
  <si>
    <t>The global diversity of birds in space and time</t>
  </si>
  <si>
    <t>NATURE</t>
  </si>
  <si>
    <t>MOLECULAR PHYLOGENIES; DIVERSIFICATION RATES; NORTH-AMERICAN; FOSSIL RECORD; EVOLUTION; RADIATIONS; PATTERNS; HISTORY; BIOGEOGRAPHY; EXTINCTION</t>
  </si>
  <si>
    <t>Current global patterns of biodiversity result from processes that operate over both space and time and thus require an integrated macroecological and macroevolutionary perspective(1-4). Molecular time trees have advanced our understanding of the tempo and mode of diversification(5-7) and have identified remarkable adaptive radiations across the tree of life(8-10). However, incomplete joint phylogenetic and geographic sampling has limited broad-scale inference. Thus, the relative prevalence of rapid radiations and the importance of their geographic settings in shaping global biodiversity patterns remain unclear. Here we present, analyse and map the first complete dated phylogeny of all 9,993 extant species of birds, a widely studied group showing many unique adaptations. We find that birds have undergone a strong increase in diversification rate from about 50 million years ago to the near present. This acceleration is due to a number of significant rate increases, both within songbirds and within other young and mostly temperate radiations including the waterfowl, gulls and woodpeckers. Importantly, species characterized with very high past diversification rates are interspersed throughout the avian tree and across geographic space. Geographically, the major differences in diversification rates are hemispheric rather than latitudinal, with bird assemblages in Asia, North America and southern South America containing a disproportionate number of species from recent rapid radiations. The contribution of rapidly radiating lineages to both temporal diversification dynamics and spatial distributions of species diversity illustrates the benefits of an inclusive geographical and taxonomical perspective. Overall, whereas constituent clades may exhibit slowdowns(10,11), the adaptive zone into which modern birds have diversified since the Cretaceous may still offer opportunities for diversification.</t>
  </si>
  <si>
    <t>[Jetz, W.] Yale Univ, Dept Ecol &amp; Evolutionary Biol, New Haven, CT 06520 USA; [Thomas, G. H.] Univ Sheffield, Dept Anim &amp; Plant Sci, Sheffield S10 2TN, S Yorkshire, England; [Joy, J. B.; Mooers, A. O.] Simon Fraser Univ, Dept Biol Sci, Burnaby, BC V5A 1S6, Canada; [Hartmann, K.] Univ Tasmania, Inst Marine &amp; Antarctic Studies, Hobart, Tas 7001, Australia</t>
  </si>
  <si>
    <t>Yale University; University of Sheffield; Simon Fraser University; University of Tasmania</t>
  </si>
  <si>
    <t>Jetz, W (corresponding author), Yale Univ, Dept Ecol &amp; Evolutionary Biol, 165 Prospect St, New Haven, CT 06520 USA.</t>
  </si>
  <si>
    <t>walter.jetz@yale.edu; amooers@sfu.ca</t>
  </si>
  <si>
    <t>Jetz, Walter/ABF-1517-2020; Thomas, Gavin/AAE-8959-2019; Hartmann, Klaas/B-3991-2008</t>
  </si>
  <si>
    <t>Jetz, Walter/0000-0002-1971-7277; Thomas, Gavin/0000-0002-1982-6051; Joy, Jeffrey/0000-0002-7013-1482</t>
  </si>
  <si>
    <t>NSF [DBI 0960550, DEB 1026764]; NASA [NNX11AP72G]; Natural Environment Research Council [NE/G012938/1]; NERC (Centre for Population Biology); NSERC Canada; Wissenschaftskolleg zu Berlin; Yale Institute for Biospheric Sciences; Simon Fraser University; NERC [NE/G012938/1, NE/G012938/2] Funding Source: UKRI; Natural Environment Research Council [NE/G012938/2, NE/G012938/1] Funding Source: researchfish; Direct For Biological Sciences; Division Of Environmental Biology [1026764] Funding Source: National Science Foundation; Direct For Biological Sciences; Div Of Biological Infrastructure [0960549, 0960550] Funding Source: National Science Foundation</t>
  </si>
  <si>
    <t>NSF(National Science Foundation (NSF)); NASA(National Aeronautics &amp; Space Administration (NASA)); Natural Environment Research Council(UK Research &amp; Innovation (UKRI)Natural Environment Research Council (NERC)); NERC (Centre for Population Biology)(UK Research &amp; Innovation (UKRI)Natural Environment Research Council (NERC)); NSERC Canada(Natural Sciences and Engineering Research Council of Canada (NSERC)); Wissenschaftskolleg zu Berlin(Austrian Science Fund (FWF)); Yale Institute for Biospheric Sciences; Simon Fraser University; NERC(UK Research &amp; Innovation (UKRI)Natural Environment Research Council (NERC)); Natural Environment Research Council(UK Research &amp; Innovation (UKRI)Natural Environment Research Council (NERC)); Direct For Biological Sciences; Division Of Environmental Biology(National Science Foundation (NSF)NSF - Directorate for Biological Sciences (BIO)); Direct For Biological Sciences; Div Of Biological Infrastructure(National Science Foundation (NSF)NSF - Directorate for Biological Sciences (BIO))</t>
  </si>
  <si>
    <t>We thank D. Redding for critical input in the early stages of this project; A. Mimoto, F. Ronqvist and M. Teslenko for help modifying MrBayes; I. Martyn for coding; R. Bowie, J. McGuire, A. Cooper, K. Burns and M. Sorenson among others, for unpublished phylogenetic material or information; M. Benton, T. Ezard, T. Price, M. Donoghue, J. Beaulieu, J. Belmaker, P. M. Hull, D. Field, N. Longrich, V. Saranathan, M. Steel, H. Morlon, J. Brown, A. Phillimore, R. Fitzjohn, R. Etienne, W. Stein and especially T. Stadler for data, important input and/or discussion; G. Smith, C. Schank, D. Thiele, T. M. Lee, F. La Sorte, C. Edwards, K. Ashton and J. Hazelhurst for help with spatial and phylogenetic data collection and management; C. Schank for help preparing the tree visualizations. This work was carried out using the BlueFern Supercomputing Facilities (http://www.bluefern.canterbury.ac.nz), University of Canterbury, the Advanced Computing Research Centre, University of Bristol (http://www.bris.ac.uk/acrc/) and the Interdisciplinary Research in Mathematics and Computer Sciences Centre, Simon Fraser University (http://www.irmacs.sfu.ca). This work was partly supported by NSF grants DBI 0960550 and DEB 1026764 and NASA Biodiversity Grant NNX11AP72G (W. J.); the Natural Environment Research Council (Postdoctoral Fellowship grant number NE/G012938/1 and the NERC Centre for Population Biology) (G.H.T.); and NSERC Canada, the Wissenschaftskolleg zu Berlin, the Yale Institute for Biospheric Sciences and Simon Fraser University (A.O.M.). Most importantly, we thank the many avian systematists and phylogeneticists who have contributed their data to public databases and so made our study possible.</t>
  </si>
  <si>
    <t>NATURE PUBLISHING GROUP</t>
  </si>
  <si>
    <t>LONDON</t>
  </si>
  <si>
    <t>MACMILLAN BUILDING, 4 CRINAN ST, LONDON N1 9XW, ENGLAND</t>
  </si>
  <si>
    <t>0028-0836</t>
  </si>
  <si>
    <t>Nature</t>
  </si>
  <si>
    <t>10.1038/nature11631</t>
  </si>
  <si>
    <t>036MY</t>
  </si>
  <si>
    <t>WOS:000311031600046</t>
  </si>
  <si>
    <t>Daae, M; Espy, P; Tyssoy, HN; Newnham, D; Stadsnes, J; Soraas, F</t>
  </si>
  <si>
    <t>Daae, M.; Espy, P.; Tyssoy, H. Nesse; Newnham, D.; Stadsnes, J.; Soraas, F.</t>
  </si>
  <si>
    <t>The effect of energetic electron precipitation on middle mesospheric night-time ozone during and after a moderate geomagnetic storm</t>
  </si>
  <si>
    <t>GEOPHYSICAL RESEARCH LETTERS</t>
  </si>
  <si>
    <t>TEMPERATURE; TRANSPORT</t>
  </si>
  <si>
    <t>Using a ground-based microwave radiometer at Troll Station, Antarctica (72 degrees S, 2.5 degrees E, L = 4.76), we have observed a decrease of 20-70% in the mesospheric ozone, coincident with increased nitric oxide, between 60 km and 75 km altitude associated with energetic electron precipitation (E &gt; 30 keV) during a moderate geomagnetic storm (minimum Dst of -79 nT) in late July 2009. NOAA satellite data were used to identify the precipitating particles and to characterize their energy, spatial distribution and temporal variation over Antarctica during this isolated storm. Both the ozone decrease and nitric oxide increase initiate with the onset of the storm, and persist for several days after the precipitation ends, descending in the downward flow of the polar vortex. These combined data present a unique case study of the temporal and spatial morphology of chemical changes induced by electron precipitation during moderate geomagnetic storms, indicating that these commonplace events can cause significant effects on the middle mesospheric ozone distribution. Citation: Daae, M., P. Espy, H. Nesse Tyssoy, D. Newnham, J. Stadsnes, and F. Soraas (2012), The effect of energetic electron precipitation on middle mesospheric night-time ozone during and after a moderate geomagnetic storm, Geophys. Res. Lett., 39, L21811, doi:10.1029/2012GL053787.</t>
  </si>
  <si>
    <t>[Daae, M.; Espy, P.] Norwegian Univ Sci &amp; Technol, Dept Phys, N-7491 Trondheim, Norway; [Tyssoy, H. Nesse; Stadsnes, J.; Soraas, F.] Univ Bergen, Dept Phys, Bergen, Norway; [Newnham, D.] British Antarctic Survey, Cambridge, England</t>
  </si>
  <si>
    <t>Norwegian University of Science &amp; Technology (NTNU); University of Bergen; UK Research &amp; Innovation (UKRI); Natural Environment Research Council (NERC); NERC British Antarctic Survey</t>
  </si>
  <si>
    <t>Espy, P (corresponding author), Norwegian Univ Sci &amp; Technol, Dept Phys, Hogskoleringen 5, N-7491 Trondheim, Norway.</t>
  </si>
  <si>
    <t>patrick.espy@ntnu.no</t>
  </si>
  <si>
    <t>Research Council of Norway [184701]; NERC [bas0100023] Funding Source: UKRI; Natural Environment Research Council [bas0100023] Funding Source: researchfish</t>
  </si>
  <si>
    <t>Research Council of Norway(Research Council of Norway); NERC(UK Research &amp; Innovation (UKRI)Natural Environment Research Council (NERC)); Natural Environment Research Council(UK Research &amp; Innovation (UKRI)Natural Environment Research Council (NERC))</t>
  </si>
  <si>
    <t>We thank Craig Rodger for helpful discussion about NOAA data. We thank Mark Clilverd at BAS, Kim Holmen at the Norwegian Polar Institute (NPI) and Paul Hartogh at Max Planck Institute (MPI) for their support of the microwave radiometer. We also thank Asbjorn Djupdal (NPI), David Maxfield and Paul Breen (BAS), and Joachim Urban (Chalmers) for their help. H. N. T., J.S., and F. S. acknowledge support from the Research Council of Norway project 184701. Acknowledgements go to the Kyoto data center for providing magnetic index data.</t>
  </si>
  <si>
    <t>0094-8276</t>
  </si>
  <si>
    <t>1944-8007</t>
  </si>
  <si>
    <t>GEOPHYS RES LETT</t>
  </si>
  <si>
    <t>Geophys. Res. Lett.</t>
  </si>
  <si>
    <t>NOV 14</t>
  </si>
  <si>
    <t>L21811</t>
  </si>
  <si>
    <t>10.1029/2012GL053787</t>
  </si>
  <si>
    <t>Geosciences, Multidisciplinary</t>
  </si>
  <si>
    <t>Geology</t>
  </si>
  <si>
    <t>038ZU</t>
  </si>
  <si>
    <t>Green Accepted, Bronze</t>
  </si>
  <si>
    <t>WOS:000311213400004</t>
  </si>
  <si>
    <t>DeYoung, T</t>
  </si>
  <si>
    <t>DeYoung, Tyce</t>
  </si>
  <si>
    <t>IceCube Collaboration</t>
  </si>
  <si>
    <t>Particle physics in ice with IceCube DeepCore</t>
  </si>
  <si>
    <t>NUCLEAR INSTRUMENTS &amp; METHODS IN PHYSICS RESEARCH SECTION A-ACCELERATORS SPECTROMETERS DETECTORS AND ASSOCIATED EQUIPMENT</t>
  </si>
  <si>
    <t>Article; Proceedings Paper</t>
  </si>
  <si>
    <t>3rd Roma International Conference on Astroparticle Physics (RICAP)</t>
  </si>
  <si>
    <t>MAY 24-27, 2011</t>
  </si>
  <si>
    <t>Roma Tre Univ, Rome, ITALY</t>
  </si>
  <si>
    <t>Roma Tre Univ</t>
  </si>
  <si>
    <t>Astroparticle physics; Neutrino oscillations; Dark matter</t>
  </si>
  <si>
    <t>NEUTRINO-INDUCED CASCADES; SEARCH; AMANDA</t>
  </si>
  <si>
    <t>The IceCube Neutrino Observatory is the world's largest high energy neutrino telescope, using the Antarctic ice cap as a Cherenkov detector medium. DeepCore, the low energy extension to IceCube, is an infill array with a fiducial volume of around 30 MTon in the deepest, clearest ice, aiming for an energy threshold as low as 10 GeV and extending IceCube's sensitivity to indirect dark matter searches and atmospheric neutrino oscillation physics. We will discuss the analysis of the first year of DeepCore data, as well as ideas for a further extension of the particle physics program in the ice with a future PINGU detector. (C) 2012 Elsevier B.V. All rights reserved.</t>
  </si>
  <si>
    <t>[DeYoung, Tyce] Penn State Univ, Dept Phys, University Pk, PA 16802 USA</t>
  </si>
  <si>
    <t>Pennsylvania Commonwealth System of Higher Education (PCSHE); Pennsylvania State University; Pennsylvania State University - University Park</t>
  </si>
  <si>
    <t>DeYoung, T (corresponding author), Penn State Univ, Dept Phys, 104 Davey Lab, University Pk, PA 16802 USA.</t>
  </si>
  <si>
    <t>deyoung@psu.edu</t>
  </si>
  <si>
    <t>DeYoung, Tyce/O-6895-2019; Sánchez, Juan Antonio Aguilar/H-4467-2015; Diaz Velez, Juan Carlos/T-2788-2018</t>
  </si>
  <si>
    <t>DeYoung, Tyce/0000-0003-4873-3783; Diaz Velez, Juan Carlos/0000-0002-0087-0693</t>
  </si>
  <si>
    <t>0168-9002</t>
  </si>
  <si>
    <t>NUCL INSTRUM METH A</t>
  </si>
  <si>
    <t>Nucl. Instrum. Methods Phys. Res. Sect. A-Accel. Spectrom. Dect. Assoc. Equip.</t>
  </si>
  <si>
    <t>NOV 11</t>
  </si>
  <si>
    <t>10.1016/j.nima.2011.12.067</t>
  </si>
  <si>
    <t>Instruments &amp; Instrumentation; Nuclear Science &amp; Technology; Physics, Nuclear; Physics, Particles &amp; Fields</t>
  </si>
  <si>
    <t>Science Citation Index Expanded (SCI-EXPANDED); Conference Proceedings Citation Index - Science (CPCI-S)</t>
  </si>
  <si>
    <t>Instruments &amp; Instrumentation; Nuclear Science &amp; Technology; Physics</t>
  </si>
  <si>
    <t>020CJ</t>
  </si>
  <si>
    <t>Green Published, Green Submitted</t>
  </si>
  <si>
    <t>WOS:000309786000034</t>
  </si>
  <si>
    <t>Cresswell, KA; Wiedenmann, JR; Mangel, M</t>
  </si>
  <si>
    <t>Cresswell, Katherine A.; Wiedenmann, John R.; Mangel, Marc</t>
  </si>
  <si>
    <t>A model of parental conflict: Predicting provisioning behavior of penguin partners in response to local changes in krill</t>
  </si>
  <si>
    <t>ECOLOGICAL MODELLING</t>
  </si>
  <si>
    <t>Penguin; Krill; Life-history; Model; Antarctic</t>
  </si>
  <si>
    <t>SCALE MANAGEMENT UNITS; ADELIE PENGUINS; ANTARCTIC KRILL; PYGOSCELIS-ADELIAE; EUDYPTES-CHRYSOLOPHUS; REPRODUCTIVE EFFORT; ECOSYSTEM APPROACH; MACARONI PENGUINS; FORAGING RANGE; SOUTH-GEORGIA</t>
  </si>
  <si>
    <t>Understanding direct influences of local prey availability on penguin breeding behavior is limited in part because it is extremely challenging to organize a study that collects detailed data for both simultaneously. Models can help us understand the pattern of interaction between penguins and their prey, bridging holes in the data and helping steer future empirical studies. The main goal of our work is to provide an estimate of the functional response for penguins with respect to local changes in Antarctic krill (Euphausia superba) around breeding colonies in the Southern Ocean. We use data from field studies on penguins and krill to characterize a state-dependent life-history model where a breeding pair of penguins forage to provision a chick to fledging. Each parent makes decisions that maximize a measure of reproductive success based on quantified estimates for state dynamics, using a probabilistic distribution of how their partner is behaving (determined by successive runs of the model). We predict that the relationships describing total amount of krill eaten and chick survival versus krill available around a breeding colony approximate a Holling Type III functional response. We also found that quantifying the quality of the prey environment, rather than total quantity was a useful and relatively simple way to test changes in krill availability. (C) 2012 Elsevier B.V. All rights reserved.</t>
  </si>
  <si>
    <t>[Cresswell, Katherine A.; Wiedenmann, John R.; Mangel, Marc] Univ Calif Santa Cruz, Ctr Stock Assessment Res, Santa Cruz, CA 95064 USA; [Wiedenmann, John R.] Rutgers State Univ, Inst Marine &amp; Coastal Sci, New Brunswick, NJ 08901 USA; [Mangel, Marc] Univ Bergen, Dept Biol, NO-5020 Bergen, Norway</t>
  </si>
  <si>
    <t>University of California System; University of California Santa Cruz; Rutgers University System; Rutgers University New Brunswick; University of Bergen</t>
  </si>
  <si>
    <t>Cresswell, KA (corresponding author), Univ Calif Santa Cruz, Ctr Stock Assessment Res, Santa Cruz, CA 95064 USA.</t>
  </si>
  <si>
    <t>Wiedenmann, John/0000-0001-7622-9053; Cresswell, Katherine/0000-0003-1692-4964</t>
  </si>
  <si>
    <t>Lenfest Ocean Program</t>
  </si>
  <si>
    <t>This work was supported by the Lenfest Ocean Program and conducted at the Center for Stock Assessment Research, a partnership between the NMFS Santa Cruz Laboratory and the University of California, Santa Cruz. We would also like to thank Geraint Tarling at the British Antarctic Survey for help with characterizing the prey environment.</t>
  </si>
  <si>
    <t>0304-3800</t>
  </si>
  <si>
    <t>1872-7026</t>
  </si>
  <si>
    <t>ECOL MODEL</t>
  </si>
  <si>
    <t>Ecol. Model.</t>
  </si>
  <si>
    <t>NOV 10</t>
  </si>
  <si>
    <t>10.1016/j.ecolmodel.2012.06.034</t>
  </si>
  <si>
    <t>Ecology</t>
  </si>
  <si>
    <t>026DT</t>
  </si>
  <si>
    <t>WOS:000310255100007</t>
  </si>
  <si>
    <t>Meiners, KM; Vancoppenolle, M; Thanassekos, S; Dieckmann, GS; Thomas, DN; Tison, JL; Arrigo, KR; Garrison, DL; McMinn, A; Lannuzel, D; van der Merwe, P; Swadling, KM; Smith, WO; Melnikov, I; Raymond, B</t>
  </si>
  <si>
    <t>Meiners, K. M.; Vancoppenolle, M.; Thanassekos, S.; Dieckmann, G. S.; Thomas, D. N.; Tison, J. -L.; Arrigo, K. R.; Garrison, D. L.; McMinn, A.; Lannuzel, D.; van der Merwe, P.; Swadling, K. M.; Smith, W. O., Jr.; Melnikov, I.; Raymond, B.</t>
  </si>
  <si>
    <t>Chlorophyll a in Antarctic sea ice from historical ice core data</t>
  </si>
  <si>
    <t>WESTERN WEDDELL SEA; ALGAE; EVOLUTION</t>
  </si>
  <si>
    <t>Sea ice core chlorophyll a data are used to describe the seasonal, regional and vertical distribution of algal biomass in Southern Ocean pack ice. The Antarctic Sea Ice Processes and Climate - Biology (ASPeCt - Bio) circumpolar dataset consists of 1300 ice cores collected during 32 cruises over a period of 25 years. The analyses show that integrated sea ice chlorophyll a peaks in early spring and late austral summer, which is consistent with theories on light and nutrient limitation. The results indicate that on a circum-Antarctic scale, surface, internal and bottom sea ice layers contribute equally to integrated biomass, but vertical distribution shows distinct differences among six regions around the continent. The vertical distribution of sea ice algal biomass depends on sea ice thickness, with surface communities most commonly associated with thin ice (&lt;0.4m), and ice of moderate thickness (0.4-1.0 m) having the highest probability of forming bottom communities. Citation: Meiners, K. M., et al. (2012), Chlorophyll a in Antarctic sea ice from historical ice core data, Geophys. Res. Lett., 39, L21602, doi:10.1029/2012GL053478.</t>
  </si>
  <si>
    <t>[Meiners, K. M.; Raymond, B.] Australian Antarctic Div, Dept Sustainabil Environm Water Populat &amp; Commun, Kingston, Tas 7050, Australia; [Meiners, K. M.; Lannuzel, D.; van der Merwe, P.; Raymond, B.] Univ Tasmania, Antarctic Climate &amp; Ecosyst Cooperat Res Ctr, Hobart, Tas, Australia; [Vancoppenolle, M.] Lab Oceanog &amp; Climat CNRS UPMC IRD MNHN, IPSL, Paris, France; [Thanassekos, S.] Commiss Conservat Antarctic Marine Living Resourc, Hobart, Tas, Australia; [Dieckmann, G. S.] Alfred Wegener Inst Polar &amp; Marine Res, Bremerhaven, Germany; [Thomas, D. N.] Bangor Univ, Sch Ocean Sci, Anglesey, Wales; [Thomas, D. N.] Finnish Environm Inst, Helsinki, Finland; [Tison, J. -L.] Univ Libre Brussels, Lab Glaciol, Brussels, Belgium; [Arrigo, K. R.] Stanford Univ, Dept Environm Earth Syst Sci, Stanford, CA 94305 USA; [Garrison, D. L.] Natl Sci Fdn, Div Ocean Sci, Biol Oceanog Program, Arlington, VA 22230 USA; [McMinn, A.; Lannuzel, D.; van der Merwe, P.; Swadling, K. M.] Univ Tasmania, Inst Marine &amp; Antarctic Studies, Hobart, Tas, Australia; [Smith, W. O., Jr.] Virginia Inst Marine Sci, Coll William &amp; Mary, Gloucester Point, VA 23062 USA; [Melnikov, I.] Russian Acad Sci, PP Shirshov Oceanol Inst, Moscow, Russia; [Thomas, D. N.] Aarhus Univ, Arctic Ctr, Aarhus, Denmark</t>
  </si>
  <si>
    <t>Australian Antarctic Division; University of Tasmania; Antarctic Climate &amp; Ecosystems Cooperative Research Centre (ACE CRC); Centre National de la Recherche Scientifique (CNRS); Museum National d'Histoire Naturelle (MNHN); Sorbonne Universite; Universite Paris Cite; Helmholtz Association; Alfred Wegener Institute, Helmholtz Centre for Polar &amp; Marine Research; Bangor University; Finnish Environment Institute; Universite Libre de Bruxelles; Stanford University; National Science Foundation (NSF); NSF - Directorate for Geosciences (GEO); NSF - Division of Ocean Sciences (OCE); University of Tasmania; William &amp; Mary; Virginia Institute of Marine Science; Russian Academy of Sciences; Shirshov Institute of Oceanology; Aarhus University</t>
  </si>
  <si>
    <t>Meiners, KM (corresponding author), Australian Antarctic Div, Dept Sustainabil Environm Water Populat &amp; Commun, Channel Highway, Kingston, Tas 7050, Australia.</t>
  </si>
  <si>
    <t>klaus.meiners@aad.gov.au</t>
  </si>
  <si>
    <t>Dieckmann, Gerhard S/B-4307-2010; Vancoppenolle, Martin/B-3750-2011; Thomas, David Neville/B-1448-2010; McMinn, Andrew/A-9910-2008; Vancoppenolle, Martin/AAA-7711-2022; lannuzel, delphine/J-7937-2014; Tison, Jean-Louis/F-4065-2015; van der Merwe, Pier/C-9210-2015</t>
  </si>
  <si>
    <t>Vancoppenolle, Martin/0000-0002-7573-8582; Thomas, David Neville/0000-0001-8832-5907; Vancoppenolle, Martin/0000-0002-7573-8582; lannuzel, delphine/0000-0001-6154-1837; Tison, Jean-Louis/0000-0002-9758-3454; van der Merwe, Pier/0000-0002-7428-8030; Arrigo, Kevin/0000-0002-7364-876X; Swadling, Kerrie/0000-0002-7620-841X</t>
  </si>
  <si>
    <t>Scientific Committee on Antarctic Research - ASPeCt program; Australian Governments Cooperative Research Centres Program through the Antarctic Climate and Ecosystems Cooperative Research Centre</t>
  </si>
  <si>
    <t>Scientific Committee on Antarctic Research - ASPeCt program; Australian Governments Cooperative Research Centres Program through the Antarctic Climate and Ecosystems Cooperative Research Centre(Australian GovernmentDepartment of Industry, Innovation and ScienceCooperative Research Centres (CRC) Programme)</t>
  </si>
  <si>
    <t>We thank the ship captains, crews and our colleagues from many different countries that supported the sea ice sampling activities during the various field programs that contributed to this study. This work was carried out under the auspices of the Scientific Committee on Antarctic Research - ASPeCt program, and also contributes to the Scientific Committee on Ocean Research working group on Biogeochemical Exchange Processes at the Sea-Ice Interfaces. This work was supported by the Australian Governments Cooperative Research Centres Program through the Antarctic Climate and Ecosystems Cooperative Research Centre. Interpretations and conclusions are those of the authors and do not imply the endorsement of the National Science Foundation. We thank the reviewers for their constructive comments on an earlier draft of this paper.</t>
  </si>
  <si>
    <t>L21602</t>
  </si>
  <si>
    <t>10.1029/2012GL053478</t>
  </si>
  <si>
    <t>035QU</t>
  </si>
  <si>
    <t>Green Published, Green Accepted, Bronze</t>
  </si>
  <si>
    <t>WOS:000310963500001</t>
  </si>
  <si>
    <t>[Anonymous]</t>
  </si>
  <si>
    <t>Cambridge, UK 1 British Antarctic Survey Keeps Its Identity</t>
  </si>
  <si>
    <t>SCIENCE</t>
  </si>
  <si>
    <t>News Item</t>
  </si>
  <si>
    <t>AMER ASSOC ADVANCEMENT SCIENCE</t>
  </si>
  <si>
    <t>1200 NEW YORK AVE, NW, WASHINGTON, DC 20005 USA</t>
  </si>
  <si>
    <t>0036-8075</t>
  </si>
  <si>
    <t>Science</t>
  </si>
  <si>
    <t>NOV 9</t>
  </si>
  <si>
    <t>033ZI</t>
  </si>
  <si>
    <t>WOS:000310839500002</t>
  </si>
  <si>
    <t>Gales, JA; Larter, RD; Mitchell, NC; Hillenbrand, CD; Osterhus, S; Shoosmith, DR</t>
  </si>
  <si>
    <t>Gales, J. A.; Larter, R. D.; Mitchell, N. C.; Hillenbrand, C. -D.; Osterhus, S.; Shoosmith, D. R.</t>
  </si>
  <si>
    <t>Southern Weddell Sea shelf edge geomorphology: Implications for gully formation by the overflow of high-salinity water</t>
  </si>
  <si>
    <t>JOURNAL OF GEOPHYSICAL RESEARCH-EARTH SURFACE</t>
  </si>
  <si>
    <t>ANTARCTIC ICE-SHEET; LAST GLACIAL MAXIMUM; TROUGH-MOUTH FAN; PINE ISLAND BAY; CONTINENTAL-MARGIN; BELLINGSHAUSEN SEA; SEDIMENTARY PROCESSES; BOTTOM WATER; MARINE-SEDIMENTS; WEST ANTARCTICA</t>
  </si>
  <si>
    <t>Submarine gullies are the most common morphological features observed on Antarctic continental slopes. The processes forming these gullies, however, remain poorly constrained. In some areas, gully heads incise the continental shelf edge, and one hypothesis proposed is erosion by overflow of cold, dense water masses formed on the continental shelf. We examined new multibeam echo sounder bathymetric data from the Weddell Sea continental slope, the region that has the highest rate of cold, dense water overflow in Antarctica. Ice Shelf Water (ISW) cascades downslope with an average transport rate of 1.6 Sverdrups (Sv) in the southern Weddell Sea. Our new data show that within this region, ISW overflow does not deeply incise the shelf edge. The absence of gullies extending deeply into the glacial sediments at the shelf edge implies that cold, high salinity water overflow is unlikely to have caused the extensive shelf edge erosion observed on other parts of the Antarctic continental margin. Instead, the gullies observed in the southern Weddell Sea are relatively small and their characteristics indicative of small-scale slides, probably resulting from the rapid accumulation and subsequent failure of proglacial sediment during glacial maxima.</t>
  </si>
  <si>
    <t>[Gales, J. A.; Larter, R. D.; Hillenbrand, C. -D.; Shoosmith, D. R.] British Antarctic Survey, Cambridge CB3 0ET, England; [Gales, J. A.; Mitchell, N. C.] Univ Manchester, Sch Earth Atmospher &amp; Environm Sci, Manchester, Lancs, England; [Osterhus, S.] Univ Bergen, Bergen, Norway; [Osterhus, S.] UNI Res, Bergen, Norway</t>
  </si>
  <si>
    <t>UK Research &amp; Innovation (UKRI); Natural Environment Research Council (NERC); NERC British Antarctic Survey; University of Manchester; University of Bergen</t>
  </si>
  <si>
    <t>Gales, JA (corresponding author), British Antarctic Survey, Madingley Rd, Cambridge CB3 0ET, England.</t>
  </si>
  <si>
    <t>jenles@bas.ac.uk</t>
  </si>
  <si>
    <t>Mitchell, Neil/B-9807-2008</t>
  </si>
  <si>
    <t>Mitchell, Neil/0000-0002-6483-2450; Gales, Jenny/0000-0003-4402-5800; Larter, Robert/0000-0002-8414-7389</t>
  </si>
  <si>
    <t>Natural Environmental Research Council (NERC); British Antarctic Survey under the NERC Antarctic Funding Initiative [CGS-64]; NERC [NE/G523539/1]; American Association of Petroleum Geologists; NERC [bas0100027, bas0100028] Funding Source: UKRI; Natural Environment Research Council [bas0100028, bas0100027] Funding Source: researchfish</t>
  </si>
  <si>
    <t>Natural Environmental Research Council (NERC)(UK Research &amp; Innovation (UKRI)Natural Environment Research Council (NERC)); British Antarctic Survey under the NERC Antarctic Funding Initiative; NERC(UK Research &amp; Innovation (UKRI)Natural Environment Research Council (NERC)); American Association of Petroleum Geologists;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</si>
  <si>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 It was funded by the Natural Environmental Research Council (NERC) with logistical support provided by the American Association of Petroleum Geologists Grant-in-Aid award and by the British Antarctic Survey under the NERC Antarctic Funding Initiative (CGS-64). The first author was funded by NERC studentship NE/G523539/1. We thank the scientific party, in particular Alastair G. C. Graham, and the officers and crew of the RRS James Clark Ross for their assistance during cruise JR244. Finally, we thank Martin Truffer, Eugene Domack, Julia Wellner, and Julian Dowdeswell for their insightful comments, which have helped to improve this manuscript.</t>
  </si>
  <si>
    <t>2169-9003</t>
  </si>
  <si>
    <t>2169-9011</t>
  </si>
  <si>
    <t>J GEOPHYS RES-EARTH</t>
  </si>
  <si>
    <t>J. Geophys. Res.-Earth Surf.</t>
  </si>
  <si>
    <t>F04021</t>
  </si>
  <si>
    <t>10.1029/2012JF002357</t>
  </si>
  <si>
    <t>035PY</t>
  </si>
  <si>
    <t>WOS:000310961200001</t>
  </si>
  <si>
    <t>Goosse, H; Braida, M; Crosta, X; Mairesse, A; Masson-Delmotte, V; Mathiot, P; Neukom, R; Oerter, H; Philippon, G; Renssen, H; Stenni, B; van Ommen, T; Verleyen, E</t>
  </si>
  <si>
    <t>Goosse, H.; Braida, M.; Crosta, X.; Mairesse, A.; Masson-Delmotte, V.; Mathiot, P.; Neukom, R.; Oerter, H.; Philippon, G.; Renssen, H.; Stenni, B.; van Ommen, T.; Verleyen, E.</t>
  </si>
  <si>
    <t>Antarctic temperature changes during the last millennium: evaluation of simulations and reconstructions</t>
  </si>
  <si>
    <t>Last millennium; Antarctica; Model-data comparison; Data assimilation; Reconstruction</t>
  </si>
  <si>
    <t>HOLOCENE CLIMATE EVOLUTION; MEDIEVAL WARM PERIOD; SOUTHERN-HEMISPHERE; CARBON-CYCLE; PRECIPITATION VARIABILITY; NORTHERN-HEMISPHERE; SCALE VARIABILITY; WEST ANTARCTICA; HIGH-LATITUDES; CENTRAL CHILE</t>
  </si>
  <si>
    <t>Temperature changes in Antarctica over the last millennium are investigated using proxy records, a set of simulations driven by natural and anthropogenic forcings and one simulation with data assimilation. Over Antarctica, a long term cooling trend in annual mean is simulated during the period 1000-1850. The main contributor to this cooling trend is the volcanic forcing, astronomical forcing playing a dominant role at seasonal timescale. Since 1850, all the models produce an Antarctic warming in response to the increase in greenhouse gas concentrations. We present a composite of Antarctic temperature, calculated by averaging seven temperature records derived from isotope measurements in ice cores. This simple approach is supported by the coherency displayed between model results at these data grid points and Antarctic mean temperature. The composite shows a weak multi-centennial cooling trend during the pre-industrial period and a warming after 1850 that is broadly consistent with model results. In both data and simulations, large regional variations are superimposed on this common signal, at decadal to centennial timescales. The model results appear spatially more consistent than ice core records. We conclude that more records are needed to resolve the complex spatial distribution of Antarctic temperature variations during the last millennium. (c) 2012 Elsevier Ltd. All rights reserved.</t>
  </si>
  <si>
    <t>[Goosse, H.; Mairesse, A.; Mathiot, P.; Philippon, G.] Catholic Univ Louvain, Earth &amp; Life Inst, Georges Lemaitre Ctr Earth &amp; Climate Res, B-1348 Louvain, Belgium; [Braida, M.; Stenni, B.] Univ Trieste, Dipartimento Matemat &amp; Geosci, Trieste, Italy; [Crosta, X.] Univ Bordeaux 1, UMR CNRS EPOC, F-33405 Talence, France; [Masson-Delmotte, V.] CEA, CNRS, UVSQ, IPSL,Lab Sci Climat &amp; Environm, F-91198 Gif Sur Yvette, France; [Neukom, R.] Univ Bern, Oeschger Ctr Climate Change Res, CH-3012 Bern, Switzerland; [Neukom, R.] Univ Melbourne, Sch Earth Sci, Melbourne, Vic 3010, Australia; [Oerter, H.] Helmholtz Gemeinschaft, Alfred Wegener Inst Polar &amp; Meeresforsch, Bremerhaven, Germany; [Renssen, H.] Vrije Univ Amsterdam, Dept Earth Sci, Amsterdam, Netherlands; [van Ommen, T.] Australian Antarctic Div, Hobart, Tas, Australia; [van Ommen, T.] Univ Tasmania, Antarctic Climate &amp; Ecosyst CRC, Hobart, Tas, Australia; [Verleyen, E.] Univ Ghent, B-9000 Ghent, Belgium</t>
  </si>
  <si>
    <t>Universite Catholique Louvain; University of Trieste; Universite de Bordeaux; Centre National de la Recherche Scientifique (CNRS); Universite Paris Saclay; Universite Paris Cite; CEA; Centre National de la Recherche Scientifique (CNRS); University of Bern; University of Melbourne; Melbourne Bioinformatics; Helmholtz Association; Alfred Wegener Institute, Helmholtz Centre for Polar &amp; Marine Research; Vrije Universiteit Amsterdam; Australian Antarctic Division; University of Tasmania; Ghent University</t>
  </si>
  <si>
    <t>Goosse, H (corresponding author), Catholic Univ Louvain, Earth &amp; Life Inst, Georges Lemaitre Ctr Earth &amp; Climate Res, Pl Louis Pasteur 3, B-1348 Louvain, Belgium.</t>
  </si>
  <si>
    <t>hugues.goosse@uclouvain.be</t>
  </si>
  <si>
    <t>Neukom, Raphael/J-7842-2017; Masson-Delmotte, Valerie L/G-1995-2011; van Ommen, Tas/B-5020-2012</t>
  </si>
  <si>
    <t>Masson-Delmotte, Valerie L/0000-0001-8296-381X; Mathiot, Pierre/0000-0002-2001-0762; Neukom, Raphael/0000-0001-9392-0997; van Ommen, Tas/0000-0002-2463-1718; Stenni, Barbara/0000-0003-4950-3664</t>
  </si>
  <si>
    <t>F.R.S.- FNRS; Belgian Federal Science Policy Office (Research Program on Science for a Sustainable Development); French ANR VANISH; European Union's Seventh Framework programme (FP7) [243908]; Fond de la Recherche Scientifique de Belgique (FRS-FNRS)</t>
  </si>
  <si>
    <t>F.R.S.- FNRS(Fonds de la Recherche Scientifique - FNRS); Belgian Federal Science Policy Office (Research Program on Science for a Sustainable Development)(Belgian Federal Science Policy Office); French ANR VANISH(Agence Nationale de la Recherche (ANR)); European Union's Seventh Framework programme (FP7)(European Union (EU)); Fond de la Recherche Scientifique de Belgique (FRS-FNRS)(Fonds de la Recherche Scientifique - FNRS)</t>
  </si>
  <si>
    <t>We acknowledge the World Climate Research Programme's Working Group on Coupled Modelling, which is responsible for CMIP, and we thank the climate modeling groups (listed in Online Supplement Table of this paper) for producing and making available their model output, in particular Johann Jungclaus for the MPI model results. For CMIP the U.S. Department of Energy's Program for Climate Model Diagnosis and Intercomparison provides coordinating support and led development of software infrastructure in partnership with the Global Organization for Earth System Science Portals. H.G. is Senior Research Associate with the Fonds National de la Recherche Scientifique (F.R.S.- FNRS-Belgium). This work has been performed in the framework of the ESF HOLOCLIP project (a joint research project of the European Science Foundation Polar-CLIMATE program, which is funded by national contributions from Italy, France, Germany, Spain, Netherlands, Belgium and the United Kingdom) and is also supported by the F.R.S.- FNRS and by the Belgian Federal Science Policy Office (Research Program on Science for a Sustainable Development) and French ANR VANISH. The research leading to these results has received funding from the European Union's Seventh Framework programme (FP7/2007-2013) under grant agreement no 243908, Past4Future. Climate change - Learning from the past climate. Computational resources have been provided by the supercomputing facilities of the Universite catholique de Louvain (CISM/UCL) and the Consortium des Equipements de Calcul Intensif en Federation Wallonie Bruxelles (CECI) funded by the Fond de la Recherche Scientifique de Belgique (FRS-FNRS). This is HOLOCLIP contribution 13 and Past4-future contribution 31.</t>
  </si>
  <si>
    <t>NOV 8</t>
  </si>
  <si>
    <t>10.1016/j.quascirev.2012.09.003</t>
  </si>
  <si>
    <t>038PH</t>
  </si>
  <si>
    <t>Green Submitted, Green Published</t>
  </si>
  <si>
    <t>WOS:000311186100006</t>
  </si>
  <si>
    <t>Chikamoto, MO; Abe-Ouchi, A; Oka, A; Smith, SL</t>
  </si>
  <si>
    <t>Chikamoto, M. O.; Abe-Ouchi, A.; Oka, A.; Smith, S. Lan</t>
  </si>
  <si>
    <t>Temperature-induced marine export production during glacial period</t>
  </si>
  <si>
    <t>CO2; GROWTH; IMPACT</t>
  </si>
  <si>
    <t>Proxy records indicate that export production was enhanced at the onset of the last glaciation. We examine how glacial cooling affects marine export production through temperature-dependent phytoplankton productivity and organic carbon remineralization using glacial climate simulation. Compared with the standard assumption of no temperature dependence as applied in existing paleoclimate models, including temperature-dependence enhances export production globally under glacial climate conditions. The near freezing temperatures of Antarctic seawater significantly reduce organic carbon remineralization. Less remineralization than production results in increasing carbon export to the deep ocean. Nutrients remaining near the surface at high latitudes are advected to lower latitudes via Antarctic Intermediate Water, enhancing primary production, and hence export, in temperate and tropical regions as well. Including temperature-dependence improves the model's agreement with the glacial proxy records of export production and stable carbon isotopes even under stably stratified conditions with a weakening of North Atlantic Deep Water. Citation: Chikamoto, M. O., A. Abe-Ouchi, A. Oka, and S. L. Smith (2012), Temperature-induced marine export production during glacial period, Geophys. Res. Lett., 39, L21601, doi:10.1029/2012GL053828.</t>
  </si>
  <si>
    <t>[Chikamoto, M. O.; Abe-Ouchi, A.; Smith, S. Lan] JAMSTEC, Res Inst Global Change, Yokohama, Kanagawa, Japan; [Abe-Ouchi, A.; Oka, A.] Univ Tokyo, Atmosphere &amp; Ocean Res Inst, Kashiwa, Chiba, Japan</t>
  </si>
  <si>
    <t>Japan Agency for Marine-Earth Science &amp; Technology (JAMSTEC); University of Tokyo</t>
  </si>
  <si>
    <t>Chikamoto, MO (corresponding author), Univ Hawaii Manoa, Int Pacific Res Ctr, POST Bldg,1680 EW Rd, Honolulu, HI 96822 USA.</t>
  </si>
  <si>
    <t>megumich@hawaii.edu</t>
  </si>
  <si>
    <t>Smith, Sherwood Lan/D-2493-2012; Abe-Ouchi, Ayako A/M-6359-2013</t>
  </si>
  <si>
    <t>Smith, Sherwood Lan/0000-0002-2338-5893; Abe-Ouchi, Ayako A/0000-0003-1745-5952</t>
  </si>
  <si>
    <t>Grants-in-Aid for Scientific Research [22101005, 23684040] Funding Source: KAKEN</t>
  </si>
  <si>
    <t>Grants-in-Aid for Scientific Research(Ministry of Education, Culture, Sports, Science and Technology, Japan (MEXT)Japan Society for the Promotion of ScienceGrants-in-Aid for Scientific Research (KAKENHI))</t>
  </si>
  <si>
    <t>L21601</t>
  </si>
  <si>
    <t>10.1029/2012GL053828</t>
  </si>
  <si>
    <t>035QQ</t>
  </si>
  <si>
    <t>Bronze</t>
  </si>
  <si>
    <t>WOS:000310963000004</t>
  </si>
  <si>
    <t>Cunha, RL; Coscia, I; Madeira, C; Mariani, S; Stefanni, S; Castilho, R</t>
  </si>
  <si>
    <t>Cunha, Regina L.; Coscia, Ilaria; Madeira, Celine; Mariani, Stefano; Stefanni, Sergio; Castilho, Rita</t>
  </si>
  <si>
    <t>Ancient Divergence in the Trans-Oceanic Deep-Sea Shark Centroscymnus crepidater</t>
  </si>
  <si>
    <t>POPULATION GENETIC-STRUCTURE; ATLANTIC BIGEYE TUNA; FALSE DISCOVERY RATE; GLOBAL PHYLOGEOGRAPHY; THUNNUS-OBESUS; F-ST; MOLECULAR SYSTEMATICS; WESTERN ATLANTIC; RHINCODON-TYPUS; WHALE SHARK</t>
  </si>
  <si>
    <t>Unravelling the genetic structure and phylogeographic patterns of deep-sea sharks is particularly challenging given the inherent difficulty in obtaining samples. The deep-sea shark Centroscymnus crepidater is a medium-sized benthopelagic species that exhibits a circumglobal distribution occurring both in the Atlantic and Indo-Pacific Oceans. Contrary to the wealth of phylogeographic studies focused on coastal sharks, the genetic structure of bathyal species remains largely unexplored. We used a fragment of the mitochondrial DNA control region, and microsatellite data, to examine genetic structure in C. crepidater collected from the Atlantic Ocean, Tasman Sea, and southern Pacific Ocean (Chatham Rise). Two deeply divergent (3.1%) mtDNA clades were recovered, with one clade including both Atlantic and Pacific specimens, and the other composed of Atlantic samples with a single specimen from the Pacific (Chatham Rise). Bayesian analyses estimated this splitting in the Miocene at about 15 million years ago. The ancestral C. crepidater lineage was probably widely distributed in the Atlantic and Indo-Pacific Oceans. The oceanic cooling observed during the Miocene due to an Antarctic glaciation and the Tethys closure caused changes in environmental conditions that presumably restricted gene flow between basins. Fluctuations in food resources in the Southern Ocean might have promoted the dispersal of C. crepidater throughout the northern Atlantic where habitat conditions were more suitable during the Miocene. The significant genetic structure revealed by microsatellite data suggests the existence of present-day barriers to gene flow between the Atlantic and Pacific populations most likely due to the influence of the Agulhas Current retroflection on prey movements.</t>
  </si>
  <si>
    <t>[Cunha, Regina L.; Madeira, Celine; Castilho, Rita] Univ Algarve, CCMAR CIMAR, Faro, Portugal; [Coscia, Ilaria] Aberystwyth Univ, IBERS, Aberystwyth, Ceredigion, Wales; [Mariani, Stefano] Univ Salford, Sch Environm &amp; Life Sci, Manchester, Lancs, England; [Stefanni, Sergio] Univ Azores, Dept Oceanog &amp; Fisheries, IMAR DOP, Horta, Azores, Portugal</t>
  </si>
  <si>
    <t>Universidade do Algarve; Aberystwyth University; UK Research &amp; Innovation (UKRI); Biotechnology and Biological Sciences Research Council (BBSRC); Institute of Biological, Environmental, Rural &amp; Sciences (IBERS); University of Manchester; University of Salford; Universidade dos Acores</t>
  </si>
  <si>
    <t>Cunha, RL (corresponding author), Univ Algarve, CCMAR CIMAR, Faro, Portugal.</t>
  </si>
  <si>
    <t>rcunha@ualg.pt</t>
  </si>
  <si>
    <t>Stefanni, Sergio/A-5476-2009; Castilho, Rita/B-6185-2008; Lopes da Cunha, Regina/M-3463-2013; Mariani, Stefano/A-2964-2012</t>
  </si>
  <si>
    <t>Castilho, Rita/0000-0003-0727-3688; Stefanni, Sergio/0000-0001-9477-0062; Lopes da Cunha, Regina/0000-0002-4275-9723; Mariani, Stefano/0000-0002-5329-0553; Coscia, Ilaria/0000-0001-5768-4675</t>
  </si>
  <si>
    <t>DEECON Unravelling population connectivity for sustainable fisheries in the Deep Sea''; Foundation for Science and Technology, Portugal (FCT); FCT; IMAR/DOP; [SFRH/BPD/33613 2009]; Fundação para a Ciência e a Tecnologia [SFRH/BPD/33613/2009] Funding Source: FCT</t>
  </si>
  <si>
    <t>DEECON Unravelling population connectivity for sustainable fisheries in the Deep Sea''; Foundation for Science and Technology, Portugal (FCT)(Fundacao para a Ciencia e a Tecnologia (FCT)); FCT(Fundacao para a Ciencia e a Tecnologia (FCT)); IMAR/DOP; ; Fundação para a Ciência e a Tecnologia(Fundacao para a Ciencia e a Tecnologia (FCT))</t>
  </si>
  <si>
    <t>This work was funded by DEECON Unravelling population connectivity for sustainable fisheries in the Deep Sea'' project approved by the European Science Foundation (ESF) under the EUROCORES programme (proposal No 06-EuroDEEP-FP-008 and SFRH-EuroDEEP/0002/2007). R.L.C. was supported by a Postdoctoral fellowship (SFRH/BPD/33613 2009) funded by Foundation for Science and Technology, Portugal (FCT). S.S. is a researcher contracted by IMAR/DOP under the 'Ciencia 2007' recruitment program funded by FCT. The funders had no role in study design, data collection and analysis, decision to publish, or preparation of the manuscript.</t>
  </si>
  <si>
    <t>e49196</t>
  </si>
  <si>
    <t>10.1371/journal.pone.0049196</t>
  </si>
  <si>
    <t>053KE</t>
  </si>
  <si>
    <t>Green Published, gold, Green Submitted</t>
  </si>
  <si>
    <t>WOS:000312269500088</t>
  </si>
  <si>
    <t>Williams, CR; Hindmarsh, RCA; Arthern, RJ</t>
  </si>
  <si>
    <t>Williams, C. Rosie; Hindmarsh, Richard C. A.; Arthern, Robert J.</t>
  </si>
  <si>
    <t>Frequency response of ice streams</t>
  </si>
  <si>
    <t>PROCEEDINGS OF THE ROYAL SOCIETY A-MATHEMATICAL PHYSICAL AND ENGINEERING SCIENCES</t>
  </si>
  <si>
    <t>frequency response; ice stream; ice-shelf buttressing; Fourier analysis</t>
  </si>
  <si>
    <t>PINE ISLAND GLACIER; SEA-LEVEL RISE; WEST ANTARCTICA; SHEET FLOW; SPEED-UP; GREENLAND; SHELF; ACCELERATION; DYNAMICS; SURFACE</t>
  </si>
  <si>
    <t>Changes at the grounding line of ice streams have consequences for inland ice dynamics and hence sea level. Despite substantial evidence documenting upstream propagation of frontal change, the mechanisms by which these changes are transmitted inland are not well understood. In this vein, the frequency response of an idealized ice stream to periodic forcing in the downstream strain rate is examined for basally and laterally resisted ice streams using a one-dimensional, linearized membrane stress approximation. This reveals two distinct behavioural branches, which we find to correspond to different mechanisms of upstream velocity and thickness propagation, depending on the forcing frequency. At low frequencies (centennial to millennial periods), slope and thickness covary hundreds of kilometres inland, and the shallow-ice approximation is sufficient to explain upstream propagation, which occurs through changes in grounding-line flow and geometry. At high frequencies (decadal to sub-decadal periods), penetration distances are tens of kilometres; while velocity adjusts rapidly to such forcing, thickness varies little and upstream propagation occurs through the direct transmission of membrane stresses. Propagation properties vary significantly between 29 Antarctic ice streams considered. A square-wave function in frontal stress is explored by summing frequency solutions, simulating some aspects of the dynamical response to sudden ice-shelf change.</t>
  </si>
  <si>
    <t>[Williams, C. Rosie; Hindmarsh, Richard C. A.; Arthern, Robert J.] British Antarctic Survey, Cambridge CB3 0ET, England</t>
  </si>
  <si>
    <t>UK Research &amp; Innovation (UKRI); Natural Environment Research Council (NERC); NERC British Antarctic Survey</t>
  </si>
  <si>
    <t>Williams, CR (corresponding author), British Antarctic Survey, Madingley Rd, Cambridge CB3 0ET, England.</t>
  </si>
  <si>
    <t>chll1@bas.ac.uk</t>
  </si>
  <si>
    <t>Hindmarsh, Richard/N-1195-2019</t>
  </si>
  <si>
    <t>Hindmarsh, Richard/0000-0003-1633-2416</t>
  </si>
  <si>
    <t>ice2sea programme from the European Union 7th Framework Programme [226375]; NERC [bas0100027] Funding Source: UKRI; Natural Environment Research Council [bas0100027] Funding Source: researchfish</t>
  </si>
  <si>
    <t>ice2sea programme from the European Union 7th Framework Programme; NERC(UK Research &amp; Innovation (UKRI)Natural Environment Research Council (NERC)); Natural Environment Research Council(UK Research &amp; Innovation (UKRI)Natural Environment Research Council (NERC))</t>
  </si>
  <si>
    <t>This work was supported by funding from the ice2sea programme from the European Union 7th Framework Programme, grant no. 226375. Ice2sea contribution number 081.</t>
  </si>
  <si>
    <t>ROYAL SOC</t>
  </si>
  <si>
    <t>6-9 CARLTON HOUSE TERRACE, LONDON SW1Y 5AG, ENGLAND</t>
  </si>
  <si>
    <t>1364-5021</t>
  </si>
  <si>
    <t>1471-2946</t>
  </si>
  <si>
    <t>P ROY SOC A-MATH PHY</t>
  </si>
  <si>
    <t>Proc. R. Soc. A-Math. Phys. Eng. Sci.</t>
  </si>
  <si>
    <t>10.1098/rspa.2012.0180</t>
  </si>
  <si>
    <t>016XA</t>
  </si>
  <si>
    <t>Green Published, hybrid, Green Accepted</t>
  </si>
  <si>
    <t>WOS:000309551900003</t>
  </si>
  <si>
    <t>Goodwin, C; Brewin, PE; Brickle, P</t>
  </si>
  <si>
    <t>Goodwin, Claire; Brewin, Paul E.; Brickle, Paul</t>
  </si>
  <si>
    <t>Sponge biodiversity of South Georgia island with descriptions of fifteen new species</t>
  </si>
  <si>
    <t>ZOOTAXA</t>
  </si>
  <si>
    <t>sponge; South Georgia; Antarctic; Southern Ocean; biogeography; SCUBA diving; taxonomy; endemic</t>
  </si>
  <si>
    <t>WEDDELL SEA; HEXACTINELLIDA PORIFERA; ANTARCTICA; DEMOSPONGIAE; DIVERSITY; POECILOSCLERIDA; ECOLOGY; TRAITS; WATER; EAST</t>
  </si>
  <si>
    <t>Sponge samples were taken by SCUBA diving from sixteen sites on the north coast of South Georgia island, south west Southern Ocean. Fifteen new species are described: Iophon husvikensis sp. nov., Clathria (Clathria) stromnessa sp. nov., Clathria (Axosuberites) rosita sp. nov., Clathria (Microciona) matthewsi sp. nov., Lissodendoryx (Ectyodoryx) collinsi sp. nov., Hymedesmia (Hymedesmia) barnesi sp. nov., Hymedesmia (Stylopus) pharos sp. nov., Myxilla (Burtoanchora) ponceti sp. nov., Tedania (Tedaniopsis) aurantiaca sp. nov., Tedania (Tedaniopsis) wellsae sp. nov., Mycale (Mycale) brownorum sp. nov., Mycale (Mycale) cartwrighti sp. nov., Haliclona (Soestella) crowtheri sp. nov., Microxina myxa sp. nov. and Calyx shackletoni sp. nov. Information is also provided on the distribution and in situ external appearance of other sponge species such as Cinachyra barbata Sollas 1886, Polymastia invaginata Kirkpatrick 1907, Iophon unicorne Topsent 1907, Phorbas glaberrimus (Topsent 1917), Myxilla (Ectyomyxilla) kerguelensis (Hentschel 1914) and Rossella nuda Topsent 1901. These results increase the previously reported low sponge endemicity in South Georgia, which now better aligns with the high endemicity of other groups. However, because we sampled areas that have been poorly sampled in the Southern Ocean / Antarctic region (shallow subtidal, rocky), many of these species may have wider polar distributions. The effect of the Polar Front as a dispersal barrier to neighbouring biogeographic regions is discussed.</t>
  </si>
  <si>
    <t>[Goodwin, Claire] Natl Museums No Ireland, Holywood BT18 0EU, County Down, North Ireland; [Brewin, Paul E.; Brickle, Paul] Shallow Marine Surveys Grp, Stanley FIQQ 1ZZ, Durham, England; [Brickle, Paul] S Atlantic Environm Res Inst, Stanley FIQQ 122, Durham, England</t>
  </si>
  <si>
    <t>Goodwin, C (corresponding author), Natl Museums No Ireland, 153 Bangor Rd, Holywood BT18 0EU, County Down, North Ireland.</t>
  </si>
  <si>
    <t>Claire.goodwin@nmni.com</t>
  </si>
  <si>
    <t>Brickle, Paul/0000-0002-9870-3518; , Paul/0000-0002-0261-9646; Goodwin, Claire/0000-0002-2428-1340</t>
  </si>
  <si>
    <t>Darwin Initiative Award [18-019]; Joint Nature Conservation Committee (JNCC); Government of South Georgia and South Sandwich Islands; South Georgia Heritage Trust; Falkland Island Government Fisheries Department; Oceanic Ltd.; Polar Bears Ltd.; Shackleton Scholarship Fund; Ecosystems Programme of the British Antarctic Survey; Total Foundation under the CAML/SCAR-MarBIN Cybertaxonomy initiative</t>
  </si>
  <si>
    <t>Darwin Initiative Award; Joint Nature Conservation Committee (JNCC); Government of South Georgia and South Sandwich Islands; South Georgia Heritage Trust; Falkland Island Government Fisheries Department; Oceanic Ltd.; Polar Bears Ltd.; Shackleton Scholarship Fund; Ecosystems Programme of the British Antarctic Survey; Total Foundation under the CAML/SCAR-MarBIN Cybertaxonomy initiative</t>
  </si>
  <si>
    <t>Financial support for P. Brewin's salary, and other project costs, came from a Darwin Initiative Award (D. Barnes, P Brickle, M Collins, Project no. 18-019), and the Joint Nature Conservation Committee (JNCC) (P Brickle, M Collins). The authors are also grateful for the support of the Government of South Georgia and South Sandwich Islands, the South Georgia Heritage Trust, Falkland Island Government Fisheries Department (for provision of office and laboratory space), Oceanic Ltd., Polar Bears Ltd., and volunteers of the Shallow Marine Surveys Group, Falkland Islands.; Support for Claire Goodwin's travel was provided by the Shackleton Scholarship Fund. Additional funding for Scanning Electron Microscopy work on the sponges was provided by the Ecosystems Programme of the British Antarctic Survey. Taxonomic work on sponges was funded by the Total Foundation under the CAML/SCAR-MarBIN Cybertaxonomy initiative.</t>
  </si>
  <si>
    <t>MAGNOLIA PRESS</t>
  </si>
  <si>
    <t>AUCKLAND</t>
  </si>
  <si>
    <t>PO BOX 41383, AUCKLAND, ST LUKES 1030, NEW ZEALAND</t>
  </si>
  <si>
    <t>1175-5326</t>
  </si>
  <si>
    <t>1175-5334</t>
  </si>
  <si>
    <t>Zootaxa</t>
  </si>
  <si>
    <t>NOV 7</t>
  </si>
  <si>
    <t>Zoology</t>
  </si>
  <si>
    <t>041HN</t>
  </si>
  <si>
    <t>WOS:000311391200001</t>
  </si>
  <si>
    <t>Guo, SQ; Garnham, CP; Whitney, JC; Graham, LA; Davies, PL</t>
  </si>
  <si>
    <t>Guo, Shuaiqi; Garnham, Christopher P.; Whitney, John C.; Graham, Laurie A.; Davies, Peter L.</t>
  </si>
  <si>
    <t>Re-Evaluation of a Bacterial Antifreeze Protein as an Adhesin with Ice-Binding Activity</t>
  </si>
  <si>
    <t>FREEZING RESISTANCE; PSEUDOMONAS-PUTIDA; SECRETION; HYDRATION; FISHES; FOLD; RECRYSTALLIZATION; MECHANISMS; ADSORPTION; SEQUENCES</t>
  </si>
  <si>
    <t>A novel role for antifreeze proteins (AFPs) may reside in an exceptionally large 1.5-MDa adhesin isolated from an Antarctic Gram-negative bacterium, Marinomonas primoryensis. MpAFP was purified from bacterial lysates by ice adsorption and gel electrophoresis. We have previously reported that two highly repetitive sequences, region II (RII) and region IV (RIV), divide MpAFP into five distinct regions, all of which require mM Ca2+ levels for correct folding. Also, the antifreeze activity is confined to the 322-residue RIV, which forms a Ca2+-bound beta-helix containing thirteen Repeats-In-Toxin (RTX)-like repeats. RII accounts for approximately 90% of the mass of MpAFP and is made up of similar to 120 tandem 104-residue repeats. Because these repeats are identical in DNA sequence, their number was estimated here by pulsed-field gel electrophoresis. Structural homology analysis by the Protein Homology/analogY Recognition Engine (Phyre2) server indicates that the 104-residue RII repeat adopts an immunoglobulin beta-sandwich fold that is typical of many secreted adhesion proteins. Additional RTX-like repeats in RV may serve as a non-cleavable signal sequence for the type I secretion pathway. Immunodetection shows both repeated regions are uniformly distributed over the cell surface. We suggest that the development of an AFP-like domain within this adhesin attached to the bacterial outer surface serves to transiently bind the host bacteria to ice. This association would keep the bacteria within the upper reaches of the water column where oxygen and nutrients are potentially more abundant. This novel envirotactic role would give AFPs a third function, after freeze avoidance and freeze tolerance: that of transiently binding an organism to ice.</t>
  </si>
  <si>
    <t>[Davies, Peter L.] Queens Univ, Prot Funct Discovery Grp, Kingston, ON, Canada; Queens Univ, Dept Biomed &amp; Mol Sci, Kingston, ON, Canada</t>
  </si>
  <si>
    <t>Queens University - Canada; Queens University - Canada</t>
  </si>
  <si>
    <t>Davies, PL (corresponding author), Queens Univ, Prot Funct Discovery Grp, Kingston, ON, Canada.</t>
  </si>
  <si>
    <t>peter.davies@queensu.ca</t>
  </si>
  <si>
    <t>Canadian Institutes of Health Research; Natural Sciences and Engineering Research Council-PGSD3 scholarship; R. Samuel McLaughlin fellowship</t>
  </si>
  <si>
    <t>Canadian Institutes of Health Research(Canadian Institutes of Health Research (CIHR)); Natural Sciences and Engineering Research Council-PGSD3 scholarship; R. Samuel McLaughlin fellowship</t>
  </si>
  <si>
    <t>This work was funded by a grant from the Canadian Institutes of Health Research (http://www.cihr-irsc.gc.ca/e/193.html) to PLD. CPG was the recipient of an Natural Sciences and Engineering Research Council-PGSD3 scholarship (http://www.nserc-crsng.gc.ca/index_eng.asp) and an R. Samuel McLaughlin fellowship. The funders had no role in study design, data collection and analysis, decision to publish, or preparation of the manuscript.</t>
  </si>
  <si>
    <t>e48805</t>
  </si>
  <si>
    <t>10.1371/journal.pone.0048805</t>
  </si>
  <si>
    <t>048TK</t>
  </si>
  <si>
    <t>Green Published, Green Submitted, gold</t>
  </si>
  <si>
    <t>WOS:000311935800140</t>
  </si>
  <si>
    <t>Riehl, T; Kaiser, S</t>
  </si>
  <si>
    <t>Riehl, Torben; Kaiser, Stefanie</t>
  </si>
  <si>
    <t>Conquered from the Deep Sea? A New Deep-Sea Isopod Species from the Antarctic Shelf Shows Pattern of Recent Colonization</t>
  </si>
  <si>
    <t>PINE ISLAND BAY; POPULATION DIFFERENTIATION DECREASES; LAST GLACIAL MAXIMUM; ROSS ICE SHELF; SOUTHERN-OCEAN; ASELLOTA CRUSTACEA; MITOCHONDRIAL-DNA; CRYPTIC SPECIATION; DRAKE PASSAGE; LIFE-HISTORY</t>
  </si>
  <si>
    <t>The Amundsen Sea, Antarctica, is amongst the most rapidly changing environments of the world. Its benthic inhabitants are barely known and the BIOPEARL 2 project was one of the first to biologically explore this region. Collected during this expedition, Macrostylis roaldi sp. nov. is described as the first isopod discovered on the Amundsen-Sea shelf. Amongst many characteristic features, the most obvious characters unique for M. roaldi are the rather short pleotelson and short operculum as well as the trapezoid shape of the pleotelson in adult males. We used DNA barcodes (COI) and additional mitochondrial markers (12S, 16S) to reciprocally illuminate morphological results and nucleotide variability. In contrast to many other deep-sea isopods, this species is common and shows a wide distribution. Its range spreads from Pine Island Bay at inner shelf right to the shelf break and across 1,000 m bathymetrically. Its gene pool is homogenized across space and depth. This is indicative for a genetic bottleneck or a recent colonization history. Our results suggest further that migratory or dispersal capabilities of some species of brooding macrobenthos have been underestimated. This might be relevant for the species' potential to cope with effects of climate change. To determine where this species could have survived the last glacial period, alternative refuge possibilities are discussed.</t>
  </si>
  <si>
    <t>[Riehl, Torben; Kaiser, Stefanie] Univ Hamburg, Bioctr, Grindel &amp; Zool Museum, Hamburg, Germany; [Riehl, Torben] German Ctr Marine Biodivers Res, Hamburg, Germany</t>
  </si>
  <si>
    <t>University of Hamburg</t>
  </si>
  <si>
    <t>Riehl, T (corresponding author), Univ Hamburg, Bioctr, Grindel &amp; Zool Museum, Hamburg, Germany.</t>
  </si>
  <si>
    <t>t.riehl@gmx.de</t>
  </si>
  <si>
    <t>Riehl, Torben/C-3711-2013</t>
  </si>
  <si>
    <t>Kaiser, Stefanie/0000-0003-2026-4663; Riehl, Torben/0000-0002-7363-4421</t>
  </si>
  <si>
    <t>Census of the Diversity of Abyssal Marine Life'' taxonomic exchange fellowship; Stiftung Universitat Hamburg; German national academic foundation'' (Studienstiftung des Deutschen Volkes); University of Hamburg (Innovationsfond'')</t>
  </si>
  <si>
    <t>Two LAB visits at the National Museum of National History of Torben Riehl were partly funded by the Census of the Diversity of Abyssal Marine Life'' taxonomic exchange fellowship and the Stiftung Universitat Hamburg''. Preparation of this manuscript benefitted from a Ph.D. fellowship to the first author by the German national academic foundation'' (Studienstiftung des Deutschen Volkes) and a travel grant from the same source. Stefanie Kaiser acknowledges a grant provided by the University of Hamburg (Innovationsfond''). The funders had no role in study design, data collection and analysis, decision to publish, or preparation of the manuscript.</t>
  </si>
  <si>
    <t>e49354</t>
  </si>
  <si>
    <t>10.1371/journal.pone.0049354</t>
  </si>
  <si>
    <t>gold, Green Published, Green Submitted</t>
  </si>
  <si>
    <t>WOS:000311935800251</t>
  </si>
  <si>
    <t>Roccatagliata, D; Mühlenhardt-Siegel, U</t>
  </si>
  <si>
    <t>Roccatagliata, Daniel; Muehlenhardt-Siegel, Ute</t>
  </si>
  <si>
    <t>Remarks on the deep-sea genus Pseudolamprops (Cumacea: Lampropidae)</t>
  </si>
  <si>
    <t>Pseudolamprops; diagnosis (emended); P. profundus; new records; Atlantic</t>
  </si>
  <si>
    <t>ATLANTIC-OCEAN; FAMILY</t>
  </si>
  <si>
    <t>Based on two specimens collected in the Antarctic deep-sea (4928 m) the adult female and male of the genus Pseudolamprops Gam, 1989 are described for the first time. A new combination is proposed, Pseudolamprops profundus (Reyss, 1978) comb. nov., and several new records from the North Atlantic and Antarctica are provided. The diagnosis of Pseudolamprops is revised on the account of the new material available.</t>
  </si>
  <si>
    <t>[Roccatagliata, Daniel] Univ Buenos Aires, Fac Ciencias Exactas &amp; Nat, Dept Biodiversidad &amp; Biol Expt, Buenos Aires, DF, Argentina; [Muehlenhardt-Siegel, Ute] Univ Hamburg, Biozentrum Grindel, D-20146 Hamburg, Germany; [Muehlenhardt-Siegel, Ute] Zool Museum, D-20146 Hamburg, Germany</t>
  </si>
  <si>
    <t>University of Buenos Aires; University of Hamburg</t>
  </si>
  <si>
    <t>Roccatagliata, D (corresponding author), Univ Buenos Aires, Fac Ciencias Exactas &amp; Nat, Dept Biodiversidad &amp; Biol Expt, Ciudad Univ,C1428EHA, Buenos Aires, DF, Argentina.</t>
  </si>
  <si>
    <t>rocca@bg.fcen.uba.ar; muehsie@zoologie.uni-hamburg.de</t>
  </si>
  <si>
    <t>Deutscher Akademischer Austausch Dienst (DAAD); Deutsche Forschungsgemeinschaft [Mu 933/6-1]; Consejo Nacional de Investigaciones Cientificas y Tecnicas [PIP 1122009010044]; Universidad de Buenos Aires [UBACyT 20020100100857]</t>
  </si>
  <si>
    <t>Deutscher Akademischer Austausch Dienst (DAAD)(Deutscher Akademischer Austausch Dienst (DAAD)); Deutsche Forschungsgemeinschaft(German Research Foundation (DFG)); Consejo Nacional de Investigaciones Cientificas y Tecnicas(Consejo Nacional de Investigaciones Cientificas y Tecnicas (CONICET)); Universidad de Buenos Aires(University of Buenos Aires)</t>
  </si>
  <si>
    <t>One of us (DR) is greatly indebted to Prof. Dr. Angelika Brandt and all the staff of the Niedere Tiere 2 for their hospitality and the facilities offered during the visit to the Zoologisches Museum Hamburg (ZMH). We are also grateful to Dr. Paula Rodriguez Moreno for the loan of the specimens of Lamprops profundus deposited in the Museum national d'Histoire naturelle (MNHN Cu308), to late Dr. Norman S. Jones for providing the five specimens collected in the North Atlantic by the Centre Oceanologique de Bretagne, COB (now IFREMER), and to crew and colleagues on board R/V Polarstern for their support and cooperation. Dr. Jordi Corbera and an anonymous reviewer are also thanked for their constructive comments on the manuscript. This research was funded by the Deutscher Akademischer Austausch Dienst (DAAD), the Deutsche Forschungsgemeinschaft (grant Mu 933/6-1), the Consejo Nacional de Investigaciones Cientificas y Tecnicas (grant PIP 1122009010044) and the Universidad de Buenos Aires (grant UBACyT 20020100100857). This is ANDEEP publication no. 174.</t>
  </si>
  <si>
    <t>WOS:000311391200003</t>
  </si>
  <si>
    <t>Hong, S; Soyol-Erdene, TO; Hwang, HJ; Hong, SB; Do Hur, S; Motoyama, H</t>
  </si>
  <si>
    <t>Hong, Sungmin; Soyol-Erdene, Tseren-Ochir; Hwang, Hee Jin; Hong, Sang Bum; Do Hur, Soon; Motoyama, Hidaeki</t>
  </si>
  <si>
    <t>Evidence of Global-Scale As, Mo, Sb, and Tl Atmospheric Pollution in the Antarctic Snow</t>
  </si>
  <si>
    <t>ENVIRONMENTAL SCIENCE &amp; TECHNOLOGY</t>
  </si>
  <si>
    <t>HEAVY-METALS; ICE CORE; DOME FUJI; RECORD; EMISSIONS; FIRN; DEPOSITION; THALLIUM; PATTERNS; ERUPTION</t>
  </si>
  <si>
    <t>We report the first comprehensive and reliable time series for As, Mo, Sb, and Tl in the snowpack from Dome Fuji in the central East Antarctic Plateau. Our results show significant enrichment of these elements due to either anthropogenic activities or large volcanic eruptions during the past 50 years. With respect to the values reported from 1960 to 1964, we observed the maximum increases in crustal enrichment factors (EFs) for As (a factor of similar to 15), Mo (similar to 4), Sb (similar to 4), and Tl (similar to 2) during the period between the 1970s and 1990s, reflecting the global dispersion of anthropogenic pollutants of these elements, even to the most remote areas on Earth. Such enrichments are likely related to emissions of trace elements from nonferrous metal smelting and fossil fuel combustion processes in South America, especially in Chile. A drastic decrease in the As concentration and its EF values was observed after the year 2000 in response to the introduction of environmental regulations in the 1990s to reduce As emissions from the copper industry, primarily in Chile. The observed decrease suggests that governmental regulations for pollution control are effective in reducing air pollution at both the regional and global level.</t>
  </si>
  <si>
    <t>[Hong, Sungmin] Inha Univ, Dept Ocean Sci, Inchon 402751, South Korea; [Soyol-Erdene, Tseren-Ochir; Hwang, Hee Jin; Hong, Sang Bum; Do Hur, Soon] Korea Polar Res Inst, Inchon 406840, South Korea; [Motoyama, Hidaeki] Natl Inst Polar Res, Tachikawa, Tokyo 1908518, Japan</t>
  </si>
  <si>
    <t>Inha University; Korea Polar Research Institute (KOPRI); Korea Institute of Ocean Science &amp; Technology (KIOST); Research Organization of Information &amp; Systems (ROIS); National Institute of Polar Research (NIPR) - Japan</t>
  </si>
  <si>
    <t>Hong, S (corresponding author), Inha Univ, Dept Ocean Sci, 100 Inha Ro, Inchon 402751, South Korea.</t>
  </si>
  <si>
    <t>smhong@inha.ac.kr</t>
  </si>
  <si>
    <t>Tseren-Ochir, Soyol-Erdene/P-9364-2015</t>
  </si>
  <si>
    <t>Tseren-Ochir, Soyol-Erdene/0000-0002-6356-1361</t>
  </si>
  <si>
    <t>National Research Foundation of Korea (NRF); Ministry of Education, Science and Technology [2012R1A1A2001832]; Korea Polar Research Institute (KOPRI) in Korea [PE12070]; Japan Society for the Promotion of Science (JSPS) in Japan [20241007]</t>
  </si>
  <si>
    <t>National Research Foundation of Korea (NRF)(National Research Foundation of Korea); Ministry of Education, Science and Technology(Ministry of Education, Science &amp; Technology (MEST), Republic of Korea); Korea Polar Research Institute (KOPRI) in Korea; Japan Society for the Promotion of Science (JSPS) in Japan(Ministry of Education, Culture, Sports, Science and Technology, Japan (MEXT)Japan Society for the Promotion of Science)</t>
  </si>
  <si>
    <t>We thank all field personnel for sampling during the Japanese-Swedish IPY Antarctic expedition. This research was supported by the Basic Science Research Program through the National Research Foundation of Korea (NRF) funded by the Ministry of Education, Science and Technology (2012R1A1A2001832). This work was also supported by a research grant (PE12070) from the Korea Polar Research Institute (KOPRI) in Korea and the Japan Society for the Promotion of Science (JSPS) research grant ((A) 20241007) in Japan.</t>
  </si>
  <si>
    <t>AMER CHEMICAL SOC</t>
  </si>
  <si>
    <t>1155 16TH ST, NW, WASHINGTON, DC 20036 USA</t>
  </si>
  <si>
    <t>0013-936X</t>
  </si>
  <si>
    <t>1520-5851</t>
  </si>
  <si>
    <t>ENVIRON SCI TECHNOL</t>
  </si>
  <si>
    <t>Environ. Sci. Technol.</t>
  </si>
  <si>
    <t>NOV 6</t>
  </si>
  <si>
    <t>10.1021/es303086c</t>
  </si>
  <si>
    <t>Engineering, Environmental; Environmental Sciences</t>
  </si>
  <si>
    <t>Engineering; Environmental Sciences &amp; Ecology</t>
  </si>
  <si>
    <t>031TK</t>
  </si>
  <si>
    <t>WOS:000310665000009</t>
  </si>
  <si>
    <t>Carrasco, M; Rozas, JM; Barahona, S; Alcaíno, J; Cifuentes, V; Baeza, M</t>
  </si>
  <si>
    <t>Carrasco, Mario; Manuel Rozas, Juan; Barahona, Salvador; Alcaino, Jennifer; Cifuentes, Victor; Baeza, Marcelo</t>
  </si>
  <si>
    <t>Diversity and extracellular enzymatic activities of yeasts isolated from King George Island, the sub-Antarctic region</t>
  </si>
  <si>
    <t>BMC MICROBIOLOGY</t>
  </si>
  <si>
    <t>Antarctic yeasts; Psychrophilic-psychrotolerant yeasts; Extracellular enzyme activities; rDNA yeast identification</t>
  </si>
  <si>
    <t>PSYCHROPHILIC MICROORGANISMS; BASIDIOMYCETOUS YEASTS; STRAINS; ENZYMES; ENVIRONMENTS; XYLANASE; FUNGI; IDENTIFICATION; PURIFICATION; SYSTEMATICS</t>
  </si>
  <si>
    <t>Background: Antarctica has been successfully colonized by microorganisms despite presenting adverse conditions for life such as low temperatures, high solar radiation, low nutrient availability and dryness. Although these cold-loving microorganisms are recognized as primarily responsible for nutrient and organic matter recycling/mineralization, the yeasts, in particular, remain poorly characterized and understood. The aim of this work was to study the yeast microbiota in soil and water samples collected on King George Island. Results: A high number of yeast isolates was obtained from 34 soil and 14 water samples. Molecular analyses based on rDNA sequences revealed 22 yeast species belonging to 12 genera, with Mrakia and Cryptococcus genera containing the highest species diversity. The species Sporidiobolus salmonicolor was by far the most ubiquitous, being identified in 24 isolates from 13 different samples. Most of the yeasts were psychrotolerant and ranged widely in their ability to assimilate carbon sources (consuming from 1 to 27 of the 29 carbon sources tested). All species displayed at least 1 of the 8 extracellular enzyme activities tested. Lipase, amylase and esterase activity dominated, while chitinase and xylanase were less common. Two yeasts identified as Leuconeurospora sp. and Dioszegia fristingensis displayed 6 enzyme activities. Conclusions: A high diversity of yeasts was isolated in this work including undescribed species and species not previously isolated from the Antarctic region, including Wickerhamomyces anomalus, which has not been isolated from cold regions in general. The diversity of extracellular enzyme activities, and hence the variety of compounds that the yeasts may degrade or transform, suggests an important nutrient recycling role of microorganisms in this region. These yeasts are of potential use in industrial applications requiring high enzyme activities at low temperatures.</t>
  </si>
  <si>
    <t>[Carrasco, Mario; Manuel Rozas, Juan; Barahona, Salvador; Alcaino, Jennifer; Cifuentes, Victor; Baeza, Marcelo] Univ Chile, Fac Ciencias, Genet Lab, Depto Ciencias Ecol, Santiago 653, Chile</t>
  </si>
  <si>
    <t>Universidad de Chile</t>
  </si>
  <si>
    <t>Baeza, M (corresponding author), Univ Chile, Fac Ciencias, Genet Lab, Depto Ciencias Ecol, Las Palmeras 3425 Casilla, Santiago 653, Chile.</t>
  </si>
  <si>
    <t>mbaeza@u.uchile.cl</t>
  </si>
  <si>
    <t>Alcaino, Jennifer/H-4576-2012; /C-6686-2008</t>
  </si>
  <si>
    <t>Baeza, Marcelo/0000-0001-8853-395X</t>
  </si>
  <si>
    <t>Instituto Antartico Chileno [T_23-09]</t>
  </si>
  <si>
    <t>Instituto Antartico Chileno</t>
  </si>
  <si>
    <t>We thank Ricardo Jana (Departamento Cientifico - Instituto Antartico Chileno) for compiling the maps. This work was supported by grant T_23-09 from the Instituto Antartico Chileno.</t>
  </si>
  <si>
    <t>BIOMED CENTRAL LTD</t>
  </si>
  <si>
    <t>236 GRAYS INN RD, FLOOR 6, LONDON WC1X 8HL, ENGLAND</t>
  </si>
  <si>
    <t>1471-2180</t>
  </si>
  <si>
    <t>BMC MICROBIOL</t>
  </si>
  <si>
    <t>BMC Microbiol.</t>
  </si>
  <si>
    <t>10.1186/1471-2180-12-251</t>
  </si>
  <si>
    <t>Microbiology</t>
  </si>
  <si>
    <t>038FS</t>
  </si>
  <si>
    <t>gold, Green Published</t>
  </si>
  <si>
    <t>WOS:000311161200001</t>
  </si>
  <si>
    <t>Maschek, JA; Meyers, E; Diyabalanage, T; Chen, LW; Ren, Y; McClintock, JB; Amsler, CD; Wu, J; Baker, BJ</t>
  </si>
  <si>
    <t>Maschek, J. Alan; Meyers, Emily; Diyabalanage, Thushara; Chen, Liwei; Ren, Yuan; McClintock, James B.; Amsler, Charles D.; Wu, Jie; Baker, Bill J.</t>
  </si>
  <si>
    <t>Palmadorin chemodiversity from the Antarctic nudibranch Austrodoris kerguelenensis and inhibition of Jak2/STAT5-dependent HEL leukemia cells</t>
  </si>
  <si>
    <t>TETRAHEDRON</t>
  </si>
  <si>
    <t>Antarctica; Clerodane; Halimane; Labdane; Marine</t>
  </si>
  <si>
    <t>DITERPENOID DIACYLGLYCEROLS; DORID NUDIBRANCHS; CHEMICAL DEFENSE; ACID; CLERODANE; ESTER; SKIN</t>
  </si>
  <si>
    <t>Detailed investigation of the Antarctic nudibranch Austrodoris kerguelenensis has resulted in the isolation of a diverse suite of new diterpenoid glyceride esters (1-16) related to the palmadorins (17-19), including one (palmadorin L (9)) that is the first halogenated diterpene from this well-studied nudibranch. Previous collections of A. kerguelenensis from McMurdo Sound, the Weddell Sea and the Western Antarctic Peninsula have afforded related diterpene glycerides, a natural product class implicated as a chemical defense in nudibranchs. In this paper we describe the isolation, structure elucidation, and stereochemical analysis of sixteen new palmadorins using a combination of one- and two-dimensional NMR techniques. Palmadorin A (17), B (18), D (1), M (10), N (11), and O (12) inhibit human erythroleukemia (HEL) cells with low micromolar IC50's, and palmadorin M inhibits Jak2, STAT5, and Erk1/2 activation in HEL cells and causes apoptosis, at 5 mu M. (C) 2012 Elsevier Ltd. All rights reserved.</t>
  </si>
  <si>
    <t>[Maschek, J. Alan; Meyers, Emily; Diyabalanage, Thushara; Baker, Bill J.] Univ S Florida, Dept Chem, Tampa, FL 33620 USA; [Chen, Liwei; Ren, Yuan; Wu, Jie] Univ S Florida, Coll Med, H Lee Moffitt Canc Ctr &amp; Res Inst, Dept Mol Oncol, Tampa, FL 33612 USA; [McClintock, James B.; Amsler, Charles D.] Univ Alabama Birmingham, Dept Biol, Birmingham, AL 35294 USA; [Baker, Bill J.] Univ S Florida, Ctr Drug Discovery &amp; Innovat, Tampa, FL 33620 USA</t>
  </si>
  <si>
    <t>State University System of Florida; University of South Florida; H Lee Moffitt Cancer Center &amp; Research Institute; State University System of Florida; University of South Florida; University of Alabama System; University of Alabama Birmingham; State University System of Florida; University of South Florida</t>
  </si>
  <si>
    <t>Baker, BJ (corresponding author), Univ S Florida, Dept Chem, Tampa, FL 33620 USA.</t>
  </si>
  <si>
    <t>bjbaker@usf.edu</t>
  </si>
  <si>
    <t>Baker, Bill/N-4312-2019; Mevers, Emily/JJD-8546-2023; Wu, Jie/R-2404-2019</t>
  </si>
  <si>
    <t>Wu, Jie/0000-0002-2864-1606; Amsler, Charles/0000-0002-4843-3759; Mevers, Emily/0000-0001-7986-5610</t>
  </si>
  <si>
    <t>Office of Polar Programs of the National Science Foundation [OPP-0442769, ANT-0838773, OPP-0442857, ANT-0838776]</t>
  </si>
  <si>
    <t>Office of Polar Programs of the National Science Foundation</t>
  </si>
  <si>
    <t>We are indebted to S-022 divers for collecting specimens, including M. Amsler, C. Aumack, P. Bucculo, and J. Zamzow. We would like to express our appreciation to the staff of Raytheon Polar Services Company and the Antarctic support services of the National Science Foundation for providing logistical support. L Calcul assisted this research with sample handling for anticancer screening. USF's Chemistry and CDDI NMR and mass spectrometry facilities performed spectroscopic analysis for this project. This research was facilitated by funding from the Office of Polar Programs of the National Science Foundation (OPP-0442769 and ANT-0838773 to C.D.A. and J.B.M., OPP-0442857 and ANT-0838776 to B.J.B.).</t>
  </si>
  <si>
    <t>0040-4020</t>
  </si>
  <si>
    <t>Tetrahedron</t>
  </si>
  <si>
    <t>NOV 4</t>
  </si>
  <si>
    <t>10.1016/j.tet.2012.08.045</t>
  </si>
  <si>
    <t>Chemistry, Organic</t>
  </si>
  <si>
    <t>Science Citation Index Expanded (SCI-EXPANDED); Index Chemicus (IC)</t>
  </si>
  <si>
    <t>Chemistry</t>
  </si>
  <si>
    <t>017VD</t>
  </si>
  <si>
    <t>WOS:000309618200017</t>
  </si>
  <si>
    <t>Haward, M; Jabour, J; Press, AJ</t>
  </si>
  <si>
    <t>Haward, Marcus; Jabour, Julia; Press, A. J.</t>
  </si>
  <si>
    <t>Antarctic Treaty System Ready for a Challenge</t>
  </si>
  <si>
    <t>Letter</t>
  </si>
  <si>
    <t>[Haward, Marcus; Jabour, Julia] Univ Tasmania, Inst Marine &amp; Antarctic Studies, Hobart, Tas 7001, Australia; [Press, A. J.] Antarctic Climate &amp; Ecosyst Cooperat Res Ctr, Hobart, Tas 7001, Australia</t>
  </si>
  <si>
    <t>University of Tasmania; Antarctic Climate &amp; Ecosystems Cooperative Research Centre (ACE CRC)</t>
  </si>
  <si>
    <t>Haward, M (corresponding author), Univ Tasmania, Inst Marine &amp; Antarctic Studies, Hobart, Tas 7001, Australia.</t>
  </si>
  <si>
    <t>m.g.haward@utas.edu.au</t>
  </si>
  <si>
    <t>Jabour, Julia A/J-7882-2014; Haward, Marcus/G-3369-2014</t>
  </si>
  <si>
    <t>Press, Anthony/0000-0002-3233-8933; Haward, Marcus/0000-0003-4775-0864</t>
  </si>
  <si>
    <t>NOV 2</t>
  </si>
  <si>
    <t>10.1126/science.338.6107.603</t>
  </si>
  <si>
    <t>029SM</t>
  </si>
  <si>
    <t>WOS:000310516000018</t>
  </si>
  <si>
    <t>Boening, C; Lebsock, M; Landerer, F; Stephens, G</t>
  </si>
  <si>
    <t>Boening, Carmen; Lebsock, Matthew; Landerer, Felix; Stephens, Graeme</t>
  </si>
  <si>
    <t>Snowfall-driven mass change on the East Antarctic ice sheet</t>
  </si>
  <si>
    <t>VARIABILITY; BALANCE; GRACE</t>
  </si>
  <si>
    <t>An improved understanding of processes dominating the sensitive balance between mass loss primarily due to glacial discharge and mass gain through precipitation is essential for determining the future behavior of the Antarctic ice sheet and its contribution to sea level rise. While satellite observations of Antarctica indicate that West Antarctica experiences dramatic mass loss along the Antarctic Peninsula and Pine Island Glacier, East Antarctica has remained comparably stable. In this study, we describe the causes and magnitude of recent extreme precipitation events along the East Antarctic coast that led to significant regional mass accumulations that partially compensate for some of the recent global ice mass losses that contribute to global sea level rise. The gain of almost 350 Gt from 2009 to 2011 is equivalent to a decrease in global mean sea level at a rate of 0.32 mm/yr over this three-year period. Citation: Boening, C., M. Lebsock, F. Landerer, and G. Stephens (2012), Snowfall-driven mass change on the East Antarctic ice sheet, Geophys. Res. Lett., 39, L21501, doi:10.1029/2012GL053316.</t>
  </si>
  <si>
    <t>[Boening, Carmen; Lebsock, Matthew; Landerer, Felix; Stephens, Graeme] CALTECH, Jet Prop Lab, Pasadena, CA 91109 USA</t>
  </si>
  <si>
    <t>California Institute of Technology; National Aeronautics &amp; Space Administration (NASA); NASA Jet Propulsion Laboratory (JPL)</t>
  </si>
  <si>
    <t>Boening, C (corresponding author), CALTECH, Jet Prop Lab, MS 300-323,4800 Oak Grove Dr, Pasadena, CA 91109 USA.</t>
  </si>
  <si>
    <t>carmen.boening@jpl.nasa.gov</t>
  </si>
  <si>
    <t>Landerer, Felix W/ABG-2849-2021</t>
  </si>
  <si>
    <t>Landerer, Felix W/0000-0003-2678-095X; Blackwood, Carmen/0000-0003-0823-1949</t>
  </si>
  <si>
    <t>NASA [NMO710771]</t>
  </si>
  <si>
    <t>NASA(National Aeronautics &amp; Space Administration (NASA))</t>
  </si>
  <si>
    <t>We would like to thank two anonymous reviewers for their helpful comments and suggestions. The work was performed at the Jet Propulsion Laboratory, California Institute of Technology, under contract with NASA and is partially supported through NASA contract NMO710771 to JPL. We thank the GRACE analysis centers at University of Texas, JPL, and Geoforschungszentrum Potsdam, and the German Space Operations Center (GSOC) of the German Aerospace Center (DLR).</t>
  </si>
  <si>
    <t>L21501</t>
  </si>
  <si>
    <t>10.1029/2012GL053316</t>
  </si>
  <si>
    <t>032DA</t>
  </si>
  <si>
    <t>WOS:000310691000001</t>
  </si>
  <si>
    <t>Durso, LM; Miller, DN; Wienhold, BJ</t>
  </si>
  <si>
    <t>Durso, Lisa M.; Miller, Daniel N.; Wienhold, Brian J.</t>
  </si>
  <si>
    <t>Distribution and Quantification of Antibiotic Resistant Genes and Bacteria across Agricultural and Non-Agricultural Metagenomes</t>
  </si>
  <si>
    <t>FUNCTIONAL-ANALYSIS; ESCHERICHIA-COLI; TRACKING; FOOD</t>
  </si>
  <si>
    <t>There is concern that antibiotic resistance can potentially be transferred from animals to humans through the food chain. The relationship between specific antibiotic resistant bacteria and the genes they carry remains to be described. Few details are known about the ecology of antibiotic resistant genes and bacteria in food production systems, or how antibiotic resistance genes in food animals compare to antibiotic resistance genes in other ecosystems. Here we report the distribution of antibiotic resistant genes in publicly available agricultural and non-agricultural metagenomic samples and identify which bacteria are likely to be carrying those genes. Antibiotic resistance, as coded for in the genes used in this study, is a process that was associated with all natural, agricultural, and human-impacted ecosystems examined, with between 0.7 to 4.4% of all classified genes in each habitat coding for resistance to antibiotic and toxic compounds (RATC). Agricultural, human, and coastal-marine metagenomes have characteristic distributions of antibiotic resistance genes, and different bacteria that carry the genes. There is a larger percentage of the total genome associated with antibiotic resistance in gastrointestinal-associated and agricultural metagenomes compared to marine and Antarctic samples. Since antibiotic resistance genes are a natural part of both human-impacted and pristine habitats, presence of these resistance genes in any specific habitat is therefore not sufficient to indicate or determine impact of anthropogenic antibiotic use. We recommend that baseline studies and control samples be taken in order to determine natural background levels of antibiotic resistant bacteria and/or antibiotic resistance genes when investigating the impacts of veterinary use of antibiotics on human health. We raise questions regarding whether the underlying biology of each type of bacteria contributes to the likelihood of transfer via the food chain.</t>
  </si>
  <si>
    <t>[Durso, Lisa M.; Miller, Daniel N.; Wienhold, Brian J.] USDA, ARS, Agroecosyst Management Res Unit, Lincoln, NE USA</t>
  </si>
  <si>
    <t>United States Department of Agriculture (USDA)</t>
  </si>
  <si>
    <t>Durso, LM (corresponding author), USDA, ARS, Agroecosyst Management Res Unit, Lincoln, NE USA.</t>
  </si>
  <si>
    <t>Lisa.Durso@ars.usda.gov</t>
  </si>
  <si>
    <t>Wienhold, Brian/0000-0003-3066-6965; Miller, Daniel/0000-0003-3476-487X</t>
  </si>
  <si>
    <t>e48325</t>
  </si>
  <si>
    <t>10.1371/journal.pone.0048325</t>
  </si>
  <si>
    <t>032GO</t>
  </si>
  <si>
    <t>WOS:000310702400032</t>
  </si>
  <si>
    <t>Vyazilova, NA; Vyazilova, AE</t>
  </si>
  <si>
    <t>Vyazilova, N. A.; Vyazilova, A. E.</t>
  </si>
  <si>
    <t>On the North Atlantic extreme cyclone activity</t>
  </si>
  <si>
    <t>RUSSIAN METEOROLOGY AND HYDROLOGY</t>
  </si>
  <si>
    <t>Compared are the parameters of the cyclone activity in some areas of the North Atlantic in the winter (from October to March) and summer (from April to September) seasons for the period from January 1, 1948 to March 31, 2010, as well as the activity for the cyclones with the moderate intensity with the pressure in the center from 1000 to 970 hPa and for extremely intense cyclones (970 hPa and lower). The characteristics of cyclone activity, the density and intensity of cyclones, are determined using a method of the automatic identification of cyclone centers from the data on the sea level pressure.</t>
  </si>
  <si>
    <t>[Vyazilova, N. A.] Hydrometeorol Informat World Data Ctr, All Russian Res Inst, Obninsk 249035, Kaluga Oblast, Russia; [Vyazilova, A. E.] Arctic &amp; Antarctic Res Inst, St Petersburg 199397, Russia</t>
  </si>
  <si>
    <t>Arctic &amp; Antarctic Research Institute</t>
  </si>
  <si>
    <t>Vyazilova, NA (corresponding author), Hydrometeorol Informat World Data Ctr, All Russian Res Inst, Obninsk 249035, Kaluga Oblast, Russia.</t>
  </si>
  <si>
    <t>Vyazilova, Anastasia/AAO-5568-2020</t>
  </si>
  <si>
    <t>Vyazilova, Anastasia/0000-0001-5657-7309</t>
  </si>
  <si>
    <t>PLEIADES PUBLISHING INC</t>
  </si>
  <si>
    <t>MOSCOW</t>
  </si>
  <si>
    <t>PLEIADES PUBLISHING INC, MOSCOW, 00000, RUSSIA</t>
  </si>
  <si>
    <t>1068-3739</t>
  </si>
  <si>
    <t>1934-8096</t>
  </si>
  <si>
    <t>RUSS METEOROL HYDRO+</t>
  </si>
  <si>
    <t>Russ. Meteorol. Hydrol.</t>
  </si>
  <si>
    <t>NOV</t>
  </si>
  <si>
    <t>11-12</t>
  </si>
  <si>
    <t>10.3103/S1068373912110015</t>
  </si>
  <si>
    <t>086LN</t>
  </si>
  <si>
    <t>WOS:000314685300001</t>
  </si>
  <si>
    <t>Golovin, PN</t>
  </si>
  <si>
    <t>Golovin, P. N.</t>
  </si>
  <si>
    <t>Conditions of the formation and runoff of shelf waters in different water areas of the Arctic and Antarctic</t>
  </si>
  <si>
    <t>The comparative analysis of hydrometeorological and topographic conditions of the formation and runoff of dense shelf waters on the shelves and continental slopes in different water areas of the Arctic and Antarctic demonstrates that they are similar in many aspects but there are some differences as well. In the Antarctic, these conditions are more favorable. The thermohaline conditions of the formation and runoff of shelf waters in the Arctic and Antarctic are also similar. The similarity of different conditions enables to construct the adaptive physical model of the shelf and slope cascading of shelf waters generalized for different polar water areas. It is based on the analysis of historical and present-day in situ data in the areas of margins of shelves and slopes in the Arctic and Antarctic, observations in the areas of flaw polynyas, and passing ice and meteorological observations, as well as on taking account of some general results of laboratory and theoretical investigations of the dense liquid runoff along the inclined bottom.</t>
  </si>
  <si>
    <t>Arctic &amp; Antarctic Res Inst, St Petersburg 199397, Russia</t>
  </si>
  <si>
    <t>Golovin, PN (corresponding author), Arctic &amp; Antarctic Res Inst, Ul Beringa 38, St Petersburg 199397, Russia.</t>
  </si>
  <si>
    <t>subprogram The Study and Research of the Antarctic of the Federal Task Program The World Ocean; Russian Foundation for Basic Research [08-05-00146-a]</t>
  </si>
  <si>
    <t>subprogram The Study and Research of the Antarctic of the Federal Task Program The World Ocean; Russian Foundation for Basic Research(Russian Foundation for Basic Research (RFBR)Spanish Government)</t>
  </si>
  <si>
    <t>The research was supported by the subprogram The Study and Research of the Antarctic of the Federal Task Program The World Ocean and by the Russian Foundation for Basic Research (project 08-05-00146-a).</t>
  </si>
  <si>
    <t>10.3103/S106837391211009X</t>
  </si>
  <si>
    <t>WOS:000314685300009</t>
  </si>
  <si>
    <t>van Ginneken, M; Suavet, C; Cordier, C; Folco, L; Rochette, P; Sonzogni, C; Perchiazzi, N</t>
  </si>
  <si>
    <t>van Ginneken, M.; Suavet, C.; Cordier, C.; Folco, L.; Rochette, P.; Sonzogni, C.; Perchiazzi, N.</t>
  </si>
  <si>
    <t>Oxygen isotope composition of meteoritic ablation debris from the Transantarctic Mountains: Constraining the parent body and implications for the impact scenario</t>
  </si>
  <si>
    <t>METEORITICS &amp; PLANETARY SCIENCE</t>
  </si>
  <si>
    <t>LASER-EXTRACTION TECHNIQUE; COSMIC SPHERULES; FRONTIER MOUNTAIN; TRACE-ELEMENT; VICTORIA LAND; MICROMETEORITES; RECORD</t>
  </si>
  <si>
    <t>Microscopic meteoritic ablation spheres recently found on top of the Victoria Land in Transantarctic Mountains, and in the L2 Dome C and DF2691 Dome Fuji ice core layers document a major impact of a 10(8) kg (or larger) cosmic body in the Antarctic region about 480 kyr ago. Although of broadly chondritic composition, the exact nature of the impactor is unknown, and whether the impactor struck the Antarctic ice sheet or exploded in the atmosphere is a matter of debate. Based on oxygen isotope analyses of ablation spheres from the Transantarctic Mountains by means of IR-laser fluorination coupled with mass spectrometry, we suggest that they represent the debris of an atmospheric airburst of a primitive asteroid of CV, CO, or CK composition, or a comet with composition similar to the short-period comet 81P/Wild 2.</t>
  </si>
  <si>
    <t>[van Ginneken, M.; Suavet, C.; Cordier, C.; Folco, L.] Univ Siena, Museo Nazl Antartide, I-53100 Siena, Italy; [Rochette, P.; Sonzogni, C.] Aix Marseille Univ, CNRS, Ctr Europeen Rech &amp; Enseignement Geosci Environm, F-13545 Aix En Provence 4, France</t>
  </si>
  <si>
    <t>University of Siena; Centre National de la Recherche Scientifique (CNRS); Aix-Marseille Universite</t>
  </si>
  <si>
    <t>van Ginneken, M (corresponding author), Korea Polar Res Inst, Get Pearl Tower,12 Gaetbeol Ro, Inchon 406840, South Korea.</t>
  </si>
  <si>
    <t>vanginneken@kopri.re.kr</t>
  </si>
  <si>
    <t>Folco, Luigi/AAA-6351-2020; Sonzogni, Corinne/AAG-5816-2019; Van Ginneken, Matthias/AFQ-5594-2022; Folco, Luigi/AAB-8586-2021; Perchiazzi, Natale/A-9578-2018; Rochette, Pierre/O-4612-2019; Van Ginneken, Matthias/A-3342-2017</t>
  </si>
  <si>
    <t>Van Ginneken, Matthias/0000-0002-2508-7021; Perchiazzi, Natale/0000-0003-3229-2282; Rochette, Pierre/0000-0002-7362-0660; Van Ginneken, Matthias/0000-0002-2508-7021; Suavet, Clement/0000-0001-9970-0864; Cordier, Carole/0000-0002-6100-4393; Folco, Luigi/0000-0002-7276-3483</t>
  </si>
  <si>
    <t>Programma Nazionale di Ricerche in Antartide (PNRA); European Commission [35519]; Fondazione Monte dei Paschi di Siena; Institut Paul Emile Victor (IPEV)</t>
  </si>
  <si>
    <t>Programma Nazionale di Ricerche in Antartide (PNRA); European Commission(European Union (EU)European Commission Joint Research Centre); Fondazione Monte dei Paschi di Siena; Institut Paul Emile Victor (IPEV)</t>
  </si>
  <si>
    <t>This work was supported by the Programma Nazionale di Ricerche in Antartide (PNRA). Meteoritic ablation spheres from the Transantarctic Mountains belong to the Museo Nazionale dell'Antartide (Siena) meteorite collection. M. v. G., L. F., C. C., and C., Su are also supported by the European Commission through the Marie Curie Actions-RTN ORIGINS project (ID: 35519) and Fondazione Monte dei Paschi di Siena. P. R. is also supported by Institut Paul Emile Victor (IPEV). J. Gattacceca is thanked for assistance in oxygen isotope analyses at CEREGE. We acknowledge D. Borschneck in CEREGE for determination of XRD spectra. I. Franchi is acknowledged for editorial assistance, and K. Misawa and R. Harvey for their constructive comments.</t>
  </si>
  <si>
    <t>WILEY</t>
  </si>
  <si>
    <t>HOBOKEN</t>
  </si>
  <si>
    <t>111 RIVER ST, HOBOKEN 07030-5774, NJ USA</t>
  </si>
  <si>
    <t>1086-9379</t>
  </si>
  <si>
    <t>1945-5100</t>
  </si>
  <si>
    <t>METEORIT PLANET SCI</t>
  </si>
  <si>
    <t>Meteorit. Planet. Sci.</t>
  </si>
  <si>
    <t>10.1111/maps.12011</t>
  </si>
  <si>
    <t>076UW</t>
  </si>
  <si>
    <t>WOS:000313985100005</t>
  </si>
  <si>
    <t>Garvie, LAJ</t>
  </si>
  <si>
    <t>Garvie, Laurence A. J.</t>
  </si>
  <si>
    <t>The Meteoritical Bulletin, No. 99, April 2012</t>
  </si>
  <si>
    <t>METAMORPHISM; CHONDRITES</t>
  </si>
  <si>
    <t>This issue of the Meteoritical Bulletin reports on 1075 meteorites divided between 468 non-Antarctic and 607 Antarctic meteorites. Written descriptions are given for eight falls (Fuhe, Kemer, Lorton, Mason Gully, Mifflin, Red Canyon Lake, Vane-Sai, and Whetstone Mountains). Particularly notable are descriptions and chemical data for 42 new iron meteorites, many of which are unpaired. Also reported are seven Martian meteorites totaling 1447.1 g (four non-Antarctic) and 14 lunar meteorites totaling 9451 g (10 non-Antarctic). Other noteworthy meteorites include NWA 5958, a C3.0-ung with an extremely O-16-rich bulk oxygen isotopic composition; Sayh al Uhaymir 493, an ungrouped achondrite with significant ferric iron, and Northwest Africa 6704, an unusual ungrouped achondrite characterized by relatively ferroan mafic silicate minerals with oxygen isotopic composition that plots within the field for acapulcoites-lodranites. Also reported are two new dense collection areas: Biduna Blowhole in Australia and Stump Spring in the United States. Antarctic meteorites reported include those recovered by the ANSMET (US) and NIPR (Japan) meteorite recovery programs.</t>
  </si>
  <si>
    <t>Arizona State Univ, Ctr Meteorite Studies, Tempe, AZ 85287 USA</t>
  </si>
  <si>
    <t>Arizona State University; Arizona State University-Tempe</t>
  </si>
  <si>
    <t>Garvie, LAJ (corresponding author), Arizona State Univ, Ctr Meteorite Studies, Tempe, AZ 85287 USA.</t>
  </si>
  <si>
    <t>WILEY-BLACKWELL</t>
  </si>
  <si>
    <t>E1</t>
  </si>
  <si>
    <t>E52</t>
  </si>
  <si>
    <t>10.1111/maps.12026</t>
  </si>
  <si>
    <t>WOS:000313985100001</t>
  </si>
  <si>
    <t>Duan, YL; Hou, YJ; Liu, HW; Hu, P</t>
  </si>
  <si>
    <t>Duan Yongliang; Hou Yijun; Liu Hongwei; Hu Po</t>
  </si>
  <si>
    <t>Fronts, baroclinic transport, and mesoscale variability of the Antarctic Circumpolar Current in the southeast Indian Ocean</t>
  </si>
  <si>
    <t>ACTA OCEANOLOGICA SINICA</t>
  </si>
  <si>
    <t>Antarctic Circumpolar Current; fronts; transport; eddies</t>
  </si>
  <si>
    <t>DRAKE PASSAGE; AUSTRALIA; TASMANIA; SECTION; BASIN; EDDY</t>
  </si>
  <si>
    <t>Fronts, baroclinic transport, and mesoscale variability of the Antarctic Circumpolar Current (ACC) along 115A degrees E are examined on the basis of CTD data from two hydrographic cruises occupied in 1995 as a part of the World Ocean Circulation Experiment (WOCE cruise I9S) and in 2004 as a part of CLIVAR/CO2 repeat hydrography program. The integrated baroclinic transport across I9S section is (97.2x10(6)+/- 2.2x10(6)) m(3)/s relative to the deepest common level (DCL). The net transport at the north end of I9S, determined by the south Australian circulation system, is about 16.5x10(6) m(3)/s westward. Relying on a consistent set of water mass criteria and transport maxima, the ACC baroclinic transport, (117x10(6)+/- 6.7x10(6)) m(3)/s to the east, is carried along three fronts: the Subantarctic Front (SAF) at a mean latitude of 44A degrees-49A degrees S carries (50.6x10(6)+/- 13.4x10(6)) m(3)/s; the Polar Front (PF), with the northern branch (PF-N) at 50.5A degrees S and the southern branch (PFS) at 58A degrees S, carries (51.3x10(6)+/- 8.7x10(6)) m(3)/s; finally, the southern ACC front (SACCF) and the southern boundary of the ACC (SB) consist of three cores between 59A degrees S and 65A degrees S that combined carry (15.2x10(6)+/- 1.8x10(6)) m(3)/s. Mesoscale eddy features are identifiable in the CTD sections and tracked in concurrent maps of altimetric sea level anomalies (SLA) between 44A degrees-48A degrees S and 53A degrees-57A degrees S. Because of the remarkable mesoscale eddy features within the SAF observed in both the tracks of the cruises, the eastward transport of the SAF occurs at two latitude bands separating by 1A degrees. Both the CTD and the altimetric data suggest that the mesoscale variability is concentrated around the Antarctic Polar Frontal Zone (APFZ) and causes the ACC fronts to merge, diverge, and to fluctuate in intensity and position along their paths.</t>
  </si>
  <si>
    <t>[Duan Yongliang; Hou Yijun; Liu Hongwei; Hu Po] Chinese Acad Sci, Inst Oceanol, Qingdao 266071, Peoples R China; [Duan Yongliang; Hou Yijun; Liu Hongwei; Hu Po] Chinese Acad Sci, Key Lab Ocean Circulat &amp; Waves, Qingdao 266071, Peoples R China; [Duan Yongliang; Liu Hongwei] Univ Chinese Acad Sci, Beijing 100049, Peoples R China</t>
  </si>
  <si>
    <t>Chinese Academy of Sciences; Institute of Oceanology, CAS; Chinese Academy of Sciences; Chinese Academy of Sciences; University of Chinese Academy of Sciences, CAS</t>
  </si>
  <si>
    <t>Hou, YJ (corresponding author), Chinese Acad Sci, Inst Oceanol, Qingdao 266071, Peoples R China.</t>
  </si>
  <si>
    <t>yjhou@ms.qdio.ac.cn</t>
  </si>
  <si>
    <t>National High Technology Research and Development Program (863 Program) of China [2008AA121701, 2007AA092201]; National Natural Science Foundation of China [41006013]</t>
  </si>
  <si>
    <t>National High Technology Research and Development Program (863 Program) of China(National High Technology Research and Development Program of China); National Natural Science Foundation of China(National Natural Science Foundation of China (NSFC))</t>
  </si>
  <si>
    <t>Foundation item: The National High Technology Research and Development Program (863 Program) of China under contract Nos 2008AA121701 and 2007AA092201; the National Natural Science Foundation of China under contract No.41006013.</t>
  </si>
  <si>
    <t>SPRINGER</t>
  </si>
  <si>
    <t>233 SPRING ST, NEW YORK, NY 10013 USA</t>
  </si>
  <si>
    <t>0253-505X</t>
  </si>
  <si>
    <t>ACTA OCEANOL SIN</t>
  </si>
  <si>
    <t>Acta Oceanol. Sin.</t>
  </si>
  <si>
    <t>10.1007/s13131-012-0248-2</t>
  </si>
  <si>
    <t>Oceanography</t>
  </si>
  <si>
    <t>056MJ</t>
  </si>
  <si>
    <t>WOS:000312494000001</t>
  </si>
  <si>
    <t>Preu, B; Schwenk, T; Hernández-Molina, FJ; Violante, R; Paterlini, M; Krastel, S; Tomasini, J; Spiess, V</t>
  </si>
  <si>
    <t>Preu, Benedict; Schwenk, Tilmann; Javier Hernandez-Molina, F.; Violante, Roberto; Paterlini, Marcelo; Krastel, Sebastian; Tomasini, Juan; Spiess, Volkhard</t>
  </si>
  <si>
    <t>Sedimentary growth pattern on the northern Argentine slope: The impact of North Atlantic Deep Water on southern hemisphere slope architecture</t>
  </si>
  <si>
    <t>MARINE GEOLOGY</t>
  </si>
  <si>
    <t>contourite drifts; contourite depositional system; contourite terrace; water mass interface; Antarctic Intermediate Water; North Atlantic Deep Water; Brazil-Malvinas Confluence</t>
  </si>
  <si>
    <t>CONTOURITE DEPOSITIONAL SYSTEM; MIDPLEISTOCENE CLIMATE TRANSITION; CENTRAL-AMERICAN SEAWAY; GLOBAL CLIMATE; SW ATLANTIC; CIRCULATION; EVOLUTION; BASIN; RECORD; VARIABILITY</t>
  </si>
  <si>
    <t>Large sedimentary deposits consisting of several major contourite drifts were studied by means of high-resolution multichannel seismic data at the middle slope along the Northern Argentina Continental Margin to determine their evolutionary stages as well as to identify and assess the possible impact of Northern Source Deep Water (NSDW) on the slope architecture. The imaged contouritic sediments allow decoding on the regional paleo-oceanographic setting of the last 32 Ma. Earliest contouritic sedimentation can be observed close to the Eocene/Oligocene boundary based on an aggradational stacking pattern with a complex and wavy seismic facies, pointing toward a hydrodynamically turbulent flow pattern. This facies is most likely related to the opening of the Drake Passage associated with global cooling and a strengthening of surface, intermediate and deep ocean currents in the Southern Ocean. During the Middle Miocene plastered drift sequences with an aggradational reflection pattern were deposited. Their depositional style indicates weak, non-turbulent current conditions, which are interpreted to be related to a vertical shift of water mass interfaces caused by the first formation of NSDW during the Mid-Miocene climatic optimum. On top, the formation of plastered drift sequences led to the modern extent of the Ewing Terrace, which was probably controlled by the continuous strengthening and thickening of NSDW until the final closure of the Central American Seaway (CAS). During the Pliocene and Quaternary, after the complete closure of the CAS and under the influence of the full force of the NSDW, mounded plastered drift sequences are built upon the Ewing Terrace generating the modern slope morphology. Therefore, we suggest that deep-water production in the northern hemisphere plays a significant role by controlling the shape of the continental slopes in the southwestern South Atlantic since the Middle Miocene. (C) 2012 Elsevier B.V. All rights reserved.</t>
  </si>
  <si>
    <t>[Preu, Benedict; Schwenk, Tilmann; Spiess, Volkhard] Univ Bremen, MARUM, Ctr Marine Environm Sci, Bremen, Germany; [Preu, Benedict; Schwenk, Tilmann; Spiess, Volkhard] Univ Bremen, Fac Geosci, Bremen, Germany; [Javier Hernandez-Molina, F.] Univ Vigo, Fac Ciencias Mar, Vigo, Spain; [Violante, Roberto; Paterlini, Marcelo] Serv Hidrog Naval, Dept Oceanog, Div Geol &amp; Geofis Marina, Buenos Aires, DF, Argentina; [Krastel, Sebastian] Helmholtz Ctr Ocean Res, GEOMAR, Kiel, Germany; [Tomasini, Juan] Adm Nacl Combustibles Alcohol &amp; Portland, Montevideo, Uruguay</t>
  </si>
  <si>
    <t>University of Bremen; University of Bremen; Universidade de Vigo; Servicio de Hidrografia Naval; Helmholtz Association; GEOMAR Helmholtz Center for Ocean Research Kiel</t>
  </si>
  <si>
    <t>Preu, B (corresponding author), Univ Bremen, MARUM, Ctr Marine Environm Sci, Bremen, Germany.</t>
  </si>
  <si>
    <t>bpreu@uni-bremen.de</t>
  </si>
  <si>
    <t>Schwenk, Tilmann/AGD-5168-2022; Spiess, Volkhard/E-4376-2010; Krastel, Sebastian/C-2001-2017</t>
  </si>
  <si>
    <t>Schwenk, Tilmann/0000-0002-9916-0340; Spiess, Volkhard/0000-0001-5019-5844; Krastel, Sebastian/0000-0002-5899-9748</t>
  </si>
  <si>
    <t>DFG-Research Center/Cluster of Excellence The Ocean in the Earth System; Bremen International Graduate School for Marine Sciences (GLOMAR); Deutsche Forschungsgemeinschaft (DFG) within the frame of the Excellence Initiative by the German federal and state governments</t>
  </si>
  <si>
    <t>DFG-Research Center/Cluster of Excellence The Ocean in the Earth System(German Research Foundation (DFG)); Bremen International Graduate School for Marine Sciences (GLOMAR); Deutsche Forschungsgemeinschaft (DFG) within the frame of the Excellence Initiative by the German federal and state governments(German Research Foundation (DFG))</t>
  </si>
  <si>
    <t>The study was funded through DFG-Research Center/Cluster of Excellence The Ocean in the Earth System and was supported by the Bremen International Graduate School for Marine Sciences (GLOMAR) which is funded by the Deutsche Forschungsgemeinschaft (DFG) within the frame of the Excellence Initiative by the German federal and state governments to promote science and research at German universities. The study is related to the Spanish CONTOURIBER (CTM 2008-06399-C04/MAR) and MOWER (CTM 2012-39599-C03) and the Argentinian ANPCyT-PICT 2003-14417 and ANPCyT-PICT 2010-0953 projects. Further, this work is associated to both IGCP-619 and INQUA-1204 international projects. The presented seismic data were interpreted and visualized using the software package 'The Kingdom Software' (INS). Constructive comments by A.R. Viana, an anonymous referee, and the editor significantly improved the quality of this manuscript. We like to thank Captain Kull, Captain Baschek and the crews of R/V Meteor cruises M49/2 and M78/3 for their excellent work and support.</t>
  </si>
  <si>
    <t>0025-3227</t>
  </si>
  <si>
    <t>1872-6151</t>
  </si>
  <si>
    <t>MAR GEOL</t>
  </si>
  <si>
    <t>Mar. Geol.</t>
  </si>
  <si>
    <t>NOV 1</t>
  </si>
  <si>
    <t>10.1016/j.margeo.2012.09.009</t>
  </si>
  <si>
    <t>Geosciences, Multidisciplinary; Oceanography</t>
  </si>
  <si>
    <t>Geology; Oceanography</t>
  </si>
  <si>
    <t>056QN</t>
  </si>
  <si>
    <t>WOS:000312506300010</t>
  </si>
  <si>
    <t>Lehr, C; Ward, PJ; Kummu, M</t>
  </si>
  <si>
    <t>Lehr, Christian; Ward, Philip J.; Kummu, Matti</t>
  </si>
  <si>
    <t>Impact of Large-scale Climatic Oscillations on Snowfall-related Climate Parameters in the World's Major Downhill Ski Areas: A Review</t>
  </si>
  <si>
    <t>MOUNTAIN RESEARCH AND DEVELOPMENT</t>
  </si>
  <si>
    <t>Review</t>
  </si>
  <si>
    <t>Large-scale climatic oscillations; predictability; snowfall; ski areas; global overview</t>
  </si>
  <si>
    <t>NORTH-ATLANTIC OSCILLATION; ANTARCTIC CIRCUMPOLAR WAVE; INTERDECADAL PACIFIC OSCILLATION; FREQUENCY VARIABILITY MODES; ASIAN WINTER MONSOON; NEW-ZEALAND; ATMOSPHERIC CIRCULATION; INTERANNUAL VARIABILITY; SOUTHERN-OSCILLATION; PRECIPITATION VARIABILITY</t>
  </si>
  <si>
    <t>Skiers are passionate about finding the best snow conditions. Snow conditions in thousands of ski resorts around the world depend mainly on natural snowfall, particularly in the case of backcountry skiing. In various mountain ranges popular among skiers, snowfall is strongly linked to large-scale climatic oscillations. This paper reviews existing information on the impacts of several of these phenomena, such as the El Nino-Southern Oscillation, North Atlantic Oscillation, and North Pacific Index, on snowfall-related climate parameters in the world's major ski areas. We found that in each of the studied areas, one or more large-scale climatic oscillations affected snowfall-related climate parameters. Understanding the predictability of such oscillations is high on the climate research agenda. If this research leads to improved predictability in the coming years, this could be combined with the knowledge summarized in our paper on the relationships between climatic oscillations and snow-related parameters to provide useful information for winter sports and other snow-related fields.</t>
  </si>
  <si>
    <t>[Lehr, Christian; Kummu, Matti] Aalto Univ, Water &amp; Dev Res Grp WDRG, Espoo, Finland; [Ward, Philip J.] Vrije Univ Amsterdam, Inst Environm Studies IVM, Amsterdam, Netherlands; [Ward, Philip J.] Vrije Univ Amsterdam, Amsterdam Global Change Inst AGCI, Amsterdam, Netherlands</t>
  </si>
  <si>
    <t>Aalto University; Vrije Universiteit Amsterdam; Vrije Universiteit Amsterdam</t>
  </si>
  <si>
    <t>Kummu, M (corresponding author), Aalto Univ, Water &amp; Dev Res Grp WDRG, Espoo, Finland.</t>
  </si>
  <si>
    <t>matti.kummu@iki.fi</t>
  </si>
  <si>
    <t>Kummu, Matti/C-4797-2011; Ward, Philip/E-6208-2010</t>
  </si>
  <si>
    <t>Kummu, Matti/0000-0001-5096-0163; Ward, Philip/0000-0001-7702-7859</t>
  </si>
  <si>
    <t>Maa-ja vesitekniikan tuki ry; Aalto University; Netherlands Organisation for Scientific Research</t>
  </si>
  <si>
    <t>Maa-ja vesitekniikan tuki ry; Aalto University; Netherlands Organisation for Scientific Research(Netherlands Organization for Scientific Research (NWO))</t>
  </si>
  <si>
    <t>We thank our colleagues at the Water &amp; Development Research Group for their support and helpful comments. The support of Elena Entwistle and encouragement of Martin Oskarsson are also greatly appreciated. We thank associate editor Dr Anne Zimmermann and two anonymous reviewers for their valuable comments. The study was funded by Maa-ja vesitekniikan tuki ry. MK received postdoctoral funding from Aalto University, and PJW received funding in the form of a Veni grant from the Netherlands Organisation for Scientific Research.</t>
  </si>
  <si>
    <t>INT MOUNTAIN SOC</t>
  </si>
  <si>
    <t>BERN</t>
  </si>
  <si>
    <t>University of Bern, Mittelstrasse 43, BERN, SWITZERLAND</t>
  </si>
  <si>
    <t>0276-4741</t>
  </si>
  <si>
    <t>1994-7151</t>
  </si>
  <si>
    <t>MT RES DEV</t>
  </si>
  <si>
    <t>Mt. Res. Dev.</t>
  </si>
  <si>
    <t>10.1659/MRD-JOURNAL-D-12-00062.1</t>
  </si>
  <si>
    <t>Environmental Sciences; Geography, Physical</t>
  </si>
  <si>
    <t>Environmental Sciences &amp; Ecology; Physical Geography</t>
  </si>
  <si>
    <t>061HQ</t>
  </si>
  <si>
    <t>Green Submitted, gold</t>
  </si>
  <si>
    <t>WOS:000312839500006</t>
  </si>
  <si>
    <t>Garcia-Descalzo, L; García-López, E; Moreno, AM; Alcazar, A; Baquero, F; Cid, C</t>
  </si>
  <si>
    <t>Garcia-Descalzo, Laura; Garcia-Lopez, Eva; Maria Moreno, Ana; Alcazar, Alberto; Baquero, Fernando; Cid, Cristina</t>
  </si>
  <si>
    <t>Mass spectrometry for direct identification of biosignatures and microorganisms in Earth analogs of Mars</t>
  </si>
  <si>
    <t>PLANETARY AND SPACE SCIENCE</t>
  </si>
  <si>
    <t>Mars; Biosignatures; Microorganisms; Mass spectrometry; MALDI-TOF-MS; Antarctic glaciers</t>
  </si>
  <si>
    <t>TIME</t>
  </si>
  <si>
    <t>Rover missions to Mars require portable instruments that use minimal power, require no sample preparation, and provide suitably diagnostic information to an Earth-based exploration team. In exploration of analog environments of Mars it is important to screen rapidly for the presence of biosignatures and microorganisms and especially to identify them accurately. Matrix-assisted laser desorption/ionization-time of flight mass spectrometry (MALDI-TOF-MS) has enormously contributed to the understanding of protein chemistry and cell biology. Without this technique proteomics would most likely not be the important discipline it is today. In this study, besides 'true' proteomics, MALDI-TOF-MS was applied for the analysis of microorganisms for their taxonomic characterization from its beginning. An approach was developed for direct analysis of whole bacterial cells without a preceding fractionation or separation by chromatography or electrophoresis on samples of bacteria from an Antarctic glacier. Supported by comprehensive databases, MALDI-TOF-MS-based identification could be widely accepted within only a few years for bacterial differentiation in Mars analogs and could be a technique of election for Mars exploration. (C) 2012 Elsevier Ltd. All rights reserved.</t>
  </si>
  <si>
    <t>[Garcia-Descalzo, Laura; Garcia-Lopez, Eva; Maria Moreno, Ana; Baquero, Fernando; Cid, Cristina] Ctr Astrobiol CSIC INTA, Microbial Evolut Lab, Torrejon De Ardoz 28850, Spain; [Alcazar, Alberto] Hosp Ramon &amp; Cajal, Dept Invest, E-28034 Madrid, Spain; [Baquero, Fernando] Hosp Ramon &amp; Cajal, Dept Microbiol, E-28034 Madrid, Spain</t>
  </si>
  <si>
    <t>Consejo Superior de Investigaciones Cientificas (CSIC); CSIC - Centro de Astrobiologia (INTA); Hospital Universitario Ramon y Cajal; Hospital Universitario Ramon y Cajal</t>
  </si>
  <si>
    <t>Cid, C (corresponding author), Ctr Astrobiol CSIC INTA, Microbial Evolut Lab, Ctra Ajalvir,Km 4, Madrid 28850, Spain.</t>
  </si>
  <si>
    <t>cidsc@inta.es</t>
  </si>
  <si>
    <t>Lopez, Eva Garcia/AAC-4057-2021; García-Descalzo, Laura/S-2777-2018; Cid, Cristina/R-6821-2018</t>
  </si>
  <si>
    <t>Lopez, Eva Garcia/0000-0003-1086-3056; García-Descalzo, Laura/0000-0002-0083-6786; Cid, Cristina/0000-0001-5128-4558</t>
  </si>
  <si>
    <t>Spanish Ministerio de Economia y Competitividad [M/2008-00304/ANT, CTM2010-12134-E/ANT]</t>
  </si>
  <si>
    <t>Spanish Ministerio de Economia y Competitividad(Spanish Government)</t>
  </si>
  <si>
    <t>We are indebted to Drs. M. Martinez-Gomariz and C. Gil from Proteomic Unit of the Parque Cientifico de Madrid. We thank also Mr. A Casals and Mr. J. Barba for their skillful assistance at the Antarctic Research Station Gabriel de Castilla. This research was supported by Grants CTM/2008-00304/ANT and CTM2010-12134-E/ANT from the Spanish Ministerio de Economia y Competitividad.</t>
  </si>
  <si>
    <t>0032-0633</t>
  </si>
  <si>
    <t>PLANET SPACE SCI</t>
  </si>
  <si>
    <t>Planet Space Sci.</t>
  </si>
  <si>
    <t>SI</t>
  </si>
  <si>
    <t>10.1016/j.pss.2012.08.009</t>
  </si>
  <si>
    <t>058DZ</t>
  </si>
  <si>
    <t>WOS:000312615600015</t>
  </si>
  <si>
    <t>Walsh, JS</t>
  </si>
  <si>
    <t>Walsh, Justin St P.</t>
  </si>
  <si>
    <t>Protection of humanity's cultural and historic heritage in space</t>
  </si>
  <si>
    <t>SPACE POLICY</t>
  </si>
  <si>
    <t>EXPLORATION</t>
  </si>
  <si>
    <t>While the international community has acted forcefully since World War II to protect sites and objects of cultural or historic significance on Earth, little attention has been paid to the same kinds of sites and objects in space. There are important ethical and scholarly reasons for wanting to preserve sites and in situ objects in off-Earth contexts from destruction or commercial exploitation. Innovative space research equipment, such as spacecraft, satellites, and space stations, and the locations of historic missions, such as Tranquility Base, therefore deserve formal international recognition and protection. Appropriate models for developing a comprehensive protective scheme can be found in existing international protocols, especially the 1959 Antarctic Treaty (and later additions), the 1970 UNESCO Convention on Cultural Property, the 1972 UNESCO World Heritage Convention, and the 2001 UNESCO Convention on the Underwater Cultural Heritage. In addition, space agencies and professional organizations can mandate adequate and ethical planning for the post-operational phases of space missions to include arrangements for heritage protection. (C) 2012 Elsevier Ltd. All rights reserved.</t>
  </si>
  <si>
    <t>Chapman Univ, Dept Art, Orange, CA 92866 USA</t>
  </si>
  <si>
    <t>Chapman University System; Chapman University</t>
  </si>
  <si>
    <t>Walsh, JS (corresponding author), Chapman Univ, Dept Art, 1 Univ Dr, Orange, CA 92866 USA.</t>
  </si>
  <si>
    <t>jstpwalsh@chapman.edu</t>
  </si>
  <si>
    <t>Walsh, Justin/0000-0003-2018-2668</t>
  </si>
  <si>
    <t>ELSEVIER SCI LTD</t>
  </si>
  <si>
    <t>THE BOULEVARD, LANGFORD LANE, KIDLINGTON, OXFORD OX5 1GB, OXON, ENGLAND</t>
  </si>
  <si>
    <t>0265-9646</t>
  </si>
  <si>
    <t>1879-338X</t>
  </si>
  <si>
    <t>Space Policy</t>
  </si>
  <si>
    <t>10.1016/j.spacepol.2012.04.001</t>
  </si>
  <si>
    <t>International Relations; Social Sciences, Interdisciplinary</t>
  </si>
  <si>
    <t>Social Science Citation Index (SSCI); Arts &amp; Humanities Citation Index (A&amp;HCI)</t>
  </si>
  <si>
    <t>International Relations; Social Sciences - Other Topics</t>
  </si>
  <si>
    <t>065FI</t>
  </si>
  <si>
    <t>WOS:000313133500005</t>
  </si>
  <si>
    <t>Jiguet, F; Capainolo, P; Tennyson, A</t>
  </si>
  <si>
    <t>Jiguet, Frederic; Capainolo, Peter; Tennyson, Alan</t>
  </si>
  <si>
    <t>Taxonomy of the Kelp Gull Larus dominicanus Lichtenstein Revisited with Sex-Separated Analyses of Biometrics and Wing Tip Patterns</t>
  </si>
  <si>
    <t>ZOOLOGICAL STUDIES</t>
  </si>
  <si>
    <t>Biometrics; Multivariate analyses; Subspecies; Wing pattern</t>
  </si>
  <si>
    <t>AVES; COMPLEX; SIZE</t>
  </si>
  <si>
    <t>Frederic Jiguet, Peter Capainolo, and Alan Tennyson (2012) Taxonomy of the Kelp Gull Larus dominicanus Lichtenstein revisited with sex-separated analyses of biometrics and wing tip patterns. Zoological Studies 51(6): 881-892. We investigated geographical phenotypic variations in the Kelp Gull Larus dominicanus Lichtenstein, 1823, by separately conducting analyses of biometrics and wing tip patterns in males and females. We attempted to investigate the separate taxonomic status of the recently described L. d. judithae and L. d. melisandae, define the geographical range of the Antarctic taxon L. d. austrinus, and look for variations among populations currently attributed to the nominate L. d. dominicanus in South America and New Zealand. Sex-separated analyses confirmed the discriminant structures and wing patterns of L. d. judithae (from Indian Ocean sub-Antarctic islands) and L. d. melisandae (from Madagascar). We failed to find differences among birds from Antarctica, South Georgia, and the Falklands Is., and suggest that the range of L. d. austrinus could extend from the Antarctic Peninsula to these sub-Antarctic islands. Populations sampled in southern Patagonia appeared close to L. d. austrinus, although they might also represent populations intermediate between L. d. dominicanus and L. d. austrinus. The subspecific status of L. d. antipodus from New Zealand populations was suggested by phenotypic characters, while a recently published molecular study of Kelp Gull populations suggests well-separated clades for birds breeding in New Zealand, Antarctica, and the Kerguelen Is., while the genetic separation of birds from South America (L. d. dominicanus) and Namibia (L. d. vetula) needs further study. We recommend further molecular studies of this widely distributed species before making further definitive taxonomic recommendations. http://zoolstud.sinica.edu.tw/Journals/51.6/881.pdf</t>
  </si>
  <si>
    <t>[Jiguet, Frederic] Ctr Rech Biol Populat Oiseaux, CP51, UMR MNHN CNRS UPMC 7204, F-75005 Paris, France; [Capainolo, Peter] Amer Museum Nat Hist, Dept Ornithol, Div Vertebrate Zool, New York, NY 10024 USA; [Tennyson, Alan] Museum New Zealand Papa Tongarewa, Wellington, New Zealand</t>
  </si>
  <si>
    <t>Museum National d'Histoire Naturelle (MNHN); Sorbonne Universite; American Museum of Natural History (AMNH)</t>
  </si>
  <si>
    <t>Jiguet, F (corresponding author), Ctr Rech Biol Populat Oiseaux, CP51, UMR MNHN CNRS UPMC 7204, 55 Rue Buffon, F-75005 Paris, France.</t>
  </si>
  <si>
    <t>fjiguet@mnhn.fr</t>
  </si>
  <si>
    <t>BIODIVERSITY RESEARCH CENTER, ACAD SINICA</t>
  </si>
  <si>
    <t>TAIPEI</t>
  </si>
  <si>
    <t>128 ACADEMIA RODA, SECTION 2, NANKANG, TAIPEI, 11529, TAIWAN</t>
  </si>
  <si>
    <t>1021-5506</t>
  </si>
  <si>
    <t>1810-522X</t>
  </si>
  <si>
    <t>ZOOL STUD</t>
  </si>
  <si>
    <t>Zool. Stud.</t>
  </si>
  <si>
    <t>060BG</t>
  </si>
  <si>
    <t>WOS:000312750200013</t>
  </si>
  <si>
    <t>Cloutis, EA; Hudon, P; Hiroi, T; Gaffey, MJ</t>
  </si>
  <si>
    <t>Cloutis, E. A.; Hudon, P.; Hiroi, T.; Gaffey, M. J.</t>
  </si>
  <si>
    <t>Spectral reflectance properties of carbonaceous chondrites: 7. CK chondrites</t>
  </si>
  <si>
    <t>ICARUS</t>
  </si>
  <si>
    <t>Asteroids, Surfaces; Asteroids, Composition; Meteorites; Spectroscopy</t>
  </si>
  <si>
    <t>THERMAL METAMORPHISM; ELEMENT ABUNDANCES; OLIVINE; CLASSIFICATION; PLAGIOCLASE; METEORITES; ASTEROIDS; MINERALS; OBJECTS; STONY</t>
  </si>
  <si>
    <t>The reflectance spectra of 15 CK chondrites have been measured as part of an ongoing study of carbonaceous chondrite reflectance spectra. The available sample suite includes multiple grain sizes and samples with petrologic grades varying from CK4 to CK6. CK reflectance spectra are all characterized by an olivine-associated absorption band in the 1.05 mu m region. Compared to pure olivine, CK spectra are darker, have a more subdued olivine absorption band, and are often more blue-sloped. Reflectance at 0.56 mu m varies from 9.6% to 22.5%, and olivine band depth varies from 6.7% to 31.0%, for powder; that include the finest fraction. With increasing grain size, and exclusion of the finest fraction, CK spectra become darker and more blue sloped, while the olivine absorption band initially becomes deeper and then shallower. The presence of calcium-aluminum inclusions (CAIs), whose abundance varies widely in CKs, does not normally lead to the appearance of a well-defined absorption band in the 2.1 mu m region, although the overall blue slope of many CKs is likely attributable to Fe-bearing spinel in CK CAIs. The only consistent spectral feature that relates to metamorphic grade is that CK6 spectra have uniformly deeper olivine absorption band than CK4-5.5 spectra. This could be related to various factors such as loss/aggregation of opaques that may accompany metamorphism. Comparison of CV and thermally metamorphosed carbonaceous chondrite to CK spectra suggests that metamorphism to between similar to 1000 and 1200 degrees C is required for CV spectra to match CK spectra; CV spectra are uniformly darker and have shallower olivine absorption bands than CK spectra. (C) 2012 Elsevier :nc. All rights reserved.</t>
  </si>
  <si>
    <t>[Cloutis, E. A.] Univ Winnipeg, Dept Geog, Winnipeg, MB R3B 2E9, Canada; [Hudon, P.] NASA Johnson Space Ctr, Astromat Res &amp; Explorat Sci Off, Mail Code KR, Houston, TX 77058 USA; [Hiroi, T.] Brown Univ, Dept Geol Sci, Providence, RI 02912 USA; [Gaffey, M. J.] Univ N Dakota, Dept Space Studies, Grand Forks, ND 58202 USA</t>
  </si>
  <si>
    <t>University of Winnipeg; National Aeronautics &amp; Space Administration (NASA); NASA Johnson Space Center; Brown University; University of North Dakota Grand Forks</t>
  </si>
  <si>
    <t>Cloutis, EA (corresponding author), Univ Winnipeg, Dept Geog, 515 Portage Ave, Winnipeg, MB R3B 2E9, Canada.</t>
  </si>
  <si>
    <t>e.cloutis@uwinnipeg.ca; pierre.hudon@mcgill.ca; takahiro_hiroi@brown.edu; gaffey@space.edu</t>
  </si>
  <si>
    <t>Hudon, Pierre/E-4994-2010</t>
  </si>
  <si>
    <t>Hiroi, Takahiro/0000-0003-2866-9091</t>
  </si>
  <si>
    <t>NASA [NNG06GJ31G]; NSERC</t>
  </si>
  <si>
    <t>NASA(National Aeronautics &amp; Space Administration (NASA)); NSERC(Natural Sciences and Engineering Research Council of Canada (NSERC))</t>
  </si>
  <si>
    <t>We wish to thank the invaluable and generous assistance provided by many individuals which made this study possible. In particular we thank the US and Japanese Antarctic meteorite programs for recovering the majority of the samples included in this study. The RELAB facility at Brown University is a multi-user facility operated with support from NASA Planetary Geology and Geophysics Grant NNG06GJ31G, whose support is gratefully acknowledged. This study was supported by an NSERC Discovery grant to EAC. We also wish to thank Alan Rubin and Beth Clark for their cogent and valuable comments which improved the accuracy and readability of this manuscript.</t>
  </si>
  <si>
    <t>ACADEMIC PRESS INC ELSEVIER SCIENCE</t>
  </si>
  <si>
    <t>SAN DIEGO</t>
  </si>
  <si>
    <t>525 B ST, STE 1900, SAN DIEGO, CA 92101-4495 USA</t>
  </si>
  <si>
    <t>0019-1035</t>
  </si>
  <si>
    <t>1090-2643</t>
  </si>
  <si>
    <t>Icarus</t>
  </si>
  <si>
    <t>NOV-DEC</t>
  </si>
  <si>
    <t>10.1016/j.icarus.2012.09.017</t>
  </si>
  <si>
    <t>055RL</t>
  </si>
  <si>
    <t>WOS:000312434300038</t>
  </si>
  <si>
    <t>Heggy, E; Palmer, EM; Kofman, W; Clifford, SM; Righter, K; Hérique, A</t>
  </si>
  <si>
    <t>Heggy, Essam; Palmer, Elizabeth M.; Kofman, Wlodek; Clifford, Stephen M.; Righter, Kevin; Herique, Alain</t>
  </si>
  <si>
    <t>Radar properties of comets: Parametric dielectric modeling of Comet 67P/Churyumov-Gerasimenko</t>
  </si>
  <si>
    <t>Comets, Composition; Comets, Dust; Ices; Radar observations; Experimental techniques</t>
  </si>
  <si>
    <t>SPACE-TELESCOPE OBSERVATIONS; NUCLEUS SOUNDING EXPERIMENT; DEEP IMPACT; INNER COMA; CONSERT; COMET-9P/TEMPEL-1; PERMITTIVITY; SUBSURFACE; INSTRUMENT; BODIES</t>
  </si>
  <si>
    <t>In 2014, the European Space Agency's Rosetta mission is scheduled to rendezvous with Comet 67P/Churyumov-Gerasimenko (Comet 67P). Rosetta's CONSERT experiment aims to explore the cometary nucleus' geophysical properties using radar tomography. The expected scientific return and inversion algorithms are mainly dependent on our understanding of the dielectric properties of the comet nucleus and how they vary with the spatial distribution of geophysical parameters. Using observations of Comets 9P/Tempel 1 and 81P/Wild 2 in combination with dielectric laboratory measurements of temperature, porosity, and dust-to-ice mass ratio dependencies for cometary analog material, we have constructed two hypothetical three-dimensional parametric dielectric models of Comet 67P's nucleus to assess different dielectric scenarios of the inner structure. Our models suggest that dust-to-ice mass ratios and porosity variations generate the most significant measurable dielectric contrast inside the comet nucleus, making it possible to explore the structural and compositional hypotheses of cometary nuclei. Surface dielectric variations, resulting from temperature changes induced by solar illumination of the comet's faces, have also been modeled and suggest that the real part of the dielectric constant varies from 1.9 to 3.0, hence changing the surface radar reflectivity. For CONSERT, this variation could be significant at low incidence angles, when the signal propagates through a length of dust mantle comparable to the wavelength. The overall modeled dielectric permittivity spatial and temporal variations are therefore consistent with the expected deep penetration of CONSERT's transmitted wave through the nucleus. It is also clear that changes in the physical properties of the nucleus induce sufficient variation in the dielectric properties of cometary material to allow their inversion from radar tomography. (C) 2012 Elsevier Inc. All rights reserved.</t>
  </si>
  <si>
    <t>[Heggy, Essam] CALTECH, NASA Jet Prop Lab, Pasadena, CA 91109 USA; [Palmer, Elizabeth M.] Univ Calif Los Angeles, Los Angeles, CA 90095 USA; [Kofman, Wlodek; Herique, Alain] UJF Grenoble 1 CNRS INSU, Inst Planetol &amp; Astrophys Grenoble IPAG UMR 5274, F-38041 Grenoble, France; [Kofman, Wlodek] Polish Acad Sci, Space Res Ctr, PL-01237 Warsaw, Poland; [Clifford, Stephen M.] Lunar &amp; Planetary Inst, Houston, TX 77058 USA; [Righter, Kevin] NASA Johnson Space Ctr, Mail Code KT, Houston, TX 77058 USA</t>
  </si>
  <si>
    <t>California Institute of Technology; National Aeronautics &amp; Space Administration (NASA); NASA Jet Propulsion Laboratory (JPL); University of California System; University of California Los Angeles; Institut de Planetologie et d'Astrophysique de Grenoble (IPAG); Communaute Universite Grenoble Alpes; Universite Grenoble Alpes (UGA); Centre National de la Recherche Scientifique (CNRS); CNRS - National Institute for Earth Sciences &amp; Astronomy (INSU); Polish Academy of Sciences; Space Research Centre of the Polish Academy of Sciences; Centrum Badan Kosmicznych, Polish Academy of Sciences; National Aeronautics &amp; Space Administration (NASA); NASA Johnson Space Center</t>
  </si>
  <si>
    <t>Heggy, E (corresponding author), CALTECH, NASA Jet Prop Lab, 4800 Oak Grove Dr,Mail Stop 300-227, Pasadena, CA 91109 USA.</t>
  </si>
  <si>
    <t>essam.heggy@jpl.nasa.gov; empalmer@ucla.edu; wlodek.kofman@obs.ujf-grenoble.fr; clifford@lpi.usra.e-du; kevin.righter-1@nasa.gov; alain.herique@obs.ujf-grenoble.fr</t>
  </si>
  <si>
    <t>Heggy, Essam/AAL-8124-2020; Heggy, Essam/E-8250-2013; Herique, Alain/E-7210-2017; Kofman, Wlodek/C-4556-2008</t>
  </si>
  <si>
    <t>Heggy, Essam/0000-0001-7476-2735; Herique, Alain/0000-0003-3699-883X; Kofman, Wlodek/0000-0002-6744-8796; Righter, Kevin/0000-0002-6075-7908; Palmer, Elizabeth/0000-0002-4603-3196</t>
  </si>
  <si>
    <t>NASA Planetary Geology and Geophysics Program [NNXZ08AKA2G, NNG05GL11G]; French Space Agency (CNES); National Aeronautics and Space Administration</t>
  </si>
  <si>
    <t>NASA Planetary Geology and Geophysics Program(National Aeronautics &amp; Space Administration (NASA)); French Space Agency (CNES)(Centre National D'etudes Spatiales); National Aeronautics and Space Administration(National Aeronautics &amp; Space Administration (NASA))</t>
  </si>
  <si>
    <t>The authors would like to thank Drs. Claudia Alexander and Artur Chmielewski from the Jet Propulsion Laboratory and Prof. Christopher Russell from UCLA for their helpful comments and discussions. We also thank the Meteorite Working Group and NASA Johnson Space Center Curation office for providing samples from the U.S. Antarctic Meteorite Collection. This work was supported in part by NASA Planetary Geology and Geophysics Program under Grants NNXZ08AKA2G and NNG05GL11G. The authors would like to acknowledge the French Space Agency (CNES) for its support to the part of this study performed in the Institut de Planetologie et d'Astrophysique de Grenoble. This research was carried out at the Jet Propulsion Laboratory, California institute of Technology, under a contract with the National Aeronautics and Space Administration.</t>
  </si>
  <si>
    <t>10.1016/j.icarus.2012.09.023</t>
  </si>
  <si>
    <t>WOS:000312434300039</t>
  </si>
  <si>
    <t>Cloutis, EA; Hudon, P; Hiroi, T; Gaffey, MJ; Mann, P</t>
  </si>
  <si>
    <t>Cloutis, E. A.; Hudon, P.; Hiroi, T.; Gaffey, M. J.; Mann, P.</t>
  </si>
  <si>
    <t>Spectral reflectance properties of carbonaceous chondrites: 8. Other carbonaceous chondrites: CH, ungrouped, polymict, xenolithic inclusions, and R chondrites</t>
  </si>
  <si>
    <t>Asteroids, Surfaces; Meteorites; Spectroscopy</t>
  </si>
  <si>
    <t>TAGISH LAKE METEORITE; X-RAY-DIFFRACTION; MINERAL CHEMISTRY; SPECTROSCOPY; WATER; ABUNDANCES; PETROLOGY; DELIVERY; NITROGEN; OLIVINE</t>
  </si>
  <si>
    <t>We have analyzed reflectance spectra (0.3-2.5 mu m) of a number of ungrouped or tentatively grouped carbonaceous chondrites (CCs), possible CC-type xenoliths in an aubrite (Cumberland Falls) and a howardite (PRA 04401), a CH chondrite (PCA 91467), a CC polymict breccia (Kaidun), and some R chondrites. The best approach to analysis relies largely on characterizing spectrally active phases - i.e., those phases that contribute diagnostic absorption features, involving absorption band wavelength position, band depth, shape of absorption features, combined with albedo and spectral slope. Mafic silicate (hydrous and/or anhydrous) absorption features are ubiquitous in the CCs and R chondrites we have examined. Combining information on these features along with albedo and spectral slopes allows reasonable inferences to be made concerning their uniqueness. Reflectance spectra of Coolidge show contributions from both olivine and Fe oxyhydroxides (from terrestrial weathering), and its high reflectance and mafic silicate band depths are consistent with a petrologic grade &gt;3 and inconsistent with CVs. The CC nature of the Cumberland Falls inclusions from spectral analysis is inconclusive, but they do exhibit spectral features consistent with their overall mineralogy. DaG 430, which has petrologic characteristics of both CV and CK chondrites, has a spectrum that is not fully consistent with either group. The spectrum of EET 96029 is consistent with some, but not all CM2 chondrites. GRO 95566, a meteorite with some affinities to CM2s, most resembles the Renazzo CR2 chondrite, consistent with their similar mineralogies, and its spectral properties can be related to its major mineralogic characteristics. Spectra of Kaidun are most consistent with CR chondrites, which form the bulk of this meteorite. The reflectance spectrum of MCY 92005 is consistent with its recent classification as a CM2 chondrite. The R3 chondrite MET 01149 shares many characteristics with CKs, but differs in terms of its slightly red slope and 2 mu m region absorption feature. The combination of high reflectance, deep 1 mu m band and, to a lesser extent, slightly red slope and weak 2 mu m region absorption band, distinguishes PRE 95404 from CV3s, to which it was initially assigned. The LAP 04840 R6 spectrum is dominated by olivine, consistent with a petrologic grade &gt;3. Its reflectance is somewhat lower than for the R3 chondrites, and falls within the range of many CCs. Its most characteristic feature is the metal-OH absorption bands in the 2.3 mu m region. Analysis and assignment of PCA 91467 (CH3) is complicated by the presence of terrestrial weathering products. Its red spectral slope is consistent with its high metal content. Reflectance spectra of the howardite PRA 04401, which contains similar to 40% CM2-like inclusions, is dominated by the howardite's pyroxene absorption bands, and expected CM2-type absorption bands near 0.7 and 1.1 mu m are not seen. The CC xenoliths do reduce overall reflectance and pyroxene absorption band depths significantly, and probably add an overall red slope, when compared to inclusion-free howardites. QUE 99038, which has been linked to CM2, CO, or CR chondrites is not spectrally consistent with any of these groups. The 2 mu m band, high overall reflectance, and dominant olivine absorption band are all generally inconsistent with CM2 and CR2-3 chondrites. It resembles the CO3 chondrite ALH 77003 in the 1 mu m region, but differs in the 2 mu m region. The red-sloped, nearly featureless spectrum of Tagish Lake is unique among carbonaceous chondrites. It probably arises from the highly aromatic nature of the organic component and its intimate association with the phyllosilicate-rich matrix, which makes up a high proportion of this meteorite. Our results suggest that the meteorites included in this study can usually be determined to be either unique or to be placed with a reasonable degree of confidence into established CC groups. Our analysis has also provided insights into the degree to which spectral analysis can be used for characterization, the spectral features that can be used for characterization, and their limitations. (C) 2012 Elsevier Inc. All rights reserved.</t>
  </si>
  <si>
    <t>[Cloutis, E. A.; Mann, P.] Univ Winnipeg, Dept Geog, Winnipeg, MB R3B 2E9, Canada; [Hudon, P.] NASA Johnson Space Ctr, Astromat Res &amp; Explorat Sci Off, Mail Code KR, Houston, TX 77058 USA; [Hiroi, T.] Brown Univ, Dept Geol Sci, Providence, RI 02912 USA; [Gaffey, M. J.] Univ N Dakota, Dept Space Studies, Grand Forks, ND 58202 USA</t>
  </si>
  <si>
    <t>We wish to thank the invaluable and generous assistance provided by many individuals which made this study possible. In particular we thank the US and Japanese Antarctic meteorite programs for recovering many of the samples included in this study. We also wish to thank Dr. Andreas Nathues from the Max Planck Institute for providing samples of PRA 04401 and a number of other howardites, Mike Zolensky and Andrei Ivanov for the sample of Kaidun, and Katsuhito Ohtsuka for DaG 430. The RELAB facility at Brown University is a multi-user facility operated with support from NASA Planetary Geology and Geophysics Grant NNG06GJ31G, whose support is gratefully acknowledged. This study was supported by an NSERC Discovery grant to EAC. We also wish to thank Josep Trigo-Rodriguez and an anonymous reviewer for their valuable and thoughtful comments and suggestions.</t>
  </si>
  <si>
    <t>10.1016/j.icarus.2012.10.008</t>
  </si>
  <si>
    <t>WOS:000312434300044</t>
  </si>
  <si>
    <t>Stanovoy, VV; Eremina, TR; Isaev, AV; Neelov, IA; Vankevich, RE; Ryabchenko, VA</t>
  </si>
  <si>
    <t>Stanovoy, V. V.; Eremina, T. R.; Isaev, A. V.; Neelov, I. A.; Vankevich, R. E.; Ryabchenko, V. A.</t>
  </si>
  <si>
    <t>Modeling of oil spills in ice conditions in the Gulf of finland on the basis of an operative forecasting system</t>
  </si>
  <si>
    <t>OCEANOLOGY</t>
  </si>
  <si>
    <t>BEHAVIOR; SURFACE; SEA</t>
  </si>
  <si>
    <t>A brief description of the GULFOOS operative forecasting oceanographic system of the Gulf of Finland and the OilMARS operative forecasting oil spill model is presented. Special attention is focused on oil spill simulation in ice conditions. All the assumptions and parameterizations used are described. Modeling results of training simulations for the ice conditions of January 2011 are presented.</t>
  </si>
  <si>
    <t>[Stanovoy, V. V.; Neelov, I. A.] Arctic &amp; Antarctic Res Inst, St Petersburg 199226, Russia; [Eremina, T. R.; Isaev, A. V.; Vankevich, R. E.] Russian State Hydrometeorol Univ, St Petersburg, Russia; [Ryabchenko, V. A.] Russian Acad Sci, Shirshov Inst Oceanol, St Petersburg Branch, St Petersburg, Russia</t>
  </si>
  <si>
    <t>Arctic &amp; Antarctic Research Institute; Russian State Hydrometeorological University; Russian Academy of Sciences; Shirshov Institute of Oceanology; St. Petersburg Scientific Centre of the Russian Academy of Sciences</t>
  </si>
  <si>
    <t>Stanovoy, VV (corresponding author), Arctic &amp; Antarctic Res Inst, St Petersburg 199226, Russia.</t>
  </si>
  <si>
    <t>vstanovoy@yandex.ru</t>
  </si>
  <si>
    <t>Ryabchenko, Vladimir Alexeevich/R-3877-2016; Vankevich, Roman/M-3215-2013; Eremina, Tatjana/E-6467-2017; Isaev, Alexey/C-1370-2014</t>
  </si>
  <si>
    <t>Ryabchenko, Vladimir Alexeevich/0000-0003-3909-537X; Vankevich, Roman/0000-0002-3891-3396; Eremina, Tatjana/0000-0001-5243-1804; Isaev, Alexey/0000-0003-2005-4949</t>
  </si>
  <si>
    <t>MAIK NAUKA/INTERPERIODICA/SPRINGER</t>
  </si>
  <si>
    <t>233 SPRING ST, NEW YORK, NY 10013-1578 USA</t>
  </si>
  <si>
    <t>0001-4370</t>
  </si>
  <si>
    <t>OCEANOLOGY+</t>
  </si>
  <si>
    <t>Oceanology</t>
  </si>
  <si>
    <t>10.1134/S0001437012060136</t>
  </si>
  <si>
    <t>057LB</t>
  </si>
  <si>
    <t>WOS:000312563700006</t>
  </si>
  <si>
    <t>Remenyi, T; Nesterenko, P; Bowie, A; Butler, E; Haddad, P</t>
  </si>
  <si>
    <t>Remenyi, Tomas; Nesterenko, Pavel; Bowie, Andrew; Butler, Edward; Haddad, Paul</t>
  </si>
  <si>
    <t>Reversed phase high performance liquid chromatographic determination of dissolved aluminium in open ocean seawater</t>
  </si>
  <si>
    <t>LIMNOLOGY AND OCEANOGRAPHY-METHODS</t>
  </si>
  <si>
    <t>FLOW-INJECTION ANALYSIS; SOUTHERN-OCEAN; ATLANTIC; PRECONCENTRATION; LUMOGALLION; ELEMENTS; SERUM; HPLC; AL</t>
  </si>
  <si>
    <t>Popular shipboard techniques to determine dissolved aluminium in open ocean seawater have two major disadvantages: relative to HPLC techniques, they require large sample volumes; and, in practice they are are only semi-automated. To address these two issues, the application of a reversed-phase high performance liquid chromatographic (RP-HPLC) method for the determination of the aluminium in open ocean seawater was developed. With this method, dissolved aluminium in the sample was complexed with lumogallion at pH 5.5 by the addition of a reagent, producing the fluorescent aluminium-lumogallion complex. This complex was concentrated onto a Chromolith (R) RP-18e Guard (10 x 4.6 mm) column and eluted with 95% methanol into a fluorescence detector (lambda(ex) = 505 nm, lambda(em) = 574 nm). Sample pre-treatment required 10 h (&gt; 100 samples can be prepared simultaneously) and sample analysis required 375 mu L of sample per vial analysed, with 10 mL and 2.7 min per injection. Total required sample volume (including rinses) was 1.5 mL. Limit of detection was 0.13 +/- 0.05 nM, with precision of 2.7% at 1 nM on SAFe reference samples. Agreement with SAFe reference samples was within 4.6 +/- 4.6% (n = 13). The technique is robust, inherently automated and could easily be applied shipboard for open ocean analyses. It provides improvements in sample efficiency, operational robustness and automation relative to popular shipboard techniques, especially when applied to samples with dissolved aluminium concentrations that approach the limit of detection. This project was a contribution to the GEOTRACES program.</t>
  </si>
  <si>
    <t>[Remenyi, Tomas; Nesterenko, Pavel; Butler, Edward; Haddad, Paul] Univ Tasmania, Australian Ctr Res Separat Sci, Hobart, Tas 7001, Australia; [Remenyi, Tomas; Bowie, Andrew] Univ Tasmania, Antarctic Climate &amp; Ecosyst CRC, Hobart, Tas 7001, Australia; [Remenyi, Tomas; Bowie, Andrew] Univ Tasmania, Inst Marine &amp; Antarctic Studies, Hobart, Tas 7001, Australia</t>
  </si>
  <si>
    <t>University of Tasmania; University of Tasmania; University of Tasmania</t>
  </si>
  <si>
    <t>Nesterenko, P (corresponding author), Univ Tasmania, Australian Ctr Res Separat Sci, Hobart, Tas 7001, Australia.</t>
  </si>
  <si>
    <t>pavel.nesterenko@utas.edu.au</t>
  </si>
  <si>
    <t>Nesterenko, Pavel N./A-4766-2012; Bowie, Andrew/C-8677-2013</t>
  </si>
  <si>
    <t>Nesterenko, Pavel N./0000-0002-9997-0650; Bowie, Andrew/0000-0002-5144-7799; Remenyi, Tomas/0000-0002-4145-9323; Haddad, Paul/0000-0001-9579-7363; Butler, Edward/0000-0002-6660-3985</t>
  </si>
  <si>
    <t>Australian Centre for Research on Separation Science; Australian Government's Cooperative Research Centre program through the Antarctic Climate &amp; Ecosystems Co-operative Research Centre; Institute for Marine and Antarctic Studies; University of Tasmania [IRGS 100097]</t>
  </si>
  <si>
    <t>Australian Centre for Research on Separation Science; Australian Government's Cooperative Research Centre program through the Antarctic Climate &amp; Ecosystems Co-operative Research Centre(Australian GovernmentDepartment of Industry, Innovation and ScienceCooperative Research Centres (CRC) Programme); Institute for Marine and Antarctic Studies; University of Tasmania</t>
  </si>
  <si>
    <t>This study was supported by the Australian Centre for Research on Separation Science; Australian Government's Cooperative Research Centre program through the Antarctic Climate &amp; Ecosystems Co-operative Research Centre; the Institute for Marine and Antarctic Studies; IRGS 100097 grant of the University of Tasmania; a joint CSIRO-UTAS PhD scholarship in Quantitative Marine Science (QMS) and a top-up CSIRO PhD stipend (through the Marine and Atmospheric Research division). The authors would like to thank the developers of LATEX, R [R Development Core Team 2010], JabRef [JabRef-Development-Team 2010], and Ocean Data View [Schlitzer 2002].</t>
  </si>
  <si>
    <t>AMER SOC LIMNOLOGY OCEANOGRAPHY</t>
  </si>
  <si>
    <t>WACO</t>
  </si>
  <si>
    <t>5400 BOSQUE BLVD, STE 680, WACO, TX 76710-4446 USA</t>
  </si>
  <si>
    <t>1541-5856</t>
  </si>
  <si>
    <t>LIMNOL OCEANOGR-METH</t>
  </si>
  <si>
    <t>Limnol. Oceanogr. Meth.</t>
  </si>
  <si>
    <t>10.4319/lom.2012.10.832</t>
  </si>
  <si>
    <t>Limnology; Oceanography</t>
  </si>
  <si>
    <t>Marine &amp; Freshwater Biology; Oceanography</t>
  </si>
  <si>
    <t>050PY</t>
  </si>
  <si>
    <t>WOS:000312067700002</t>
  </si>
  <si>
    <t>Guly, H</t>
  </si>
  <si>
    <t>Guly, Henry</t>
  </si>
  <si>
    <t>An Antarctic sealing expedition and the medical diary of William Spiers Bruce (1867-1921)</t>
  </si>
  <si>
    <t>JOURNAL OF MEDICAL BIOGRAPHY</t>
  </si>
  <si>
    <t>William Spiers Bruce was a medical student who sailed as ship's surgeon on the Balaena, one of the ships of the Dundee Whaling Expedition to the Antarctic (1892-93). On this expedition he kept a diary listing his medical consultations and the treatments he administered. This paper considers the expedition and the diaries.</t>
  </si>
  <si>
    <t>Guly, H (corresponding author), The Shrubbery, Bedford Rd, Yelverton PL20 7QH, Devon, England.</t>
  </si>
  <si>
    <t>hguly@aol.com</t>
  </si>
  <si>
    <t>ROYAL SOC MEDICINE PRESS LTD</t>
  </si>
  <si>
    <t>1 WIMPOLE STREET, LONDON W1G 0AE, ENGLAND</t>
  </si>
  <si>
    <t>0967-7720</t>
  </si>
  <si>
    <t>J MED BIOGR</t>
  </si>
  <si>
    <t>J. Med. Biogr.</t>
  </si>
  <si>
    <t>10.1258/jmb.2011.011040</t>
  </si>
  <si>
    <t>History &amp; Philosophy Of Science</t>
  </si>
  <si>
    <t>Arts &amp; Humanities Citation Index (A&amp;HCI)</t>
  </si>
  <si>
    <t>History &amp; Philosophy of Science</t>
  </si>
  <si>
    <t>042KH</t>
  </si>
  <si>
    <t>WOS:000311469600007</t>
  </si>
  <si>
    <t>Brown, K</t>
  </si>
  <si>
    <t>Brown, Kevin</t>
  </si>
  <si>
    <t>Edward Adrian Wilson (1872-1912): polar explorer and artist</t>
  </si>
  <si>
    <t>Biographical-Item</t>
  </si>
  <si>
    <t>Dr Edward Wilson was a polar explorer who accompanied Robert Falcon Scott (1868-1912) on his expeditions to Antarctica in 1900 and 1910. He went with Scott to the South Pole and died with him on the return journey in 1912. Although medically qualified, he is now remembered more as a naturalist and as a talented artist recording the Antarctic expeditions.</t>
  </si>
  <si>
    <t>[Brown, Kevin] St Marys Hosp, Paddington, NSW, Australia; [Brown, Kevin] London Museums Hlth &amp; Med, London, England</t>
  </si>
  <si>
    <t>Brown, K (corresponding author), St Marys Hosp, Alexander Fleming Lab Museum, Praed St, London W2 1NY, England.</t>
  </si>
  <si>
    <t>Kevin.Brown@imperial.nhs.uk</t>
  </si>
  <si>
    <t>10.1258/jmb.2012.012061</t>
  </si>
  <si>
    <t>WOS:000311469600008</t>
  </si>
  <si>
    <t>Sullivan, P; Pearn, J</t>
  </si>
  <si>
    <t>Sullivan, Peter; Pearn, John</t>
  </si>
  <si>
    <t>Medical memorials in Antarctica: a gazetteer of medical place-names</t>
  </si>
  <si>
    <t>In Antarctica an astonishing more than 300 'medical' place-names record the lives of surgeons and physicians who have served as leaders, clinicians and scientists in the field of polar medicine and other doctors memorialized for their service to medicine. These enduring medical memorials are to be found in the names of glaciers, mountains, capes and islands of the vast frozen Southern Continent. This Antarctic Medical Gazetteer features, inter alii, doctor-expedition leaders, including Jean-Baptiste Charcot (1867-1936) of France and Desmond Lugg (b. 1938) of Australia. The Medical Gazetteer lists 43 geographical features on Brabant Island that were named after famous doctors. This Gazetteer also includes a collection of medical place-names on the Loubet Coast honouring Dr John Cardell (1896-1966) and nine other pioneers who worked on the prevention of snow blindness and four islands of the Lyall Islands Group, including Surgeon Island, named after United States Antarctic Medical Officers. Eleven geographic features (mountains, islands, nunataks, lakes and more) are named after Australian doctors who have served with the Australian National Antarctic Research Expeditions based at Davis Station. Biographic memorials in Antarctica comprise a collective witness of esteem, honouring in particular those doctors who have served in Antarctica where death and injury remains a constant threat.</t>
  </si>
  <si>
    <t>[Sullivan, Peter] Univ Queensland, Brisbane, Qld 4072, Australia; [Sullivan, Peter] Australian Antarctic Div, Hobart, Tas, Australia; [Pearn, John] Royal Childrens Hosp, Brisbane, Qld, Australia</t>
  </si>
  <si>
    <t>University of Queensland; Australian Antarctic Division; Royal Children's Hospital Brisbane</t>
  </si>
  <si>
    <t>Sullivan, P (corresponding author), 89 Suncoast Dr, Blackmans Bay, Tas 7052, Australia.</t>
  </si>
  <si>
    <t>psullivan@dfr.com.au</t>
  </si>
  <si>
    <t>Pearn, John/0000-0002-8815-2994</t>
  </si>
  <si>
    <t>10.1258/jmb.2012.012060</t>
  </si>
  <si>
    <t>WOS:000311469600009</t>
  </si>
  <si>
    <t>Hospitaleche, CA; Di Carlo, U</t>
  </si>
  <si>
    <t>Hospitaleche, Carolina Acosta; Di Carlo, Ulises</t>
  </si>
  <si>
    <t>FUNCTIONAL IMPLICATIONS OF A SINGULAR PENGUIN SCAPULA (AVES, SPHENISCIFORMES) FROM THE EOCENE OF ANTARCTICA</t>
  </si>
  <si>
    <t>RIVISTA ITALIANA DI PALEONTOLOGIA E STRATIGRAFIA</t>
  </si>
  <si>
    <t>Eocene; Antarctica; Fossil penguins; Functional morphology; Diving mechanics</t>
  </si>
  <si>
    <t>MIOCENE; BIRDS; PHYLOGENY; FOSSILS</t>
  </si>
  <si>
    <t>Penguins have peculiar modifications in their skeletal anatomy as a consequence of their extremely specialized diving habit. Morphological specialization is particularly evident in the forelimb. However, the kinematics of the pectoral girdle appears to be key to the locomotion of penguins. Penguin scapulae have an unusual morphology among birds. Modern penguins have a very large (especially broad) scapula, whereas this bone is long but narrower in basal fossil species. The recent finding of an incomplete scapula with a singular acromion in the Upper Eocene Submeseta Allomember of the La Meseta Formation in the Antarctic Peninsula reveals a scapula proportionally narrower than those of modern penguins but similar to that of Waimanu and possibly other Eocene species. Osteological comparisons and muscular dissections of modern penguins show that the most striking feature is the curvature of the acromion, and the consequent enlargement of the fades articularis clavicularis. The configuration of the acromion and the corpus scapula reflects a lack of functional optimization in terms of the resistance to forces transverse to the body axis. The scapula's general morphology suggests it belonged to a medium to large-sized penguin species with no so specialized diving skills.</t>
  </si>
  <si>
    <t>[Hospitaleche, Carolina Acosta] Consejo Nacl Invest Cient &amp; Tecn CONICET, Museo La Plata, Div Paleontol Vertebrados, La Plata, Buenos Aires, Argentina; [Di Carlo, Ulises] Inst Super Juan N Terrero, La Plata, Buenos Aires, Argentina</t>
  </si>
  <si>
    <t>Consejo Nacional de Investigaciones Cientificas y Tecnicas (CONICET); National University of La Plata; Museo La Plata</t>
  </si>
  <si>
    <t>Hospitaleche, CA (corresponding author), Consejo Nacl Invest Cient &amp; Tecn CONICET, Museo La Plata, Div Paleontol Vertebrados, Pasco Bosque S-N,B1900FWA, La Plata, Buenos Aires, Argentina.</t>
  </si>
  <si>
    <t>acostacaro@fcnym.unlp.edu.ar; ulilaplata@gmail.com</t>
  </si>
  <si>
    <t>Acosta Hospitaleche, Carolina/E-5740-2017</t>
  </si>
  <si>
    <t>Acosta Hospitaleche, Carolina/0000-0002-2614-1448</t>
  </si>
  <si>
    <t>Agencia Nacional de Promocion Cientifica y Tecnologica; Consejo Nacional de Investigaciones Cientificas y Tecnicas; Universidad Nacional de La Plata</t>
  </si>
  <si>
    <t>Agencia Nacional de Promocion Cientifica y Tecnologica(ANPCyTSpanish Government); Consejo Nacional de Investigaciones Cientificas y Tecnicas(Consejo Nacional de Investigaciones Cientificas y Tecnicas (CONICET)); Universidad Nacional de La Plata(National University of La Plata)</t>
  </si>
  <si>
    <t>We especially acknowledge the Instituto Antartico Argentin and Fuerza Aerea Argentina, which provided logistic support in Antarctica during field works, and the Agencia Nacional de Promocion Cientifica y Tecnologica, Consejo Nacional de Investigaciones Cientificas y Tecnicas, and Universidad Nacional de La Plata for partial finantial support. The authors wish to thank Dra. Cecilia Morgan for English grammar and style correction, and the reviewers Daniel Ksepka and Tatsuro Ando for your helpful commentaries. Pablo Motta drew figure 6.</t>
  </si>
  <si>
    <t>UNIV STUDI MILANO</t>
  </si>
  <si>
    <t>MILANO</t>
  </si>
  <si>
    <t>C/O RIVISTA ITALIANA PALEONTOLOGIA STRATIGRAFIA, VIA MANGIAGALLI, 34, 20133 MILANO, ITALY</t>
  </si>
  <si>
    <t>0035-6883</t>
  </si>
  <si>
    <t>2039-4942</t>
  </si>
  <si>
    <t>RIV ITAL PALEONTOL S</t>
  </si>
  <si>
    <t>Riv. Ital. Paleontol. Stratigr.</t>
  </si>
  <si>
    <t>10.13130/2039-4942/6016</t>
  </si>
  <si>
    <t>Geology; Paleontology</t>
  </si>
  <si>
    <t>048AV</t>
  </si>
  <si>
    <t>WOS:000311883500006</t>
  </si>
  <si>
    <t>Arp, CD; Whitman, MS; Jones, BM; Kemnitz, R; Grosse, G; Urban, FE</t>
  </si>
  <si>
    <t>Arp, C. D.; Whitman, M. S.; Jones, B. M.; Kemnitz, R.; Grosse, G.; Urban, F. E.</t>
  </si>
  <si>
    <t>Drainage Network Structure and Hydrologic Behavior of Three Lake-Rich Watersheds on the Arctic Coastal Plain, Alaska</t>
  </si>
  <si>
    <t>ARCTIC ANTARCTIC AND ALPINE RESEARCH</t>
  </si>
  <si>
    <t>NORTH SLOPE; KUPARUK RIVER; THAW LAKES; DENSITY; BASINS; AVAILABILITY; CONNECTIVITY; MORPHOLOGY; BALANCE; WETLAND</t>
  </si>
  <si>
    <t>Watersheds draining the Arctic Coastal Plain (ACP) of Alaska are dominated by permafrost and snowmelt runoff that create abundant surface storage in the form of lakes, wetlands, and beaded streams. These surface water elements compose complex drainage networks that affect aquatic ecosystem connectivity and hydrologic behavior. The 4676 km(2) Fish Creek drainage basin is composed of three watersheds that represent a gradient of the ACP landscape with varying extents of eolian, lacustrine, and fluvial landforms. In each watershed, we analyzed 2.5-m-resolution aerial photography, a 5-m digital elevation model, and river gauging and climate records to better understand ACP watershed structure and processes. We show that connected lakes accounted for 19 to 26% of drainage density among watersheds and most all channels initiate from lake basins in the form of beaded streams. Of the &gt;2500 lakes in these watersheds, 33% have perennial streamflow connectivity, and these represent 66% of total lake area extent. Deeper lakes with over-wintering habitat were more abundant in the watershed with eolian sand deposits, while the watershed with marine silt deposits contained a greater extent of beaded streams and shallow thermokarst lakes that provide essential summer feeding habitat. Comparison of flow regimes among watersheds showed that higher lake extent and lower drained lake-basin extent corresponded with lower snowmelt and higher baseflow runoff. Variation in baseflow runoff among watersheds was most pronounced during drought conditions in 2007 with corresponding reduction in snowmelt peak flows the following year. Comparison with other Arctic watersheds indicates that lake area extent corresponds to slower recession of both snowmelt and baseflow runoff. These analyses help refine our understanding of how Arctic watersheds are structured and function hydrologically, emphasizing the important role of lake basins and suggesting how future lake change may impact hydrologic processes.</t>
  </si>
  <si>
    <t>[Arp, C. D.] Univ Alaska Fairbanks, Water &amp; Environm Res Ctr, Fairbanks, AK 99775 USA; [Whitman, M. S.; Kemnitz, R.] Bur Land Management, Arctic Field Off, Fairbanks, AK 99709 USA; [Jones, B. M.] US Geol Survey, Alaska Sci Ctr, Anchorage, AK 99508 USA; [Jones, B. M.; Grosse, G.] Univ Alaska Fairbanks, Inst Geophys, Fairbanks, AK 99775 USA; [Urban, F. E.] US Geol Survey, Earth Surface Proc Team, Denver Fed Ctr, Denver, CO 80225 USA</t>
  </si>
  <si>
    <t>University of Alaska System; University of Alaska Fairbanks; United States Department of the Interior; United States Geological Survey; University of Alaska System; University of Alaska Fairbanks; United States Department of the Interior; United States Geological Survey</t>
  </si>
  <si>
    <t>Arp, CD (corresponding author), Univ Alaska Fairbanks, Water &amp; Environm Res Ctr, 306 Tanana Loop, Fairbanks, AK 99775 USA.</t>
  </si>
  <si>
    <t>cdarp@alaska.edu</t>
  </si>
  <si>
    <t>Grosse, Guido/F-5018-2011</t>
  </si>
  <si>
    <t>Grosse, Guido/0000-0001-5895-2141; Jones, Benjamin/0000-0002-1517-4711</t>
  </si>
  <si>
    <t>U.S. Fish and Wildlife Service's (USFWS's) Arctic Landscape Conservation Cooperative Office; NASA [NNX08AJ37G]; NASA [100619, NNX08AJ37G] Funding Source: Federal RePORTER; Directorate For Geosciences; Office of Polar Programs (OPP) [0732735, 1107481] Funding Source: National Science Foundation</t>
  </si>
  <si>
    <t>U.S. Fish and Wildlife Service's (USFWS's) Arctic Landscape Conservation Cooperative Office; NASA(National Aeronautics &amp; Space Administration (NASA)); NASA(National Aeronautics &amp; Space Administration (NASA)); Directorate For Geosciences; Office of Polar Programs (OPP)(National Science Foundation (NSF)NSF - Directorate for Geosciences (GEO))</t>
  </si>
  <si>
    <t>This research received direct support from Bureau of Land Management's Arctic Field Office and a grant from U.S. Fish and Wildlife Service's (USFWS's) Arctic Landscape Conservation Cooperative Office. Guido Grosse and Ben Jones were supported by NASA grant NNX08AJ37G. We thank Douglas Kane with University of Alaska Fairbanks, Philip Martin with USFWS, Joshua Koch with USGS, and two anonymous reviewers for helpful comments on this manuscript. Any use of trade, product, or firm names is for descriptive purposes only and does not imply endorsement by the U.S. Government.</t>
  </si>
  <si>
    <t>TAYLOR &amp; FRANCIS LTD</t>
  </si>
  <si>
    <t>ABINGDON</t>
  </si>
  <si>
    <t>2-4 PARK SQUARE, MILTON PARK, ABINGDON OR14 4RN, OXON, ENGLAND</t>
  </si>
  <si>
    <t>1523-0430</t>
  </si>
  <si>
    <t>1938-4246</t>
  </si>
  <si>
    <t>ARCT ANTARCT ALP RES</t>
  </si>
  <si>
    <t>Arct. Antarct. Alp. Res.</t>
  </si>
  <si>
    <t>10.1657/1938-4246-44.4.385</t>
  </si>
  <si>
    <t>036FB</t>
  </si>
  <si>
    <t>Green Submitted</t>
  </si>
  <si>
    <t>WOS:000311010700001</t>
  </si>
  <si>
    <t>Chasmer, L; Kenward, A; Quinton, W; Petrone, R</t>
  </si>
  <si>
    <t>Chasmer, L.; Kenward, A.; Quinton, W.; Petrone, R.</t>
  </si>
  <si>
    <t>CO2 Exchanges within Zones of Rapid Conversion from Permafrost Plateau to Bog and Fen Land Cover Types</t>
  </si>
  <si>
    <t>CARBON-DIOXIDE EXCHANGE; WESTERN BOREAL PLAIN; DISCONTINUOUS PERMAFROST; NORTHWEST-TERRITORIES; PEATLAND; VEGETATION; FLUXES; SOIL; ACCUMULATION; VARIABILITY</t>
  </si>
  <si>
    <t>Variability of midday net ecosystem CO2 exchange (NEE) and respiration was measured using a transect of closed system chambers spanning transitions from channel fen, permafrost plateau, and ombrotrophic flat bog land cover types during the spring melt season (26 April-6 June 2008). The primary objective was to compare fluxes from different land cover types and topographic variability within zones adjacent to and including rapid permafrost thaw. During this period, the bog was the greatest net source of CO2 to the atmosphere, followed by plateau, and fen. NEE was slightly positive (indicating CO2 loss to the atmosphere) during the snowmelt period (average = 0.009 +/- 0.004 mg CO2 m(-2) s(-1)), and increased to 0.025 +/- 0.012 mg CO2 m(-2) s(-1) on average, possibly due to soil thaw and increased microbial activity within two days of completely snow-free conditions. Near surface soil temperature and depth to the water table were the most significant controls of soil and ground cover CO2 fluxes within chambers at all sites (p&lt;0.05). Analysis of historical aerial photographs and satellite imagery of the area from 1947 to 2008 indicates that plateaus are converting more rapidly into bogs than fen, where 73% of plateau areas (since 1970) that thawed had become bogs (as opposed to 27% conversion into fen). Future research requires establishment of a full ecosystem or land cover greenhouse gas and soil nutrient exchange/transfer program, including CO2 and water fluxes as well as dissolved organic and inorganic C, and CH4 losses from the soil. These results contribute to a better understanding of northern soil and ground-cover carbon exchanges as greater areas of permafrost plateaus collapse and form bogs.</t>
  </si>
  <si>
    <t>[Chasmer, L.; Kenward, A.; Quinton, W.; Petrone, R.] Wilfrid Laurier Univ, Cold Reg Res Ctr, Waterloo, ON N2L 3C5, Canada</t>
  </si>
  <si>
    <t>Wilfrid Laurier University</t>
  </si>
  <si>
    <t>Chasmer, L (corresponding author), Wilfrid Laurier Univ, Cold Reg Res Ctr, 75 Univ Ave W, Waterloo, ON N2L 3C5, Canada.</t>
  </si>
  <si>
    <t>laura.chasmer@gmail.com</t>
  </si>
  <si>
    <t>Improved Processes and Parameterisation for Prediction in Cold Regions network, Liidlii Kue First Nation; Canadian Foundation for Climate and Atmospheric Sciences; Natural Sciences and Engineering Research Support</t>
  </si>
  <si>
    <t>Support for this research was provided by the Improved Processes and Parameterisation for Prediction in Cold Regions network (Dr. John Pomeroy and Dr. Masaki Hayashi), Liidlii Kue First Nation. Funding for this project was provided by the Canadian Foundation for Climate and Atmospheric Sciences, and the Natural Sciences and Engineering Research Support. Logistical support was provided by the Aurora Research Institute and Water Survey of Canada. Field support was provided by Dr. Nicole Wright and Tyler Veness. Subsidized LiDAR data were organized, collected, and processed by Dr. Chris Hopkinson. We would like to thank Dr. Oliver Sonnentag for discussion and two anonymous reviewers for helpful comments and insights.</t>
  </si>
  <si>
    <t>INST ARCTIC ALPINE RES</t>
  </si>
  <si>
    <t>BOULDER</t>
  </si>
  <si>
    <t>UNIV COLORADO, BOULDER, CO 80309 USA</t>
  </si>
  <si>
    <t>10.1657/1938-4246-44.4.399</t>
  </si>
  <si>
    <t>WOS:000311010700002</t>
  </si>
  <si>
    <t>Chen, XL; Su, ZB; Ma, YM; Sun, FG</t>
  </si>
  <si>
    <t>Chen, Xuelong; Su, Zhongbo; Ma, Yaoming; Sun, Fangin</t>
  </si>
  <si>
    <t>Analysis of Land-Atmosphere Interactions over the North Region of Mt. Qomolangma (Mt. Everest)</t>
  </si>
  <si>
    <t>SURFACE-ENERGY BUDGET; SOIL THERMAL PARAMETERS; CENTRAL TIBETAN PLATEAU; DIURNAL-VARIATIONS; ASIAN MONSOON; MOISTURE; PRECIPITATION; RAINFALL; CLIMATE; SUMMER</t>
  </si>
  <si>
    <t>To better understand the basic characteristics of the land surface energy budget, nearly 7 years of continuous measurements at the Qomolangma Station for Atmospheric and Environmental Observation and Research, Chinese Academy of Sciences (QOMS/CAS) (28.21 degrees N, 86.56 degrees E, 4276 m a.s.l.) have been analyzed systematically. Seasonal and annual variations of micrometeorological measurements and land surface energy balance were analyzed. The general nature of the diurnal variation of the surface winds on the north of Mt. Everest is represented by a maximum in the afternoon and a constant wind speed in the early morning, which is controlled not only by the significant glacier wind but also by the local mountain-valley circulation and upper-level wind. Surface albedo decreases with increasing soil moisture content, showing the typical exponential relation between surface albedo and soil moisture. The data set disclosed that the high soil moisture in summer is coordinated with low albedo. The ratio between sensible heat and net radiation (H/Rn) can be as high as 0.49 when the soil is dry. The ratio (H/Rn) decreases to 0.14 with the increasing of soil moisture. On the contrary, the ratio between latent heat flux and net radiation (LE/Rn) is increased when soil moisture is rising. The highest ratio (LE/Rn) can be as high as 0.5 when soil moisture changes between 15% and 20%. After defining the effects of different soil moisture level on partitioning of surface available energy into sensible and latent heat fluxes, we can qualify how much the sensible heating is decreasing and the latent heating is increasing in this region under current plateau environment changes of warming and moistening.</t>
  </si>
  <si>
    <t>[Chen, Xuelong; Ma, Yaoming] Chinese Acad Sci, Key Lab Tibetan Environm Changes &amp; Land Surface P, Inst Tibetan Plateau Res, Beijing 100085, Peoples R China; [Chen, Xuelong; Su, Zhongbo] Univ Twente, Fac Geoinformat Sci &amp; Earth Observat, NL-7500 AE Enschede, Netherlands; [Sun, Fangin] Chinese Acad Sci, Key Lab Land Surface Proc &amp; Climate Change Cold &amp;, Engn Res Inst, Lanzhou 730000, Gansu, Peoples R China</t>
  </si>
  <si>
    <t>Chinese Academy of Sciences; Institute of Tibetan Plateau Research, CAS; University of Twente; Chinese Academy of Sciences</t>
  </si>
  <si>
    <t>Chen, XL (corresponding author), Chinese Acad Sci, Key Lab Tibetan Environm Changes &amp; Land Surface P, Inst Tibetan Plateau Res, Beijing 100085, Peoples R China.</t>
  </si>
  <si>
    <t>chen24746@itc.nl</t>
  </si>
  <si>
    <t>Su, Z./D-4383-2009; Chen, Xuelong/AAF-6616-2019; Chen, Xuelong/C-2748-2014</t>
  </si>
  <si>
    <t>Chen, Xuelong/0000-0003-3892-5298; Chen, Xuelong/0000-0003-3892-5298; Su, Zhongbo/0000-0003-2096-1733</t>
  </si>
  <si>
    <t>Chinese National Key Programme for Developing Basic Sciences [2010 CB951701]; National Natural Science Foundation of China [40825015, 40810059006]; CAS [KZCX2-YW-QN309]; CAS-KNAW Joint PhD Training Programme</t>
  </si>
  <si>
    <t>Chinese National Key Programme for Developing Basic Sciences; National Natural Science Foundation of China(National Natural Science Foundation of China (NSFC)); CAS(Chinese Academy of Sciences); CAS-KNAW Joint PhD Training Programme</t>
  </si>
  <si>
    <t>This paper was prepared under the auspices of the Chinese National Key Programme for Developing Basic Sciences (2010 CB951701), the National Natural Science Foundation of China (40825015 and 40810059006), and Knowledge Innovation Project of CAS (KZCX2-YW-QN309). Xuelong Chen is supported by the 'CAS-KNAW Joint PhD Training Programme.' The authors thank all members of QOMS/CAS for their great assistance in the field observation of this research. We thank anonymous reviewers for their insightful comments.</t>
  </si>
  <si>
    <t>10.1657/1938-4246-44.4.412</t>
  </si>
  <si>
    <t>Bronze, Green Submitted</t>
  </si>
  <si>
    <t>WOS:000311010700003</t>
  </si>
  <si>
    <t>Goodwin, K; Loso, MG; Braun, M</t>
  </si>
  <si>
    <t>Goodwin, Katelyn; Loso, Michael G.; Braun, Matthias</t>
  </si>
  <si>
    <t>Glacial Transport of Human Waste and Survival of Fecal Bacteria on Mt. McKinley's Kahiltna Glacier, Denali National Park, Alaska</t>
  </si>
  <si>
    <t>LONG-TERM SURVIVAL; MICROORGANISMS</t>
  </si>
  <si>
    <t>Each year, over 1000 climbers attempt an ascent of Mt. McKinley via the West Buttress, located on the 77-km-long Kahiltna Glacier in Denali National Park and Preserve, Alaska. Climbers generate over two metric tons of human waste annually, the majority of which is disposed of in crevasses. To assess potential health impacts of this management practice, we conducted field studies and a laboratory experiment to document the persistence of fecal bacteria in a variety of glacial microclimates. Low concentrations of fecal bacteria found in water samples collected over two melt seasons from the Kahiltna River support the argument that bacteria can survive in a glacial environment for an extended period of time. We documented Kahiltna Glacier surface velocities and used a simple flow model to predict the time and place that human waste will emerge in the ablation zone. Based on surface velocities we predict that waste buried in major camps will emerge at the glacier surface in as little as 71 years after traveling 28 km downstream. Our results show fecal microorganisms are persistent in a glacial environment, these pathogens pose a minor threat to human health, and buried human waste can be expected to emerge at the glacier surface within decades.</t>
  </si>
  <si>
    <t>[Goodwin, Katelyn; Loso, Michael G.] Alaska Pacific Univ, Dept Environm Sci, Anchorage, AK 99508 USA; [Braun, Matthias] Univ Erlangen Nurnberg, Dept Geog, D-91054 Erlangen, Germany</t>
  </si>
  <si>
    <t>University of Erlangen Nuremberg</t>
  </si>
  <si>
    <t>Goodwin, K (corresponding author), Alaska Pacific Univ, Dept Environm Sci, 4101 Univ Dr, Anchorage, AK 99508 USA.</t>
  </si>
  <si>
    <t>katie.goodwin0@gmail.com</t>
  </si>
  <si>
    <t>Braun, Matthias H/S-4693-2016; Braun, Matthias/A-4968-2009</t>
  </si>
  <si>
    <t>Braun, Matthias/0000-0001-5169-1567; Loso, Michael/0000-0001-8414-2310</t>
  </si>
  <si>
    <t>Denali National Park, a Discover Denali Research Fellowship; Alaska Pacific University</t>
  </si>
  <si>
    <t>This research was generously supported by Denali National Park, a Discover Denali Research Fellowship (to MGL), and Alaska Pacific University. We thank R. Burrows, M. Heavner, C. Hults, and A. Mitchell for technical support; A. Arendt, A. Bucki, D. English, J. Michalak, and J. Young for their field assistance and shared data; and the Denali National Park climbing rangers and staff for their field support. We are grateful to A. Arendt, R. Robinson, and J. Young for constructive reviews of an earlier draft of this manuscript.</t>
  </si>
  <si>
    <t>10.1657/1938-4246-44.4.432</t>
  </si>
  <si>
    <t>WOS:000311010700005</t>
  </si>
  <si>
    <t>Reimers, E; Eftestol, S</t>
  </si>
  <si>
    <t>Reimers, Eigil; Eftestol, Sindre</t>
  </si>
  <si>
    <t>Response Behaviors of Svalbard Reindeer towards Humans and Humans Disguised as Polar Bears on Edgeoya</t>
  </si>
  <si>
    <t>ANTIPREDATOR BEHAVIOR; PREDATOR RECOGNITION; VIGILANCE; CUES</t>
  </si>
  <si>
    <t>Due to observed interactions between Svalbard reindeer (Rangifer tarandus platyrhynchus) and polar bears (Ursus maritimus) during field work on Edgeoya, Svalbard, we measured response distances for reindeer from a stalking polar bear and improvised five approaches from a person disguised as a polar bear for comparison with human encounters. The alert, flight initiation and escape distances were 1.6, 2.5 and 2.3 times longer, respectively, when Svalbard reindeer were encountered by a person disguised as a polar bear compared to a person in dark hiking gear. Population increase of polar bears on Svalbard and decrease in sea-ice cover in the Arctic region during summer probably results in more frequent interactions with reindeer on the archipelago. Similar reindeer response behavior from encounters with a polar bear and persons disguised as polar bears indicate a predator-prey relationship between the two species on Edgeoya.</t>
  </si>
  <si>
    <t>[Reimers, Eigil; Eftestol, Sindre] Univ Oslo, Dept Biol, N-0316 Oslo, Norway</t>
  </si>
  <si>
    <t>University of Oslo</t>
  </si>
  <si>
    <t>Reimers, E (corresponding author), Univ Oslo, Dept Biol, POB 1066 Blindern, N-0316 Oslo, Norway.</t>
  </si>
  <si>
    <t>eigil.reimers@bio.uio.no</t>
  </si>
  <si>
    <t>Norwegian Science Foundation; Norwegian Polar Institute; Framkomiteens Polarfond</t>
  </si>
  <si>
    <t>We thank the Governor on Svalbard for the necessary landing allowances on Edgeoya, The Norwegian Polar Institute for rent of necessary field equipment, M. Kardel and K. Reimers Kardel for field assistance, D. T. Alemu for statistical support, T. Severinsen for technical support, and J. E. Colman for linguistic support. Financial support was provided from The Norwegian Science Foundation, The Norwegian Polar Institute, and Framkomiteens Polarfond. A special thank to C. Bonenfant, V. B. Meyer-Rochow, S. C. Amstrup, and D. T. Blumstein for their constructive criticism of a previous version of the manuscript.</t>
  </si>
  <si>
    <t>10.1657/1938-4246-44.4.483</t>
  </si>
  <si>
    <t>Green Submitted, Green Published, Bronze</t>
  </si>
  <si>
    <t>WOS:000311010700009</t>
  </si>
  <si>
    <t>Samyn, D; Vega, CP; Motoyama, H; Pohjola, VA</t>
  </si>
  <si>
    <t>Samyn, D.; Vega, C. P.; Motoyama, H.; Pohjola, V. A.</t>
  </si>
  <si>
    <t>Nitrate and Sulfate Anthropogenic Trends in the 20th Century from Five Svalbard Ice Cores</t>
  </si>
  <si>
    <t>GREENLAND ICE; NITROGEN-OXIDES; SEA-SALT; EMISSIONS; RECORD; SULFUR; LOMONOSOVFONNA; CHEMISTRY; AEROSOLS; GLACIERS</t>
  </si>
  <si>
    <t>Sulfate and nitrate records from 5 ice cores spread across Svalbard were compared and revealed strong temporal similarities with previously published global estimates of SO2 and NOx anthropogenic emissions during the 20th century. A significant departure from the early century sulfate and nitrate levels was evident at all drilling sites starting from the mid-1940s. A steady increase was observed in both sulfate and nitrate profiles at most sites until the late 1960s, when the annual concentrations started to increase at a higher rate. This peak activity lasted for about a decade, and was observed to decrease steadily from the early 1980s on, when sulfate levels declined significantly and when nitrate levels finally reached sulfate levels for the first time in 20th century. The timing of these trends in Svalbard with global SO2 and NOx concentration profiles was best appraised when considering composite concentration profiles of all Svalbard ice cores for sulfate and nitrate, respectively. Composite profiles were also found to provide a convenient mean for distinguishing between the most important world source regions. Based on correlation analysis, the major pollutant sources appeared to be Western Europe and North America for both sulfate and nitrate, followed by Central Europe and former U.S.S.R. in generally similar proportions.</t>
  </si>
  <si>
    <t>[Samyn, D.; Vega, C. P.; Pohjola, V. A.] Uppsala Univ, Dept Earth Sci, S-75236 Uppsala, Sweden; [Motoyama, H.] Natl Inst Polar Res, Tachikawa, Tokyo 1908518, Japan</t>
  </si>
  <si>
    <t>Uppsala University; Research Organization of Information &amp; Systems (ROIS); National Institute of Polar Research (NIPR) - Japan</t>
  </si>
  <si>
    <t>Samyn, D (corresponding author), Nagaoka Univ Technol, Dept Mech Engn, 1603-1 Kamitomioka Machi, Niigata 9402188, Japan.</t>
  </si>
  <si>
    <t>desamyn@mech.nagaokaut.ac.jp</t>
  </si>
  <si>
    <t>pohjola, veijo/0000-0001-6851-1673</t>
  </si>
  <si>
    <t>Marie Curie Intra-European award; JSPS Postdoctoral Fellowship (Japanese Society for the Promotion of Science)</t>
  </si>
  <si>
    <t>We thank E. Isaksson at NPI (Norwegian Polar Institute, Tromso); J. Moore and R. van de Wal at the Universities of Lapland and Utrecht, respectively; and Robert Mulvaney at British Antarctic Survey for the Lomonosovfonna data. R. Pettersson at LUVAL (Department of Earth Sciences, Uppsala University, Sweden) is also thanked for producing the Svalbard map. Comments from two anonymous reviewers contributed to the improvement of this manuscript. D.S. and C.V. acknowledge support from a Marie Curie Intra-European award, coordinated through the interdisciplinary NSINK (Sources, sinks and impacts of atmospheric nitrogen deposition in the Arctic) project. D.S. is currently funded by a JSPS Postdoctoral Fellowship (Japanese Society for the Promotion of Science).</t>
  </si>
  <si>
    <t>10.1657/1938-4246-44.4.490</t>
  </si>
  <si>
    <t>WOS:000311010700010</t>
  </si>
  <si>
    <t>Stoy, PC; Street, LE; Johnson, AV; Prieto-Blanco, A; Ewing, SA</t>
  </si>
  <si>
    <t>Stoy, Paul C.; Street, Lorna E.; Johnson, Aiden V.; Prieto-Blanco, Ana; Ewing, Stephanie A.</t>
  </si>
  <si>
    <t>Temperature, Heat Flux, and Reflectance of Common Subarctic Mosses and Lichens under Field Conditions: Might Changes to Community Composition Impact Climate-Relevant Surface Fluxes?</t>
  </si>
  <si>
    <t>LEAF-AREA INDEX; INTERIOR ALASKA; GLOBAL CHANGE; CO2 FLUX; ECOSYSTEMS; VEGETATION; CARBON; FEEDBACKS; BRYOPHYTE; RESPONSES</t>
  </si>
  <si>
    <t>Bryophytes and lichens are ubiquitous in subarctic ecosystems, but their roles in controlling energy fluxes are rarely studied at the species level despite large, recent observed shifts in subarctic vegetation. We quantified the surface and subsurface temperatures and spectral reflectance of common moss and lichen species at field sites in Alaska and Sweden. We also used MODIS observations to determine if the removal of Cladonia spp. by reindeer overgrazing impacts land surface albedo and temperature. Radiometric surface temperature of a feather moss (Pleurozium schreberi) exceeded 50 degrees C on occasion when dry, up to 20 degrees C higher than co-located Sphagnum fuscum or C. rangiferina. Spectral reflectance of S. fuscum was on average higher than Polytrichum piliferum across the 350-1400 nm range, with substantial within-species variability. MODIS albedo was significantly higher on the Norwegian (relatively undisturbed) side versus the Finnish (disturbed) side of a border reindeer fence by an average of 1% during periods without snow cover. MODIS nighttime land surface temperatures were often significantly higher on the Norwegian side of the fence by an average of 0.7 degrees C despite higher albedo, likely due to poor conductance of heat to the subsurface as observed in C. rangiferina in the field. Changes to bryophyte and lichen community composition alter the surface energy balance, and future work must determine how to best incorporate these effects into Earth system models.</t>
  </si>
  <si>
    <t>[Stoy, Paul C.; Johnson, Aiden V.; Ewing, Stephanie A.] Montana State Univ, Dept Land Resources &amp; Environm Sci, Bozeman, MT 59717 USA; [Street, Lorna E.] Univ Aberdeen, Sch Biol Sci, Aberdeen AB24 3UU, Scotland; [Street, Lorna E.] Bangor Univ, Sch Biol Sci, Bangor LL57 2DG, Gwynedd, Wales; [Prieto-Blanco, Ana] UCL, Dept Geog, London WC1H 0AP, England</t>
  </si>
  <si>
    <t>Montana State University System; Montana State University Bozeman; University of Aberdeen; Bangor University; University of London; University College London</t>
  </si>
  <si>
    <t>Stoy, PC (corresponding author), Montana State Univ, Dept Land Resources &amp; Environm Sci, 334 Leon Johnson Hall, Bozeman, MT 59717 USA.</t>
  </si>
  <si>
    <t>paul.stoy@montana.edu</t>
  </si>
  <si>
    <t>Stoy, Paul/D-3709-2011</t>
  </si>
  <si>
    <t>Stoy, Paul/0000-0002-6053-6232; Street, Lorna E/0000-0001-9570-7479</t>
  </si>
  <si>
    <t>National Science Foundation [1021095, EAR-0630319]; Marie Curie Incoming International Fellowship Programme; Natural Environmental Resource Council (U.K.); State of Montana; Direct For Biological Sciences; Division Of Environmental Biology [1021095] Funding Source: National Science Foundation</t>
  </si>
  <si>
    <t>National Science Foundation(National Science Foundation (NSF)); Marie Curie Incoming International Fellowship Programme(European Union (EU)); Natural Environmental Resource Council (U.K.); State of Montana; Direct For Biological Sciences; Division Of Environmental Biology(National Science Foundation (NSF)NSF - Directorate for Biological Sciences (BIO))</t>
  </si>
  <si>
    <t>We acknowledge funding from the National Science Foundation (Scaling Ecosystem Function: Novel Approaches from Max-Ent and Multiresolution,' DBI #1021095; Collaborative Research: Impact of Permafrost Degradation on Carbon and Water in Boreal Ecosystems (EAR-0630319, January 2007 ongoing; Q. Zhuang, J. Harden, M. T. Jorgenson, R. Striegl, Y. Shur, Co-PIs); the Marie Curie Incoming International Fellowship Programme; the Natural Environmental Resource Council (U.K.); and the State of Montana. We would like to thank Carmel Johnston, Claire Treat, Torre Jot.: genson, and Jennifer Harden for logistical support at Innoko. We would like to thank Mathew Disney, Phil Lewis, Tristan Quaife, and Mathew Williams for research support at Abisko, and Amy Trowbridge for valuable comments on the manuscript.</t>
  </si>
  <si>
    <t>10.1657/1938-4246-44.4.500</t>
  </si>
  <si>
    <t>Green Submitted, Bronze</t>
  </si>
  <si>
    <t>WOS:000311010700011</t>
  </si>
  <si>
    <t>Teich, M; Bartelt, P; Grêt-Regamey, A; Bebi, P</t>
  </si>
  <si>
    <t>Teich, Michaela; Bartelt, Perry; Gret-Regamey, Adrienne; Bebi, Peter</t>
  </si>
  <si>
    <t>Snow Avalanches in Forested Terrain: Influence of Forest Parameters, Topography, and Avalanche Characteristics on Runout Distance</t>
  </si>
  <si>
    <t>GIS; MANAGEMENT; HAZARD; TREE; ALPS</t>
  </si>
  <si>
    <t>Mountain forests are recognized as an effective biological protection measure against snow avalanches. To investigate how forests decelerate snow avalanches, we analyzed two data sets from the European Alps. The first data set contained 43 small to medium avalanches which released in forests and either stopped in forested terrain within 50 to 400 in or ran through forests and stopped in unforested terrain with a maximum runout distance of 700 m. The second data set consisted of 44 medium to large avalanches (360 to 1800 m in runout distance) which all stopped within forests, but started above treeline. Statistical dependencies between predictor variables on forest conditions, terrain features and avalanche characteristics (60 in total), and the response variable avalanche runout distance were investigated. Clear differences between avalanches that released in forests and avalanches that released above forests were observed. Forest structural parameters, in particular the starting zone stem density of trees with small diameters (1-15 cm), had a significant effect on runout distances of small to medium avalanches, which released in evergreen coniferous and mixed forests (r(s) = -0.3; p = 0.015). Beyond a threshold of 200 m this effect was negligible for runout distances of avalanches which were still in motion. In contrast, forest structure did not affect runout distances of medium to large avalanches, which started above treeline, but forests in general were still able to slow avalanche speeds and limit avalanche runout. Furthermore, runout distance was significantly affected by avalanche size characteristics for medium to large avalanches, while avalanche size was less important in determining the runout distance of small avalanches, which released in forest openings. These results emphasize that it is important to treat these two cases differently in protection forest as well as natural hazard management.</t>
  </si>
  <si>
    <t>[Teich, Michaela; Bartelt, Perry; Bebi, Peter] WSL Inst Snow &amp; Avalanche Res SLF, CH-7260 Davos, Switzerland; [Teich, Michaela; Gret-Regamey, Adrienne] Swiss Fed Inst Technol, CH-8093 Zurich, Switzerland</t>
  </si>
  <si>
    <t>Swiss Federal Institutes of Technology Domain; Swiss Federal Institute for Forest, Snow &amp; Landscape Research; Swiss Federal Institutes of Technology Domain; ETH Zurich</t>
  </si>
  <si>
    <t>Teich, M (corresponding author), WSL Inst Snow &amp; Avalanche Res SLF, Fluelastr 11, CH-7260 Davos, Switzerland.</t>
  </si>
  <si>
    <t>teich@slf.ch</t>
  </si>
  <si>
    <t>Grêt-Regamey, Adrienne/AAZ-7546-2021; Bebi, Peter/L-8385-2016; Grêt-Regamey, Adrienne/HPE-6858-2023; Teich, Michaela/D-8663-2016</t>
  </si>
  <si>
    <t>Grêt-Regamey, Adrienne/0000-0001-8156-9503; Grêt-Regamey, Adrienne/0000-0001-8156-9503; Teich, Michaela/0000-0002-8850-9279; Bebi, Peter/0000-0001-8868-6569</t>
  </si>
  <si>
    <t>CCES (Competence Center Environment and Sustainability of the ETH Domain) within the project MOUNTLAND</t>
  </si>
  <si>
    <t>We thank Thomas Feistl, Armin Fischer, and Christian Ginzler for their assistance collecting the data as well as the Bavarian avalanche warning service for providing the data set on avalanches released into forest. We also thank Natalie Zurbriggen and two anonymous reviewers for valuable comments on earlier versions of the manuscript. This study was funded by the CCES (Competence Center Environment and Sustainability of the ETH Domain) within the project MOUNTLAND.</t>
  </si>
  <si>
    <t>10.1657/1938-4246-44.4.509</t>
  </si>
  <si>
    <t>Bronze, Green Accepted, Green Submitted</t>
  </si>
  <si>
    <t>WOS:000311010700012</t>
  </si>
  <si>
    <t>Krivolutsky, AA; Repnev, AI</t>
  </si>
  <si>
    <t>Krivolutsky, A. A.; Repnev, A. I.</t>
  </si>
  <si>
    <t>Impact of space energetic particles on the Earth's atmosphere (a review)</t>
  </si>
  <si>
    <t>GEOMAGNETISM AND AERONOMY</t>
  </si>
  <si>
    <t>SOLAR-PROTON-EVENTS; OCTOBER-NOVEMBER 2003; GALACTIC COSMIC-RAYS; MIDDLE ATMOSPHERE; ODD NITROGEN; CHEMICAL-COMPOSITION; OZONE DEPLETION; PRECIPITATION EVENTS; STRATOSPHERIC OZONE; MODEL SIMULATIONS</t>
  </si>
  <si>
    <t>The state of the Earth's upper atmosphere is formed with the participation of impacts by energetic particles, such as galactic cosmic rays, protons of solar proton events, and precipitation of relativistic electrons. Changes in the neutral composition and the thermal and dynamical regime of the upper atmosphere during periods of disturbances caused by the influence of energetic particles are considered.</t>
  </si>
  <si>
    <t>[Krivolutsky, A. A.; Repnev, A. I.] Cent Aerol Observ, Dolgoprudnyi, Moscow Oblast, Russia</t>
  </si>
  <si>
    <t>Krivolutsky, AA (corresponding author), Cent Aerol Observ, Dolgoprudnyi, Moscow Oblast, Russia.</t>
  </si>
  <si>
    <t>alexei.krivolutsky@rambler.ru; alexander.repnev@rambler.ru</t>
  </si>
  <si>
    <t>Russian Foundation for Basic Research [09-05-00949]; subprogram Study and Research of the Antarctic in the scope of the federal target program World Ocean [1-6-08]</t>
  </si>
  <si>
    <t>Russian Foundation for Basic Research(Russian Foundation for Basic Research (RFBR)Spanish Government); subprogram Study and Research of the Antarctic in the scope of the federal target program World Ocean</t>
  </si>
  <si>
    <t>The work was supported by the Russian Foundation for Basic Research (project no. 09-05-00949) and by the subprogram Study and Research of the Antarctic in the scope of the federal target program World Ocean (contract no. 1-6-08). We thank the reviewer for his comments, which helped to improve the paper.</t>
  </si>
  <si>
    <t>0016-7932</t>
  </si>
  <si>
    <t>1555-645X</t>
  </si>
  <si>
    <t>GEOMAGN AERONOMY+</t>
  </si>
  <si>
    <t>Geomagn. Aeron.</t>
  </si>
  <si>
    <t>10.1134/S0016793212060060</t>
  </si>
  <si>
    <t>040OM</t>
  </si>
  <si>
    <t>WOS:000311332200001</t>
  </si>
  <si>
    <t>Egorova, LV</t>
  </si>
  <si>
    <t>Egorova, L. V.</t>
  </si>
  <si>
    <t>Relationships between magnetospheric and ionospheric disturbances in the auroral and subauroral zones</t>
  </si>
  <si>
    <t>A joint analysis of variations in the ionospheric parameters at three vertical-incidence stations (Heiss Island, Dixon Island, and Sodankyla) and the solar wind plasma characteristics (i.e., the PC magnetic index characterizing the IMF geoeffective part) indicated that the PC index can be used as a predictor in order to diagnose the electron density level in the polar ionosphere. An increase in the PC level corresponds to positive and negative gradients in variations in the F region's critical frequencies. As PC becomes larger than 1.5, the electron density increases at night in winter and, on the contrary, decreases during the day in summer and during daylight hours in winter. A delay in the ionospheric F region's response to PC variations depends on the station latitude: this delay is no more than 1 and 2 h at the Heiss Island and Dixon Island stations and can be more than 6 h in summer and 0-1 h in winter at Sodankyla. An increase in the PC amplitude as a rule corresponds to an anomalous increase in foEs relative to the median values at these stations with a delay of 1 h.</t>
  </si>
  <si>
    <t>Russian Acad Sci, Arctic &amp; Antarctic Res Inst, St Petersburg 199397, Russia</t>
  </si>
  <si>
    <t>Russian Academy of Sciences; Arctic &amp; Antarctic Research Institute</t>
  </si>
  <si>
    <t>Egorova, LV (corresponding author), Russian Acad Sci, Arctic &amp; Antarctic Res Inst, Ul Beringa 38, St Petersburg 199397, Russia.</t>
  </si>
  <si>
    <t>eglar@aari.nw.ru</t>
  </si>
  <si>
    <t>10.1134/S0016793212050052</t>
  </si>
  <si>
    <t>WOS:000311332200008</t>
  </si>
  <si>
    <t>Morris, RJ; Höffner, J; Lübken, FJ; Viehl, TP; Kaifler, B; Klekociuk, AR</t>
  </si>
  <si>
    <t>Morris, Ray J.; Hoeffner, Josef; Luebken, Franz-Josef; Viehl, Timo P.; Kaifler, Bernd; Klekociuk, Andrew R.</t>
  </si>
  <si>
    <t>Experimental evidence of a stratospheric circulation influence on mesospheric temperatures and ice-particles during the 2010-2011 austral summer at 69°S</t>
  </si>
  <si>
    <t>JOURNAL OF ATMOSPHERIC AND SOLAR-TERRESTRIAL PHYSICS</t>
  </si>
  <si>
    <t>Mesopause; Temperature; Ice particles; Stratosphere</t>
  </si>
  <si>
    <t>NITRIC-OXIDE EXPLORER; ECHOES; CLOUD; PMSE</t>
  </si>
  <si>
    <t>A significant inter-annual decrease in polar mesosphere ice-particles, i.e., PMSE and PMC, during 2010-2011 is compared with earlier austral summers, in particular with 2009-2010. The first IAP iron lidar temperature measurement at Davis (68.6 degrees S), Antarctica from 14 December 2010 are used to assess thermal effects of atmospheric processes on the mesopause region. We report low average temperatures of similar to 125 K measured by Fe-lidar near 90 km when the PMSE season commenced, whereas temperatures were warmer in 2010-2011 compared to 2009-2010 at altitudes where PMSE normally occur (around 86 km). Summer mesopause region temperature anomalies are derived using Aura MLS records. We reveal that the late break-down of the Antarctic stratospheric polar vortex on 5 January 2010, coupled with enhanced early summer mesospheric zonal wind field, provide a barrier to upward propagation of atmospheric gravity waves to be the main mechanism for the observed warm early summer season below the mesopause. The mesopause in 2010-2011 was unusually high and cold. We conclude that the timing of the annual break-down of the southern polar stratospheric vortex as manifest in zonal winds at 30 hPa impacts mesosphere temperature and ice-particle formation early in the austral summer. Crown Copyright (C) 2012 Published by Elsevier Ltd. All rights reserved.</t>
  </si>
  <si>
    <t>[Morris, Ray J.; Klekociuk, Andrew R.] Australian Antarctic Div, Dept Sustainabil Environm Water Populat &amp; Communi, Kingston, Tas 7050, Australia; [Hoeffner, Josef; Luebken, Franz-Josef; Viehl, Timo P.; Kaifler, Bernd] Leibniz Inst Atmospher Phys, Kuhlungsborn, Germany</t>
  </si>
  <si>
    <t>Australian Antarctic Division; Leibniz Institut fur Atmospharenphysik e.V. an der Universitat Rostock (IAP)</t>
  </si>
  <si>
    <t>Morris, RJ (corresponding author), Australian Antarctic Div, Dept Sustainabil Environm Water Populat &amp; Communi, Channel Highway, Kingston, Tas 7050, Australia.</t>
  </si>
  <si>
    <t>ray.morris@aad.gov.au</t>
  </si>
  <si>
    <t>Kaifler, Bernd/AAK-7237-2021; Klekociuk, Andrew/A-4498-2015</t>
  </si>
  <si>
    <t>Kaifler, Bernd/0000-0002-5891-242X; Klekociuk, Andrew/0000-0003-3335-0034; Viehl, Timo/0000-0002-7948-5666</t>
  </si>
  <si>
    <t>1364-6826</t>
  </si>
  <si>
    <t>J ATMOS SOL-TERR PHY</t>
  </si>
  <si>
    <t>J. Atmos. Sol.-Terr. Phys.</t>
  </si>
  <si>
    <t>10.1016/j.jastp.2012.08.007</t>
  </si>
  <si>
    <t>Geochemistry &amp; Geophysics; Meteorology &amp; Atmospheric Sciences</t>
  </si>
  <si>
    <t>038TF</t>
  </si>
  <si>
    <t>WOS:000311196300008</t>
  </si>
  <si>
    <t>Okumura, YM; Schneider, D; Deser, C; Wilson, R</t>
  </si>
  <si>
    <t>Okumura, Yuko M.; Schneider, David; Deser, Clara; Wilson, Rob</t>
  </si>
  <si>
    <t>Decadal-Interdecadal Climate Variability over Antarctica and Linkages to the Tropics: Analysis of Ice Core, Instrumental, and Tropical Proxy Data</t>
  </si>
  <si>
    <t>JOURNAL OF CLIMATE</t>
  </si>
  <si>
    <t>SEA-SURFACE TEMPERATURE; SOUTHERN-HEMISPHERE CIRCULATION; LOW-FREQUENCY VARIABILITY; NORTH PACIFIC; GLOBAL TELECONNECTIONS; SST VARIABILITY; LEVEL PRESSURE; WATER ISOTOPES; ATLANTIC-OCEAN; ANNULAR MODES</t>
  </si>
  <si>
    <t>The Antarctic continent contains the majority of the global ice volume and plays an important role in a changing climate. The nature and causes of Antarctic climate variability are, however, poorly understood beyond interannual time scales due to the paucity of long, reliable meteorological observations. This study analyzes decadal-interdecadal climate variability over Antarctica using a network of annually resolved ice core records and various instrumental and tropical proxy data for the nineteenth and twentieth centuries. During the twentieth century. Antarctic ice core records indicate strong linkages to sea surface temperature (SST) variations in the tropical Pacific and Atlantic on decadal-interdecadal time scales. Antarctic surface temperature anomalies inferred from the ice cores are consistent with the associated changes in atmospheric circulation and thermal advection. A set of atmospheric general circulation model experiments supports the idea that decadal SST variations in the tropics force atmospheric teleconnections that affect Antarctic surface temperatures. When coral and other proxies for tropical climate are used to extend the analysis back 101799, a similar Antarctic-tropical Pacific linkage is found, although the relationship is weaker during the first half of the nineteenth century. Over the past 50 years, a change in the phase of Pacific and Atlantic interdecadal variability may have contributed to the rapid warming of the Antarctic Peninsula and West Antarctica and related changes in ice sheet dynamics.</t>
  </si>
  <si>
    <t>[Okumura, Yuko M.] Univ Texas Austin, Inst Geophys, John &amp; Katherine Jackson Sch Geosci, Austin, TX 78758 USA; [Okumura, Yuko M.; Schneider, David; Deser, Clara] NCAR, Climate &amp; Global Dynam Div, Boulder, CO USA; [Wilson, Rob] Univ St Andrews, Sch Geog &amp; Geosci, St Andrews, Fife, Scotland</t>
  </si>
  <si>
    <t>University of Texas System; University of Texas Austin; National Center Atmospheric Research (NCAR) - USA; University of St Andrews</t>
  </si>
  <si>
    <t>Okumura, YM (corresponding author), Univ Texas Austin, Inst Geophys, John &amp; Katherine Jackson Sch Geosci, JJ Pickle Res Campus,Bldg 196,10100 Burnet Rd, Austin, TX 78758 USA.</t>
  </si>
  <si>
    <t>yukoo@ig.utexas.edu</t>
  </si>
  <si>
    <t>Wilson, Robert/S-9147-2016; Okumura, Yuko M/A-9742-2012; Schneider, David/E-2726-2010</t>
  </si>
  <si>
    <t>Wilson, Robert/0000-0003-4486-8904; Schneider, David/0000-0001-5308-1834; Okumura, Yuko/0000-0002-1874-3465</t>
  </si>
  <si>
    <t>National Science Foundation; National Science Foundation Office of Polar Programs [ANT-0838871]</t>
  </si>
  <si>
    <t>National Science Foundation(National Science Foundation (NSF)); National Science Foundation Office of Polar Programs(National Science Foundation (NSF)NSF - Directorate for Geosciences (GEO))</t>
  </si>
  <si>
    <t>The National Center for Atmospheric Research is sponsored by the National Science Foundation.; We thank Alexander Tudhope for generously allowing us to use several unpublished coral records and Jian Lu for providing the GFDL AM2 simulations. We would also like to thank Mike Wallace, Qinghua Ding, Laurent Terray, Paul Kushner, and Axel Timmermann for useful discussions and Dennis Shea for technical assistance during the course of this study. Comments and suggestions by Qinghua Ding and two anonymous reviewers helped to improve the manuscript. The CAM3 simulations were conducted by Adam Phillips at NCAR and made available on the CESM Climate Variability and Change Working Group's webpage (http://www.cesm.ucar.edu/working_groups/Climate/). The following datasets were obtained online: HadISST and HadSLP2 from the Met Office Hadley Center (http://www.metoffice.gov.uk/hadobs/); land station precipitation from the Climate Research Unit of the University of East Anglia (http://www.cru.uea.ac.uk/); and Cariaco Basin G. bulloides abundance data and Bahamas coral SST reconstruction from the NOAA National Climatic Data Center Paleoclimatology Branch (http://www.ncdc.noaa.gov/paleo/paleo.html). Y. M. Okumura and D. P. Schneider were supported by a grant from the National Science Foundation Office of Polar Programs (ANT-0838871).</t>
  </si>
  <si>
    <t>AMER METEOROLOGICAL SOC</t>
  </si>
  <si>
    <t>BOSTON</t>
  </si>
  <si>
    <t>45 BEACON ST, BOSTON, MA 02108-3693 USA</t>
  </si>
  <si>
    <t>0894-8755</t>
  </si>
  <si>
    <t>1520-0442</t>
  </si>
  <si>
    <t>J CLIMATE</t>
  </si>
  <si>
    <t>J. Clim.</t>
  </si>
  <si>
    <t>10.1175/JCLI-D-12-00050.1</t>
  </si>
  <si>
    <t>036BZ</t>
  </si>
  <si>
    <t>WOS:000311002700007</t>
  </si>
  <si>
    <t>Powers, JG; Manning, KW; Bromwich, DH; Cassano, JJ; Cayette, AM</t>
  </si>
  <si>
    <t>Powers, Jordan G.; Manning, Kevin W.; Bromwich, David H.; Cassano, John J.; Cayette, Arthur M.</t>
  </si>
  <si>
    <t>A DECADE OF ANTARCTIC SCIENCE SUPPORT THROUGH AMPS</t>
  </si>
  <si>
    <t>BULLETIN OF THE AMERICAN METEOROLOGICAL SOCIETY</t>
  </si>
  <si>
    <t>POLAR MM5 SIMULATIONS; WEATHER RESEARCH; ROSS SEA; PREDICTION; GREENLAND; REGION; SYSTEM; WINDS; CYCLOGENESIS; PERFORMANCE</t>
  </si>
  <si>
    <t>[Powers, Jordan G.; Manning, Kevin W.] Natl Ctr Atmospher Res, Boulder, CO 80307 USA; [Bromwich, David H.] Ohio State Univ, Byrd Polar Res Ctr, Polar Meteorol Grp, Columbus, OH 43210 USA; [Cassano, John J.] Univ Colorado, Cooperat Inst Res Environm Sci, Boulder, CO 80309 USA; [Cassano, John J.] Univ Colorado, Dept Atmospher &amp; Ocean Sci, Boulder, CO 80309 USA; [Cayette, Arthur M.] Space &amp; Naval Warfare Syst Ctr, N Charleston, SC USA</t>
  </si>
  <si>
    <t>National Center Atmospheric Research (NCAR) - USA; University System of Ohio; Ohio State University; University of Colorado System; University of Colorado Boulder; University of Colorado System; University of Colorado Boulder; Naval Information Warfare Center Pacific</t>
  </si>
  <si>
    <t>Powers, JG (corresponding author), NCAR, MMM Div, NCAR Earth Syst Lab, POB 3000, Boulder, CO 80307 USA.</t>
  </si>
  <si>
    <t>powers@ucar.edu</t>
  </si>
  <si>
    <t>Bromwich, David H/C-9225-2016; Cassano, John/HKW-8817-2023</t>
  </si>
  <si>
    <t>NSF Office of Polar Programs; Directorate For Geosciences; Office of Polar Programs (OPP) [1135171] Funding Source: National Science Foundation</t>
  </si>
  <si>
    <t>NSF Office of Polar Programs(National Science Foundation (NSF)); Directorate For Geosciences; Office of Polar Programs (OPP)(National Science Foundation (NSF)NSF - Directorate for Geosciences (GEO))</t>
  </si>
  <si>
    <t>The authors wish to recognize their colleague and friend the late Dr. Neil D. Adams of the Australian Bureau of Meteorology for his advancements to Antarctic NWP and contributions to the international Antarctic effort. The authors thank the National Science Foundation Office of Polar Programs and the NSF UCAR and Lower Atmospheric Facilities Oversight Section for their support of AMPS over the years. They appreciate the Space and Naval Warfare Systems Center and Scientific Research Corporation for their input and collaborations. They also acknowledge NCAR's Computational and Informational Systems Laboratory for its support of the computer hardware systems vital to running AMPS. This work has been funded primarily by the NSF Office of Polar Programs.</t>
  </si>
  <si>
    <t>0003-0007</t>
  </si>
  <si>
    <t>1520-0477</t>
  </si>
  <si>
    <t>B AM METEOROL SOC</t>
  </si>
  <si>
    <t>Bull. Amer. Meteorol. Soc.</t>
  </si>
  <si>
    <t>10.1175/BAMS-D-11-00186.1</t>
  </si>
  <si>
    <t>039AD</t>
  </si>
  <si>
    <t>Green Published, Bronze</t>
  </si>
  <si>
    <t>WOS:000311214300009</t>
  </si>
  <si>
    <t>Ullgren, JE; van Aken, HM; Ridderinkhof, H; de Ruijter, WPM</t>
  </si>
  <si>
    <t>Ullgren, J. E.; van Aken, H. M.; Ridderinkhof, H.; de Ruijter, W. P. M.</t>
  </si>
  <si>
    <t>The hydrography of the Mozambique Channel from six years of continuous temperature, salinity, and velocity observations</t>
  </si>
  <si>
    <t>DEEP-SEA RESEARCH PART I-OCEANOGRAPHIC RESEARCH PAPERS</t>
  </si>
  <si>
    <t>Mozambique Channel; Indian ocean; Mesoscale eddies; Interannual variability; Time series; Long-term observations</t>
  </si>
  <si>
    <t>SEA INTERMEDIATE WATER; SOUTHWEST INDIAN-OCEAN; AGULHAS CURRENT; NORTH-ATLANTIC; DEEP-WATER; CIRCULATION; TRANSPORT; FLOW; VENTILATION; MADAGASCAR</t>
  </si>
  <si>
    <t>Temperature, salinity and velocity data are presented, along with the estimated volume transport, from seven full-length deep sea moorings placed across the narrowest part of the Mozambique Channel, southwest Indian Ocean, during the period November 2003 to December 2009. The dominant water mass in the upper layer is Sub-Tropical Surface Water (STSW) which overlies South Indian Central Water (SICW), and is normally capped by fresher Tropical Surface Water (TSW). Upper ocean salinity increased through 2005 as a result of saline STSW taking up a relatively larger part of the upper layer, at the expense of TSW. Upper waters are on average warmer and lighter in the central Channel than on the sides. Throughout the upper 1.5 km of the water column there is large hydrographic variability, short-term as well as interannual, and in particular at frequencies (four to seven cycles per year) associated with the southward passage of anticyclonic Mozambique Channel eddies. The eddies have a strong T-S signal, in the upper and central waters as well as on the intermediate level, as the eddies usually carry saline Red Sea Water (RSW) in their core. While the interannual frequency band displays an east-west gradient with higher temperature variance on the western side, the eddy frequency band shows highest variance in the centre of the Channel, where the eddy band contains about 40% of the total isopycnal hydrographic variability. Throughout the &gt; 6 years of measurements, the frequency and characteristics of eddies vary between periods, both in terms of strength and vertical structure of eddy T-S signals. These changes contribute to the interannual variability of water mass properties: an increase in central water salinity to a maximum in late 2007 coincided with a period of unusually frequent eddies with strong salinity signals. The warmest and most saline deep water is found within the northward flowing Mozambique Undercurrent, on the western side of the Channel. The Undercurrent has two cores: an intermediate one mainly containing diluted Antarctic Intermediate Water (AAIW), and a deep one consisting of North Atlantic Deep Water (NADW). In the intermediate core, T-S properties are strongly correlated with current velocity, probably because of the strong salinity gradient at the interface between Red Sea Water (RSW) and AAIW. In the deep core, velocity and hydrographic time series do not correlate on a daily basis, but they do at longer time scales. (C) 2012 Elsevier Ltd. All rights reserved.</t>
  </si>
  <si>
    <t>[Ullgren, J. E.; van Aken, H. M.; Ridderinkhof, H.] NIOZ Royal Netherlands Inst Sea Res, NL-1790 AB Den Burg, Texel, Netherlands; [de Ruijter, W. P. M.] Univ Utrecht, Inst Marine &amp; Atmospher Res, NL-3584 CC Utrecht, Netherlands</t>
  </si>
  <si>
    <t>Utrecht University; Royal Netherlands Institute for Sea Research (NIOZ); Utrecht University</t>
  </si>
  <si>
    <t>Ullgren, JE (corresponding author), Univ Bergen, Inst Geophys, N-5007 Bergen, Norway.</t>
  </si>
  <si>
    <t>jenny.ullgren@gfi.uib.no</t>
  </si>
  <si>
    <t>de Ruijter, Wilhelmus/I-2541-2016</t>
  </si>
  <si>
    <t>Ullgren, Jenny/0000-0002-1125-3033</t>
  </si>
  <si>
    <t>Netherlands Organization for Scientific Research (NWO), section Earth and Life Sciences (ALW) [839.08.430]; NWO via the LOCO investment programme</t>
  </si>
  <si>
    <t>Netherlands Organization for Scientific Research (NWO), section Earth and Life Sciences (ALW)(Netherlands Organization for Scientific Research (NWO)); NWO via the LOCO investment programme</t>
  </si>
  <si>
    <t>We thank the crews of all the research ships involved in the mooring deployment and recovery, as well as NIOZ technicians and shore-based support staff, and students who joined our cruises. This work is supported by the Netherlands Organization for Scientific Research (NWO), section Earth and Life Sciences (ALW), Grant no. 839.08.430. Funding for the mooring equipment was received from the NWO via the LOCO investment programme. Four reviewers deserve our thanks for their helpful comments on the first version of this manuscript. Wavelet software was provided by C. Torrence and G. Compo, and is available at URL: http://paos.colorado.edu/research/wavelets/.</t>
  </si>
  <si>
    <t>0967-0637</t>
  </si>
  <si>
    <t>DEEP-SEA RES PT I</t>
  </si>
  <si>
    <t>Deep-Sea Res. Part I-Oceanogr. Res. Pap.</t>
  </si>
  <si>
    <t>10.1016/j.dsr.2012.07.003</t>
  </si>
  <si>
    <t>031TP</t>
  </si>
  <si>
    <t>WOS:000310665500004</t>
  </si>
  <si>
    <t>Saraceno, M; Provost, C</t>
  </si>
  <si>
    <t>Saraceno, Martin; Provost, Christine</t>
  </si>
  <si>
    <t>On eddy polarity distribution in the southwestern Atlantic</t>
  </si>
  <si>
    <t>Eddies; Southwestern Atlantic; Zapiola Drift</t>
  </si>
  <si>
    <t>MESOSCALE EDDIES; SATELLITE ALTIMETRY; CIRCULATION; CURRENTS; BRAZIL; IDENTIFICATION; VARIABILITY; DYNAMICS; SYSTEM; PERU</t>
  </si>
  <si>
    <t>Eddies in the southwestern Atlantic were detected from more than 18 years of satellite altimetry data using a modified version of the Okubo-Weiss method. The spatial distribution and polarity of eddies were examined. A larger concentration of cyclonic (anticyclonic) eddies was found on the left (right) side when looking downstream on some of the largest current systems in the region, such as the South Atlantic Current, the anticyclonic circulation associated with the Zapiola Drift (ZD) and the northern branch of the Antarctic Circumpolar Current. In the region isolated by the anticyclonic Zapiola Current, 91% of eddies were cyclonic. The observed distribution of eddies is in agreement with the generation of eddies from meanders of the above-mentioned currents: cyclonic (anticyclonic) eddies might detach from a meander of the current on the left (right) side when looking downstream on the current. Furthermore, in the ZD area, the bottom topography plays a key role in determining the trajectory of eddies: the anticyclonic current associated with the ZD meanders and eventually generates a cyclonic eddy that enters the ZD region only across the northeastern border, where the gradient of potential vorticity is lower. Finally, average surface chlorophyll-a concentration inside cyclonic and anticyclonic eddies shows that the former have higher chlorophyll-a values. Thus, on average, the classical eddy-pumping theory explains the difference in chlorophyll-a concentration within eddies in the southwestern Atlantic. (C) 2012 Elsevier Ltd. All rights reserved.</t>
  </si>
  <si>
    <t>[Saraceno, Martin] UMI IFAECI CNRS CONICET UBA, Ctr Invest Mar &amp; Atmosfera, CIMA CONICET UBA, DCAO FCEN UBA, Buenos Aires, DF, Argentina; [Provost, Christine] Univ Paris 06, LOCEAN, UMR 7159, F-75005 Paris, France</t>
  </si>
  <si>
    <t>Consejo Nacional de Investigaciones Cientificas y Tecnicas (CONICET); University of Buenos Aires; Sorbonne Universite; Museum National d'Histoire Naturelle (MNHN); Centre National de la Recherche Scientifique (CNRS); CNRS - National Institute for Earth Sciences &amp; Astronomy (INSU)</t>
  </si>
  <si>
    <t>Saraceno, M (corresponding author), UMI IFAECI CNRS CONICET UBA, Ctr Invest Mar &amp; Atmosfera, CIMA CONICET UBA, DCAO FCEN UBA, Ciudad Univ,Pabellon 2 Piso 2,C1428EHA, Buenos Aires, DF, Argentina.</t>
  </si>
  <si>
    <t>saraceno@cima.fcen.uba.ar</t>
  </si>
  <si>
    <t>Saraceno, Martin/AAS-1231-2020</t>
  </si>
  <si>
    <t>Saraceno, Martin/0000-0002-5657-4420; Provost, Christine/0000-0003-4693-3685</t>
  </si>
  <si>
    <t>CNES; Directorate For Geosciences [1138881] Funding Source: National Science Foundation</t>
  </si>
  <si>
    <t>CNES(Centre National D'etudes Spatiales); Directorate For Geosciences(National Science Foundation (NSF)NSF - Directorate for Geosciences (GEO))</t>
  </si>
  <si>
    <t>The altimeter products were produced by Ssalto/Duacs and distributed by AVISO, with support from CNES (http://www.aviso.oceanobs.com/duacs/). U. Zajaczkovski helped with the selection of the drifter data. D. Oks contributed to the computation of data for Fig. 8. This work is a contribution to projects ANPCyT PICT 2009-27, IAI CRN2076, CONICET PIP 112-200801-03072 and UBACYT 2008 x 176. CNES support is acknowledged. We warmly thank Ray Griffiths for his most valuable comments on the manuscript.</t>
  </si>
  <si>
    <t>1879-0119</t>
  </si>
  <si>
    <t>10.1016/j.dsr.2012.07.005</t>
  </si>
  <si>
    <t>Green Published</t>
  </si>
  <si>
    <t>WOS:000310665500006</t>
  </si>
  <si>
    <t>Varriale, S; Ferraresso, S; Giacomelli, S; Coscia, MR; Bargelloni, L; Oreste, U</t>
  </si>
  <si>
    <t>Varriale, Sonia; Ferraresso, Serena; Giacomelli, Stefano; Coscia, Maria Rosaria; Bargelloni, Luca; Oreste, Umberto</t>
  </si>
  <si>
    <t>Evolutionary analysis of Antarctic teleost Toll-like receptor 2</t>
  </si>
  <si>
    <t>FISH &amp; SHELLFISH IMMUNOLOGY</t>
  </si>
  <si>
    <t>Antarctic teleost; Toll-like receptor; Adaptive evolution; Molecular dynamics; Positive selection</t>
  </si>
  <si>
    <t>MULTIPLE SEQUENCE ALIGNMENT; STRUCTURAL BASIS; EXPRESSION ANALYSIS; GENE FAMILY; CLUSTAL-W; RECOGNITION; SELECTION; PREDICTION; INFERENCE; ADAPTERS</t>
  </si>
  <si>
    <t>In the present study we address the investigation of TLR2 evolutionary selection in two Antarctic teleosts, Trematomus bernacchii (Nototheniidae) and Chionodraco hamatus (Channichthyidae). The nucleotide sequence of TLR2 has been determined in both species, encoding 20 leucine-rich repeats (LRRs) in the extracellular region and a classical Toll/IL-1R (TIR) domain in the intracellular region. High expression level of T. bernacchii TLR2 was found in spleen and skin. Using different methods we identified six codons that underwent Darwinian selection while 20 were found to be negatively selected. Molecular models of C. hamatus and T bernacchii TLR2 ectodomain as well as of the TIR domain were built by Homology Modeling. Molecular Dynamics simulations were performed in water for 15 ns. The sites under positive selection were residing on the convex side of the solenoid, four out of six were in a 35-residue-long region including the central/N-terminal domain boundary: two in the external loop of LRR11 and the other two in the LRR12 loop. This region has been demonstrated to be the functional site of ligand interaction in human TLR2 structure. Antarctic TLR2 models showed more flexibility than TLR2 from the temperate species Gasterosteus aculeatus. These results suggest that the selective pressure has shaped TLR2 molecule in such a way that increased its activity under the peculiar Antarctic environmental conditions. (C) 2012 Elsevier Ltd. All rights reserved.</t>
  </si>
  <si>
    <t>[Varriale, Sonia; Giacomelli, Stefano; Coscia, Maria Rosaria; Oreste, Umberto] CNR, Inst Prot Biochem, I-80131 Naples, Italy; [Ferraresso, Serena; Bargelloni, Luca] Univ Padua, Dept Comparat Biomed &amp; Food Sci, I-35020 Padua, Italy</t>
  </si>
  <si>
    <t>Consiglio Nazionale delle Ricerche (CNR); Istituto di Biochimica delle Proteine (IBP-CNR); University of Padua</t>
  </si>
  <si>
    <t>Oreste, U (corresponding author), CNR, Inst Prot Biochem, Via P Castellino 111, I-80131 Naples, Italy.</t>
  </si>
  <si>
    <t>s.varriale@ibp.cnr.it; serena.ferraresso@unipd.it; s.giacomelli@ibp.cnr.it; mr.coscia@ibp.cnr.it; luca.bargelloni@unipd.it; u.oreste@ibp.cnr.it</t>
  </si>
  <si>
    <t>Coscia, Maria Rosaria/AAU-1808-2021</t>
  </si>
  <si>
    <t>Ferraresso, Serena/0000-0001-5928-9361</t>
  </si>
  <si>
    <t>Italian Research Program (PNRA) [2005.1.2]</t>
  </si>
  <si>
    <t>Italian Research Program (PNRA)</t>
  </si>
  <si>
    <t>The study was conducted in the framework of the Italian Research Program (PNRA), project 2005.1.2.</t>
  </si>
  <si>
    <t>ACADEMIC PRESS LTD- ELSEVIER SCIENCE LTD</t>
  </si>
  <si>
    <t>24-28 OVAL RD, LONDON NW1 7DX, ENGLAND</t>
  </si>
  <si>
    <t>1050-4648</t>
  </si>
  <si>
    <t>1095-9947</t>
  </si>
  <si>
    <t>FISH SHELLFISH IMMUN</t>
  </si>
  <si>
    <t>Fish Shellfish Immunol.</t>
  </si>
  <si>
    <t>10.1016/j.fsi.2012.07.010</t>
  </si>
  <si>
    <t>Fisheries; Immunology; Marine &amp; Freshwater Biology; Veterinary Sciences</t>
  </si>
  <si>
    <t>038RL</t>
  </si>
  <si>
    <t>WOS:000311191700002</t>
  </si>
  <si>
    <t>Buonocore, F; Randelli, E; Casani, D; Picchietti, S; Belardinelli, MC; de Pascale, D; De Santi, C; Scapigliati, G</t>
  </si>
  <si>
    <t>Buonocore, Francesco; Randelli, Elisa; Casani, Daniela; Picchietti, Simona; Belardinelli, Maria Cristina; de Pascale, Donatella; De Santi, Concetta; Scapigliati, Giuseppe</t>
  </si>
  <si>
    <t>A piscidin-like antimicrobial peptide from the icefish Chionodraco hamatus (Perciformes: Channichthyidae): Molecular characterization, localization and bactericidal activity</t>
  </si>
  <si>
    <t>Antimicrobial peptides; Chionodraco hamatus; Real-time PCR; Mast cells; Bactericidal activity</t>
  </si>
  <si>
    <t>EUROPEAN SEA BASS; IMMUNOCYTOCHEMICAL LOCALIZATION; ANTARCTIC FISH; CDNA SEQUENCE; MAST-CELLS; HOST; PLEUROCIDIN; EXPRESSION; GILL; PREDICTION</t>
  </si>
  <si>
    <t>Antimicrobial peptides (AMPs) are considered one of the most ancient components of the innate immune system. They are able to exert their protection activity against a variety of microorganisms, and are widely distributed in both vertebrates and invertebrates. In this paper we focused on an AMP identified in the Antarctic teleost Chionodraco hamatus, an icefish species. The cDNA sequence of the AMP, named chionodracine, is comprised of 515 bp and translates for a putative protein precursor of 80 amino acids, with a signal peptide of 22 amino acids. The structural features evidenced in the primary sequence of chionodracine lead to the inclusion of the peptide in the antimicrobial family of piscidins. The analysis by real-time PCR of the basal gene transcripts of chionodracine in different icefish tissues showed that the highest expression was found in gills, followed by head kidney. The chionodracine expression levels in head kidney leukocytes were up-regulated in vitro both by LPS and poly I:C, and in vivo by LPS. A putative chionodracine mature peptide was synthesized and employed to obtain a polyclonal antiserum, which was used in immunohistochemistry of gills sections and revealed a significant positivity associated with mast cells. The bactericidal activity of the peptide was investigated and found significant against Antarctic psychrophilic bacteria strains (Psychrobacter sp. TAD1 and TA144), the Gram-positive Bacillus cereus, and at a lesser extent against the Gram-negative Escherichia coli. Interestingly, the haemolytic activity of chionodracine was tested in vitro on human erythrocytes and no significant lysis occurred until peptide concentration of 50 mu M. (C) 2012 Elsevier Ltd. All rights reserved.</t>
  </si>
  <si>
    <t>[Buonocore, Francesco; Randelli, Elisa; Casani, Daniela; Picchietti, Simona; Belardinelli, Maria Cristina] Univ Tuscia, Dept Innovat Biol Agrofood &amp; Forest Syst, I-01100 Viterbo, Italy; [de Pascale, Donatella; De Santi, Concetta; Scapigliati, Giuseppe] CNR, Inst Prot Biochem, I-80131 Naples, Italy</t>
  </si>
  <si>
    <t>Tuscia University; Consiglio Nazionale delle Ricerche (CNR); Istituto di Biochimica delle Proteine (IBP-CNR)</t>
  </si>
  <si>
    <t>Buonocore, F (corresponding author), Univ Tuscia, Dept Innovat Biol Agrofood &amp; Forest Syst, I-01100 Viterbo, Italy.</t>
  </si>
  <si>
    <t>fbuono@unitus.it</t>
  </si>
  <si>
    <t>Buonocore, Francesco/AAA-5236-2020; Picchietti, Simona/AAB-8019-2020</t>
  </si>
  <si>
    <t>PICCHIETTI, Simona/0000-0002-6116-213X; Buonocore, Francesco/0000-0001-8045-5651; scapigliati, giuseppe/0000-0001-9730-9394</t>
  </si>
  <si>
    <t>Italian Program of Antarctic Research [PROGDEF09_118]</t>
  </si>
  <si>
    <t>Italian Program of Antarctic Research</t>
  </si>
  <si>
    <t>This work was supported by the Italian Program of Antarctic Research (Project PROGDEF09_118) which allowed fish collection. Authors are indebted to Dr. Cristiano Papeschi for mouse care and immunization.</t>
  </si>
  <si>
    <t>10.1016/j.fsi.2012.09.005</t>
  </si>
  <si>
    <t>WOS:000311191700014</t>
  </si>
  <si>
    <t>Rio, MH</t>
  </si>
  <si>
    <t>Rio, M. -H.</t>
  </si>
  <si>
    <t>Use of Altimeter and Wind Data to Detect the Anomalous Loss of SVP-Type Drifter's Drogue</t>
  </si>
  <si>
    <t>JOURNAL OF ATMOSPHERIC AND OCEANIC TECHNOLOGY</t>
  </si>
  <si>
    <t>DRIVEN CURRENTS; OCEAN</t>
  </si>
  <si>
    <t>The study presented in this paper is motivated by the unexplained time dependency of the Ekman model recently computed by Rio et al. using a dataset of drogued drifting buoy velocities distributed by the Surface Drifter Data Assembly Center (SD-DAC). This suspicious behavior is found to be fully explained by the presence of undrogued buoys in the drogued drifters database (Grodsky et al.). Altimeter and wind data are used to extract the direct wind slippage from the total drifting buoy velocities over the period 1993-2010. The obtained wind slippage values are then analyzed to identify probable undrogued data among the drifting buoy velocities dataset. The proportion of probable undrogued data among the drogued buoy velocities distributed by SD-DAC is found to be 48%, with an important spatial and temporal variability. When averaged over the full 1993-2010 period, the wind slippage affecting these undrogued buoy velocities reaches up to 13 cm s(-1) in the Antarctic Circumpolar Current. A simple procedure is applied to produce an updated dataset, including a drogue presence flag as well as a wind slippage correction. The drogued drifter data from this new dataset are finally used to estimate a new, stable over time Ekman model for the global ocean by latitudinal band and by month.</t>
  </si>
  <si>
    <t>CLS, DOS, F-31520 Ramonville St Agne, France</t>
  </si>
  <si>
    <t>Rio, MH (corresponding author), CLS, DOS, 8-10 Rue Hermes,Parc Technol Canal, F-31520 Ramonville St Agne, France.</t>
  </si>
  <si>
    <t>mrio@cls.fr</t>
  </si>
  <si>
    <t>Centre National d'Etudes Spatiales (CNES, Toulouse, France)</t>
  </si>
  <si>
    <t>This study was funded by the Centre National d'Etudes Spatiales (CNES, Toulouse, France) in the framework of the KEOPS project. The altimeter products were produced by SSALTO/DUACS and distributed by Aviso with support from CNES. The drifter data are made freely available on the Atlantic Oceanographic and Meteorological Laboratory web page (http://www.aoml.noaa.gov/phod/dac/index.php). We also thank the three anonymous reviewers, whose comments helped improve the quality of the paper.</t>
  </si>
  <si>
    <t>0739-0572</t>
  </si>
  <si>
    <t>1520-0426</t>
  </si>
  <si>
    <t>J ATMOS OCEAN TECH</t>
  </si>
  <si>
    <t>J. Atmos. Ocean. Technol.</t>
  </si>
  <si>
    <t>10.1175/JTECH-D-12-00008.1</t>
  </si>
  <si>
    <t>Engineering, Ocean; Meteorology &amp; Atmospheric Sciences</t>
  </si>
  <si>
    <t>Engineering; Meteorology &amp; Atmospheric Sciences</t>
  </si>
  <si>
    <t>036WZ</t>
  </si>
  <si>
    <t>WOS:000311064300007</t>
  </si>
  <si>
    <t>Ortiz, JD; Nof, D; Polyak, L; St-Onge, G; Lisé-Pronovost, A; Naidu, S; Darby, D; Brachfeld, S</t>
  </si>
  <si>
    <t>Ortiz, Joseph D.; Nof, Doron; Polyak, Leonid; St-Onge, Guillaume; Lise-Pronovost, Agathe; Naidu, Sathy; Darby, Dennis; Brachfeld, Stefanie</t>
  </si>
  <si>
    <t>The Late Quaternary Flow through the Bering Strait Has Been Forced by the Southern Ocean Winds</t>
  </si>
  <si>
    <t>JOURNAL OF PHYSICAL OCEANOGRAPHY</t>
  </si>
  <si>
    <t>ANTARCTIC PENINSULA; SURFACE SEDIMENTS; WORLD OCEAN; CIRCULATION; CLIMATE; WATER; ICE; ISLANDS; POLLEN; MARGIN</t>
  </si>
  <si>
    <t>Because North and South America are surrounded by water, they constitute together a gigantic island whose peripheral sea level is controlled by the winds east of the island, winds along the western boundary of the island, the freshwater flux, and the meridional overturning cell. This idea has been expressed in several articles where a series of analytical models show that the Bering Strait (BS) flow is controlled by the interplay of the Southern Winds (sometimes referred to as the Subantarctic Westerlies), and the North Hemisphere freshwater flux. Here, the authors report a paleoceanographic analysis of proxies in the BS as well as the Southern Ocean, which clearly support the above through employment of a slowly varying time-dependent version of the coupled Sandal-Nof model. This study shows a very strong correlation between the Southern Ocean winds and the BS flow. A mid-Holocene weakening of the Southern Winds followed by the cession of freshwater fluxes from the melting Laurentide ice sheet strengthened the BS flow for several thousand years. Increasing the Southern Winds enhances the near surface, cross-equatorial flow from the Southern Ocean to the Northern Hemisphere. This cross-equatorial flow decreases the Arctic outflow into the Atlantic demonstrating a dynamic linkage between the Southern Ocean Winds and the mean flow through the BS.</t>
  </si>
  <si>
    <t>[Nof, Doron] Florida State Univ, Dept Earth Oceans &amp; Atmospheres, Tallahassee, FL 32306 USA; [Ortiz, Joseph D.] Kent State Univ, Dept Geol, Kent, OH 44242 USA; [Polyak, Leonid] Ohio State Univ, Byrd Polar Res Ctr, Columbus, OH 43210 USA; [St-Onge, Guillaume; Lise-Pronovost, Agathe] Inst Sci Mer Rimouski ISMER, Canada Res Chair Marine Geol, Rimouski, PQ, Canada; [St-Onge, Guillaume; Lise-Pronovost, Agathe] GEOTOP Res Ctr, Rimouski, PQ, Canada; [Naidu, Sathy] Univ Alaska Fairbanks, Inst Marine Sci, Fairbanks, AK USA; [Darby, Dennis] Old Dominion Univ, Dept Ocean Earth &amp; Atmospher Sci, Norfolk, VA USA; [Brachfeld, Stefanie] Montclair State Univ, Dept Earth &amp; Environm Studies, Montclair, NJ USA</t>
  </si>
  <si>
    <t>State University System of Florida; Florida State University; University System of Ohio; Kent State University; Kent State University Salem; Kent State University Kent; University System of Ohio; Ohio State University; University of Alaska System; University of Alaska Fairbanks; Old Dominion University; Montclair State University</t>
  </si>
  <si>
    <t>Nof, D (corresponding author), Florida State Univ, Dept Earth Oceans &amp; Atmospheres, Tallahassee, FL 32306 USA.</t>
  </si>
  <si>
    <t>nof@ocean.fsu.edu</t>
  </si>
  <si>
    <t>St-Onge, Guillaume/E-4828-2014; Darby, Dennis A./A-9219-2010; Ortiz, Joseph/E-1144-2011</t>
  </si>
  <si>
    <t>St-Onge, Guillaume/0000-0001-6958-4217; Lise-Pronovost, Agathe/0000-0002-7977-0512; Ortiz, Joseph/0000-0002-6583-3850; Brachfeld, Stefanie/0000-0003-4612-2866</t>
  </si>
  <si>
    <t>National Science Foundation's Office of Polar Programs [ARC 0902835, ARC 0453846]; Kent State University Research Council; Directorate For Geosciences; Office of Polar Programs (OPP) [0902835, 0902818] Funding Source: National Science Foundation</t>
  </si>
  <si>
    <t>National Science Foundation's Office of Polar Programs(National Science Foundation (NSF)); Kent State University Research Council; Directorate For Geosciences; Office of Polar Programs (OPP)(National Science Foundation (NSF)NSF - Directorate for Geosciences (GEO))</t>
  </si>
  <si>
    <t>We thank the Captain and Crew of the USCG Ice Breaker Healy. This study was supported by funds from the National Science Foundation's Office of Polar Programs (ARC 0902835 and ARC 0453846) and the Kent State University Research Council. The manuscript was improved by comments from A. de Vernal, A. Mix, and S. Lee. Mike Spall, the JPO editor, provided very useful comments on the initially submitted version. L. Keigwin provided access to core HLY0205-JPC 16. All calculations related to the SN model were done by Stephen Van Gorder.</t>
  </si>
  <si>
    <t>0022-3670</t>
  </si>
  <si>
    <t>1520-0485</t>
  </si>
  <si>
    <t>J PHYS OCEANOGR</t>
  </si>
  <si>
    <t>J. Phys. Oceanogr.</t>
  </si>
  <si>
    <t>10.1175/JPO-D-11-0167.1</t>
  </si>
  <si>
    <t>038KT</t>
  </si>
  <si>
    <t>WOS:000311174300016</t>
  </si>
  <si>
    <t>Jones, SM; Lovell, B; Crosby, AG</t>
  </si>
  <si>
    <t>Jones, Stephen M.; Lovell, Bryan; Crosby, Alistair G.</t>
  </si>
  <si>
    <t>Comparison of modern and geological observations of dynamic support from mantle convection</t>
  </si>
  <si>
    <t>JOURNAL OF THE GEOLOGICAL SOCIETY</t>
  </si>
  <si>
    <t>NORTH-ATLANTIC; SEA-LEVEL; GRAVITY-ANOMALIES; ELASTIC THICKNESS; THERMAL STRUCTURE; TECTONIC CONTROL; REGIONAL UPLIFT; BENEATH ICELAND; TOPOGRAPHY; EVOLUTION</t>
  </si>
  <si>
    <t>The topographies of Africa and Antarctica form patterns of interlocking swells. The relationship between topography and gravity indicates that these swells are dynamically supported by mantle convection, with swell diameters of 1850 +/- 450 km and full heights between 800 and 1800 m. The implication is that mantle convection not only supports swells surrounding hotspots but also influences topography across the entire surface areas of Africa and Antarctica. We investigate whether dynamically supported swells are also observed throughout the geological record, focusing on intensively studied Mesozoic-Cenozoic sedimentary rocks around Britain and Ireland. Vertical motions of Britain and Ireland, a typical piece of continental lithosphere far from a destructive plate boundary, have been demonstrably affected by dynamic support for over half of the past 200 Ma period. The diameters and maximum heights of the Mesozoic British swells and the modern African and Antarctic swells are similar. The ancient British swells grew in 5-10 Ma and decayed over 20-30 Ma, suggesting vertical motion rates comparable with those estimated from geomorphological studies of Africa. Igneous production rate and swell height are not correlated in the modern and the geological records. Mantle convection should be considered as a common control on regional sea level.</t>
  </si>
  <si>
    <t>[Jones, Stephen M.] Univ Birmingham, Sch Geog Earth &amp; Environm Sci, Birmingham B15 2TT, W Midlands, England; [Lovell, Bryan] Univ Cambridge, Dept Earth Sci, Bullard Labs, Cambridge CB3 0EZ, England; [Crosby, Alistair G.] BP Explorat Co Ltd, Sunbury On Thames TW16 7LN, Middx, England</t>
  </si>
  <si>
    <t>University of Birmingham; University of Cambridge; BP</t>
  </si>
  <si>
    <t>Jones, SM (corresponding author), Univ Birmingham, Sch Geog Earth &amp; Environm Sci, Birmingham B15 2TT, W Midlands, England.</t>
  </si>
  <si>
    <t>S.Jones.4@bham.ac.uk</t>
  </si>
  <si>
    <t>Jones, Stephen/O-5276-2017</t>
  </si>
  <si>
    <t>Jones, Stephen/0000-0002-8480-3518</t>
  </si>
  <si>
    <t>NERC</t>
  </si>
  <si>
    <t>NERC(UK Research &amp; Innovation (UKRI)Natural Environment Research Council (NERC))</t>
  </si>
  <si>
    <t>We thank D. Chew, G. Roberts, E. Rogers and N. White, as well as two anonymous reviewers, for helpful comments. Some of the work on the Jurassic-Cretaceous and Palaeocene-Eocene swells was carried out when S.M.J. was a research student at Bullard laboratories, Cambridge, UK, funded by NERC; stratigraphic data for this phase were generously provided by J. Perry (BP) and A. Ring (Marathon).</t>
  </si>
  <si>
    <t>GEOLOGICAL SOC PUBL HOUSE</t>
  </si>
  <si>
    <t>BATH</t>
  </si>
  <si>
    <t>UNIT 7, BRASSMILL ENTERPRISE CENTRE, BRASSMILL LANE, BATH BA1 3JN, AVON, ENGLAND</t>
  </si>
  <si>
    <t>0016-7649</t>
  </si>
  <si>
    <t>2041-479X</t>
  </si>
  <si>
    <t>J GEOL SOC LONDON</t>
  </si>
  <si>
    <t>J. Geol. Soc.</t>
  </si>
  <si>
    <t>10.1144/jgs2011-118</t>
  </si>
  <si>
    <t>030PU</t>
  </si>
  <si>
    <t>WOS:000310583400011</t>
  </si>
  <si>
    <t>Kelly, MA; Lowell, TV; Applegate, PJ; Smith, CA; Phillips, FM; Hudson, AM</t>
  </si>
  <si>
    <t>Kelly, Meredith A.; Lowell, Thomas V.; Applegate, Patrick J.; Smith, Colby A.; Phillips, Fred M.; Hudson, Adam M.</t>
  </si>
  <si>
    <t>Late glacial fluctuations of Quelccaya Ice Cap, southeastern Peru</t>
  </si>
  <si>
    <t>GEOLOGY</t>
  </si>
  <si>
    <t>YOUNGER DRYAS; CLIMATE; EXTENT; AGE</t>
  </si>
  <si>
    <t>The last glacial-interglacial transition (ca. 18-11 ka) was interrupted by abrupt climate events that differed in each hemisphere. During the Antarctic Cold Reversal (ca. 14.5-12.9 ka), the Southern Hemisphere high and mid latitudes cooled, while the Northern Hemisphere warmed. The pattern of change then reversed during the Younger Dryas (ca. 12.9-11.7 ka), which was characterized by cold conditions in much of the Northern Hemisphere. Well-dated paleoclimate records serve to reveal the possible mechanisms for these events. Here we present a reconstruction of the late glacial fluctuations of Quelccaya Ice Cap, located in the southern tropics, based on 38 new radiocarbon ages. Quelccaya was retreating from its Last Glacial Maximum (ca. 21 ka) extent by ca. 17.2 ka, and was located upvalley from its late glacial moraines by 13.6-12.8 ka. Quelccaya experienced a significant readvance that culminated at 12.5-12.4 ka, and then receded several kilometers to near, or within, its late Holocene extent by ca. 11.6 ka. This record provides the most detailed evidence yet of glacier fluctuations in the southern tropics during late glacial time.</t>
  </si>
  <si>
    <t>[Kelly, Meredith A.] Dartmouth Coll, Dept Earth Sci, Hanover, NH 03755 USA; [Lowell, Thomas V.; Smith, Colby A.] Univ Cincinnati, Dept Geol, Cincinnati, OH 45221 USA; [Applegate, Patrick J.] Penn State Univ, Dept Geosci, University Pk, PA 16802 USA; [Applegate, Patrick J.] Stockholm Univ, Dept Phys Geog &amp; Quaternary Geol, S-10691 Stockholm, Sweden; [Phillips, Fred M.] New Mexico Inst Min &amp; Technol, Dept Earth &amp; Environm Sci, Socorro, NM 87801 USA; [Hudson, Adam M.] Univ Arizona, Dept Geosci, Tucson, AZ 85721 USA</t>
  </si>
  <si>
    <t>Dartmouth College; University System of Ohio; University of Cincinnati; Pennsylvania Commonwealth System of Higher Education (PCSHE); Pennsylvania State University; Pennsylvania State University - University Park; Stockholm University; New Mexico Institute of Mining Technology; University of Arizona</t>
  </si>
  <si>
    <t>Kelly, MA (corresponding author), Dartmouth Coll, Dept Earth Sci, Hanover, NH 03755 USA.</t>
  </si>
  <si>
    <t>Hudson, Adam/0000-0002-3387-9838; Lowell, Thomas/0000-0001-7826-0636; Kelly, Meredith/0000-0001-8163-3907</t>
  </si>
  <si>
    <t>CRONUS-Earth (Cosmic-Ray Produced Nuclide Systematics on Earth Project); Comer Science and Education Foundation; Lamont Climate Center; Division Of Earth Sciences; Directorate For Geosciences [1003072] Funding Source: National Science Foundation</t>
  </si>
  <si>
    <t>CRONUS-Earth (Cosmic-Ray Produced Nuclide Systematics on Earth Project); Comer Science and Education Foundation; Lamont Climate Center; Division Of Earth Sciences; Directorate For Geosciences(National Science Foundation (NSF)NSF - Directorate for Geosciences (GEO))</t>
  </si>
  <si>
    <t>This research was supported by CRONUS-Earth (Cosmic-Ray Produced Nuclide Systematics on Earth Project), the Comer Science and Education Foundation, and the Lamont Climate Center. Field assistance from Y. and E. Chemin, K. Leonard, D. Sanz, R. Schwartz, and the Crispin family made the study possible.</t>
  </si>
  <si>
    <t>GEOLOGICAL SOC AMER, INC</t>
  </si>
  <si>
    <t>PO BOX 9140, BOULDER, CO 80301-9140 USA</t>
  </si>
  <si>
    <t>0091-7613</t>
  </si>
  <si>
    <t>1943-2682</t>
  </si>
  <si>
    <t>10.1130/G33430.1</t>
  </si>
  <si>
    <t>028GO</t>
  </si>
  <si>
    <t>WOS:000310411000008</t>
  </si>
  <si>
    <t>Fondi, M; Orlandini, V; Maida, I; Perrin, E; Papaleo, MC; Emiliani, G; De Pascale, D; Parrilli, E; Tutino, ML; Michaud, L; Lo Giudice, A; Fani, R</t>
  </si>
  <si>
    <t>Fondi, Marco; Orlandini, Valerio; Maida, Isabel; Perrin, Elena; Papaleo, Maria Cristiana; Emiliani, Giovanni; De Pascale, Donatella; Parrilli, Ermenegilda; Tutino, Maria Luisa; Michaud, Luigi; Lo Giudice, Angelina; Fani, Renato</t>
  </si>
  <si>
    <t>Draft Genome Sequence of the Volatile Organic Compound-Producing Antarctic Bacterium Arthrobacter sp Strain TB23, Able To Inhibit Cystic Fibrosis Pathogens Belonging to the Burkholderia cepacia Complex</t>
  </si>
  <si>
    <t>JOURNAL OF BACTERIOLOGY</t>
  </si>
  <si>
    <t>CENOCEPACIA</t>
  </si>
  <si>
    <t>Arthrobacter sp. strain TB23 was isolated from the Antarctic sponge Lissodendoryx nobilis. This bacterium is able to produce antimicrobial compounds and volatile organic compounds (VOCs) that inhibit the growth of other Antarctic bacteria and of cystic fibrosis opportunistic pathogens, respectively. Here we report the draft genome sequence of Arthrobacter sp. TB23.</t>
  </si>
  <si>
    <t>[Fondi, Marco; Orlandini, Valerio; Maida, Isabel; Perrin, Elena; Papaleo, Maria Cristiana; Emiliani, Giovanni; Fani, Renato] Univ Florence, Lab Microbial &amp; Mol Evolut, Dept Evolutionary Biol, Florence, Italy; [Emiliani, Giovanni] CNR, Trees &amp; Timber Inst, Florence, Italy; [De Pascale, Donatella] CNR, Inst Prot Biochem, Naples, Italy; [Parrilli, Ermenegilda; Tutino, Maria Luisa] Univ Naples Federico II, Dept Chem Sci, Naples, Italy; [Parrilli, Ermenegilda; Tutino, Maria Luisa] Univ Naples Federico II, Sch Biotechnol Sci, Naples, Italy; [Michaud, Luigi; Lo Giudice, Angelina] Univ Messina, Dept Anim Biol &amp; Marine Ecol, Messina, Italy; [Fondi, Marco] Univ Cambridge, Comp Lab, Cambridge CB2 3QG, England</t>
  </si>
  <si>
    <t>University of Florence; Consiglio Nazionale delle Ricerche (CNR); Istituto per la Valorizzazione del Legno e delle Specie Arboree (IVALSA-CNR); Consiglio Nazionale delle Ricerche (CNR); Istituto di Biochimica delle Proteine (IBP-CNR); University of Naples Federico II; University of Naples Federico II; University of Messina; University of Cambridge</t>
  </si>
  <si>
    <t>Fani, R (corresponding author), Univ Florence, Lab Microbial &amp; Mol Evolut, Dept Evolutionary Biol, Florence, Italy.</t>
  </si>
  <si>
    <t>renato.fani@unifi.it</t>
  </si>
  <si>
    <t>Perrin, Elena/AAX-2762-2020; TUTINO, MARIA LUISA/L-1834-2013; parrilli, ermenegilda/K-4616-2016; parrilli, ermenegilda/JAZ-0586-2023; Emiliani, Giovanni/G-5023-2016</t>
  </si>
  <si>
    <t>Perrin, Elena/0000-0001-5148-3178; parrilli, ermenegilda/0000-0002-9002-5409; Orlandini, Valerio/0000-0002-6857-5471; Tutino, Maria Luisa/0000-0002-4978-6839; Fondi, Marco/0000-0001-9291-5467; Emiliani, Giovanni/0000-0002-1264-8002</t>
  </si>
  <si>
    <t>Italian Cystic Fibrosis Research Foundation (FFC project 12) [2011]; Ente Cassa di Risparmio [2008.1103]; FEMS Advanced Fellowship [FAF2012]</t>
  </si>
  <si>
    <t>Italian Cystic Fibrosis Research Foundation (FFC project 12); Ente Cassa di Risparmio; FEMS Advanced Fellowship</t>
  </si>
  <si>
    <t>This work was supported by the Italian Cystic Fibrosis Research Foundation (FFC project 12 number 2011) and Ente Cassa di Risparmio (grant 2008.1103). Marco Fondi is financially supported by a FEMS Advanced Fellowship (FAF2012).</t>
  </si>
  <si>
    <t>AMER SOC MICROBIOLOGY</t>
  </si>
  <si>
    <t>1752 N ST NW, WASHINGTON, DC 20036-2904 USA</t>
  </si>
  <si>
    <t>0021-9193</t>
  </si>
  <si>
    <t>1098-5530</t>
  </si>
  <si>
    <t>J BACTERIOL</t>
  </si>
  <si>
    <t>J. Bacteriol.</t>
  </si>
  <si>
    <t>10.1128/JB.01432-12</t>
  </si>
  <si>
    <t>030SB</t>
  </si>
  <si>
    <t>Bronze, Green Published</t>
  </si>
  <si>
    <t>WOS:000310589300054</t>
  </si>
  <si>
    <t>Llabrés, M; Dachs, J; Agustí, S</t>
  </si>
  <si>
    <t>Llabres, Moira; Dachs, Jordi; Agusti, Susana</t>
  </si>
  <si>
    <t>Transference of Atmospheric Hydroxyl Radical to the Ocean Surface Induces High Phytoplankton Cell Death</t>
  </si>
  <si>
    <t>PHOTOCHEMISTRY AND PHOTOBIOLOGY</t>
  </si>
  <si>
    <t>SUBTROPICAL NE ATLANTIC; PICO-PHYTOPLANKTON; OH; WATER; SEA; VIABILITY; RADIATION; IMPACT</t>
  </si>
  <si>
    <t>Hydroxyl radical (OH), the main atmospheric oxidant at the global scale, is believed to play an important role in the dynamics of dissolved organic matter in the sea. Herein, we provide evidence, on the basis of seven experiments performed in contrasting ecosystems (subtropical NE Atlantic and Antarctic waters), of high fluxes of atmospheric OH into the surface oceanic layer, particularly during afternoon events. The experiments demonstrated a tight negative relationship between phytoplankton abundance and the concentration of OH in surface seawater, with acute cell death during afternoon atmospheric OH influx events. The effect of OH radical was higher for picophytoplankton organisms, with Prochlorococcus showing the highest decay rate and the shortest half-life among the phytoplankton populations habiting the ocean surface layers. Our results provide evidence for a high toxicity of atmospheric-derived OH radical to phytoplankton of the surface layer of the ocean.</t>
  </si>
  <si>
    <t>[Llabres, Moira; Agusti, Susana] Inst Mediterraneo Estudios Avanzados CSIC UIB, Dept Global Change Res, IMEDEA, Mallorca, Spain; [Dachs, Jordi] Dept Environm Chem IDAEA CSIC, Barcelona, Catalunya, Spain; [Agusti, Susana] Univ Western Australia, UWA Oceans Inst, Crawley, Australia; [Agusti, Susana] Univ Western Australia, Sch Plant Biol, Crawley, Australia</t>
  </si>
  <si>
    <t>Consejo Superior de Investigaciones Cientificas (CSIC); ATTITUS Educacao; Consejo Superior de Investigaciones Cientificas (CSIC); CSIC - Centro de Investigacion y Desarrollo Pascual Vila (CID-CSIC); CSIC - Instituto de Diagnostico Ambiental y Estudios del Agua (IDAEA); University of Western Australia; University of Western Australia</t>
  </si>
  <si>
    <t>Llabrés, M (corresponding author), Inst Mediterraneo Estudios Avanzados CSIC UIB, Dept Global Change Res, IMEDEA, Mallorca, Spain.</t>
  </si>
  <si>
    <t>moira@imedea.uib-csic.es</t>
  </si>
  <si>
    <t>Agusti, Susana/G-2864-2017</t>
  </si>
  <si>
    <t>Agusti, Susana/0000-0003-0536-7293; Dachs, Jordi/0000-0002-4237-169X</t>
  </si>
  <si>
    <t>Spanish Ministry of Science and Technology [REN 2000-1474-CO2, REN-2002-10606E/MAR]; Spanish Ministry of Education and Science [REN2002-04165-C03-02/ANT, CGL2004-20013-E]; EC project THRESHOLDS; [REN2001-5060-E/MAR]; [REN2002-10871-E/ANT]</t>
  </si>
  <si>
    <t>Spanish Ministry of Science and Technology(Spanish Government); Spanish Ministry of Education and Science(Spanish Government); EC project THRESHOLDS; ;</t>
  </si>
  <si>
    <t>This is a contribution to the project COCA (REN 2000-1474-CO2), funded by the Spanish Ministry of Science and Technology to S. Agusti, BADE (grant REN-2002-10606E/MAR funded by the Spanish Ministry of Education and Science to S. Agusti, ICEPOS (REN2002-04165-C03-02/ANT) funded by the Spanish Ministry of Education and Science, and DEPANT (CGL2004-20013-E) funded by the Spanish Ministry of Education and Science to J. Dachs. M. Llabres was supported by project REN2001-5060-E/MAR, the special action REN2002-10871-E/ANT and by the EC project THRESHOLDS. We thank the BIO Hesperides crew and technical UTM personnel for professional assistance during the COCA-2 and ICEPOS-2005 cruises. We are also grateful to G. J. Herndl for support and the technical personnel and crew of the R/Vs Pelagia for their professional assistance during the BADE-2 cruise.</t>
  </si>
  <si>
    <t>0031-8655</t>
  </si>
  <si>
    <t>1751-1097</t>
  </si>
  <si>
    <t>PHOTOCHEM PHOTOBIOL</t>
  </si>
  <si>
    <t>Photochem. Photobiol.</t>
  </si>
  <si>
    <t>10.1111/j.1751-1097.2012.01184.x</t>
  </si>
  <si>
    <t>Biochemistry &amp; Molecular Biology; Biophysics</t>
  </si>
  <si>
    <t>030IB</t>
  </si>
  <si>
    <t>WOS:000310563300019</t>
  </si>
  <si>
    <t>Welcker, J; Beiersdorf, A; Varpe, O; Steen, H</t>
  </si>
  <si>
    <t>Welcker, Jorg; Beiersdorf, Anika; Varpe, Oystein; Steen, Harald</t>
  </si>
  <si>
    <t>Mass Fluctuations Suggest Different Functions of Bimodal Foraging Trips in a Central-place Forager</t>
  </si>
  <si>
    <t>BEHAVIORAL ECOLOGY</t>
  </si>
  <si>
    <t>Alle alle; bimodal foraging; body mass; foraging success; foraging trip duration; resource geometry</t>
  </si>
  <si>
    <t>ALLE-ALLE; ENERGY-EXPENDITURE; ANTARCTIC PETREL; PARENTAL CARE; SEABIRD; CHICK; FOOD; LONG; STRATEGIES; RESOURCE</t>
  </si>
  <si>
    <t>The function of a foraging trip (self-feeding or provisioning) and the spatial distribution of food resources play an essential role in foraging decisions of central-place foragers. Theory predicts that if foraging patches optimal for self-feeding and provisioning are spatially separated, a bimodal foraging strategy should often be favored. A bimodal foraging strategy involves the alternation of short feeding trips (ST) to collect food for offspring with long trips (LT) for self-feeding, as previously described in some procellariiform seabirds. Using an automated passage recording and weighing system, we tested whether the bimodal trip pattern observed in little auks (Alle alle), a small Arctic alcid, reflects a corresponding functional difference of bimodal foraging trips. We found that the body mass trajectory of little auks was closely related to their bimodal trip pattern. Little auks weighed significantly more returning from a LT and lost an equivalent amount of mass during subsequent ST. The decision to start a LT was not directly related to body mass but seemed to depend on the individual strategy of a bird. During LT, birds likely utilized distant foraging areas suitable for self-feeding while relying on near-shore areas during ST. These results support predictions of recent foraging models and indicate that the function of long and short trips of little auks is similar to procellariiforms independent of large differences in the temporal and spatial scale of feeding trips among these taxa. We suggest that bimodal foraging might be more widespread among central-place foragers than previously thought.</t>
  </si>
  <si>
    <t>[Welcker, Jorg; Beiersdorf, Anika; Varpe, Oystein; Steen, Harald] Norwegian Polar Res Inst, Fram Ctr, N-9296 Tromso, Norway; [Beiersdorf, Anika; Varpe, Oystein] Univ Ctr Svalbard UNIS, N-9171 Longyearbyen, Norway</t>
  </si>
  <si>
    <t>Norwegian Polar Institute; University Centre Svalbard (UNIS)</t>
  </si>
  <si>
    <t>Welcker, J (corresponding author), Norwegian Polar Res Inst, Fram Ctr, N-9296 Tromso, Norway.</t>
  </si>
  <si>
    <t>jorg.welcker@npolar.no</t>
  </si>
  <si>
    <t>Varpe, Øystein/B-9693-2008</t>
  </si>
  <si>
    <t>Varpe, Øystein/0000-0002-5895-6983</t>
  </si>
  <si>
    <t>Norwegian seabird monitoring project SEAPOP; Norwegian Polar Institute; University Centre in Svalbard (UNIS)</t>
  </si>
  <si>
    <t>This work was supported by Norwegian seabird monitoring project SEAPOP, the Norwegian Polar Institute and the University Centre in Svalbard (UNIS).</t>
  </si>
  <si>
    <t>OXFORD UNIV PRESS INC</t>
  </si>
  <si>
    <t>CARY</t>
  </si>
  <si>
    <t>JOURNALS DEPT, 2001 EVANS RD, CARY, NC 27513 USA</t>
  </si>
  <si>
    <t>1045-2249</t>
  </si>
  <si>
    <t>1465-7279</t>
  </si>
  <si>
    <t>BEHAV ECOL</t>
  </si>
  <si>
    <t>Behav. Ecol.</t>
  </si>
  <si>
    <t>10.1093/beheco/ars131</t>
  </si>
  <si>
    <t>Behavioral Sciences; Biology; Ecology; Zoology</t>
  </si>
  <si>
    <t>Behavioral Sciences; Life Sciences &amp; Biomedicine - Other Topics; Environmental Sciences &amp; Ecology; Zoology</t>
  </si>
  <si>
    <t>025AC</t>
  </si>
  <si>
    <t>WOS:000310153500029</t>
  </si>
  <si>
    <t>Sijp, WP</t>
  </si>
  <si>
    <t>Sijp, Willem P.</t>
  </si>
  <si>
    <t>Characterising meridional overturning bistability using a minimal set of state variables</t>
  </si>
  <si>
    <t>CLIMATE DYNAMICS</t>
  </si>
  <si>
    <t>AMOC; Atlantic; Atlantic meridional overturning circulation; Bistability; Non-linear system; Climate change; NADW formation; NADW shutdown; Gulf stream shutdown; North Atlantic deep water; Deep sinking; Convection shutdown; Poleward heat transport; Halocline catastrophe; Box model; Two stable states; Critical points; Non-linear theory; Saddle nodes; Limit point</t>
  </si>
  <si>
    <t>ATLANTIC THERMOHALINE CIRCULATION; MULTIPLE EQUILIBRIA REGIME; FLUX-CORRECTED TRANSPORT; GLOBAL OCEAN MODEL; CLIMATE MODEL; WORLD OCEAN; DEEP; TEMPERATURE; STABILITY; FEEDBACK</t>
  </si>
  <si>
    <t>A close approximation of key state variables and salt fluxes for both the North Atlantic Deep Water (NADW) on and off states in a General Circulation Model (GCM) is constructed, yielding a natural stability condition. Here, stability is linked to the effect of feedbacks on infinitesimal salinity anomalies on the average Atlantic salinity. The stability condition simply states that the total advective salt feedback must be negative in each steady state, ensuring stability by damping the growth of infinitesimal salinity perturbations. However, a decomposition of the salt feedback into three components shows that only the interaction between the mean salinity and infinitesimal perturbations of the meridional flow have the potential to render a state unstable, holding the key to state transitions. In contrast, the interaction between the mean meridional flow and infinitesimal salinity perturbations yields a negative (stabilising) component feedback. Similarly, the gyre salt flux also stabilises the overturning states. Furthermore, the nodes limiting the on and off state regimes in the GCM can be accurately computed based on linear fits of basic state variables and the gyre salt flux. It is shown that the NADW on state closest to collapse must be contained within a neighbourhood of fresh water exporting states. Finally, the role of temperature in the bistability structure is elucidated.</t>
  </si>
  <si>
    <t>Univ New S Wales, CCRC, Sydney, NSW 2052, Australia</t>
  </si>
  <si>
    <t>University of New South Wales Sydney</t>
  </si>
  <si>
    <t>Sijp, WP (corresponding author), Univ New S Wales, CCRC, Sydney, NSW 2052, Australia.</t>
  </si>
  <si>
    <t>w.sijp@unsw.edu.au</t>
  </si>
  <si>
    <t>Sijp, Willem P/E-5988-2012</t>
  </si>
  <si>
    <t>Sijp, Willem/0000-0002-5971-3860</t>
  </si>
  <si>
    <t>Australian Research Council; Australian Antarctic Science Program; Australian Commonwealth Government</t>
  </si>
  <si>
    <t>Australian Research Council(Australian Research Council); Australian Antarctic Science Program; Australian Commonwealth Government(Australian Government)</t>
  </si>
  <si>
    <t>We thank the University of Victoria staff for support in usage of the their coupled climate model. This research was supported by the Australian Research Council and the Australian Antarctic Science Program. This research was undertaken on the NCI National Facility in Canberra, Australia, which is supported by the Australian Commonwealth Government. We thank Jonathan M. Gregory for hosting several visits to the University of Reading, UK, and many stimulating discussions.</t>
  </si>
  <si>
    <t>0930-7575</t>
  </si>
  <si>
    <t>1432-0894</t>
  </si>
  <si>
    <t>CLIM DYNAM</t>
  </si>
  <si>
    <t>Clim. Dyn.</t>
  </si>
  <si>
    <t>9-10</t>
  </si>
  <si>
    <t>10.1007/s00382-011-1249-0</t>
  </si>
  <si>
    <t>025VQ</t>
  </si>
  <si>
    <t>WOS:000310224400003</t>
  </si>
  <si>
    <t>Karanovic, I; Lee, W</t>
  </si>
  <si>
    <t>Karanovic, I.; Lee, W.</t>
  </si>
  <si>
    <t>TWO NEW CANDONID SPECIES FROM SOUTH KOREA (OSTRACODA, PODOCOPIDA)</t>
  </si>
  <si>
    <t>CRUSTACEANA</t>
  </si>
  <si>
    <t>Cypria; Cryptocandona; East Asia; taxonomy; new species</t>
  </si>
  <si>
    <t>CRUSTACEA; REDESCRIPTION; KAUFMANN; ISLANDS</t>
  </si>
  <si>
    <t>Candonidae from South Korea are poorly studied, and only nine species have been recorded so far. Here we describe Cypria asiatica sp. nov. and Cryptocandona smithi sp. nov. The first species is the third representative of the genus reported from Korea and it belongs to a group of species of Cypria Zenker, 1854 with reduced swimming setae on the second antenna and without the marginal tubercles on the shell. The group comprises nine species distributed in the Holarctic. Cypria asiatica stands apart from eight other congeneric species by the presence of septa-like structures on the postero-dorsal end of the left valve. Based on the present observations and some previous studies of the subfamily Cyclocypridinae, we here draw attention to the chaetotaxy of the mandibular palp and the chaetotaxy of the fifth limb. The latter shows close similarity between Cyclocypridinae and Paracypridinae and urges further study of homology of setae on this leg between three candonid subfamilies. Cryptocandona smithi is the 14th known Recent species of its genus and the third reported from Korea. It is similar to C. tsukagoshii Smith, 2011 from Japan and C. pygmaea (Ekman, 1908) from Sweden. They all share a peculiar chaetotaxy of the seventh limb and an unusually long posterior seta on the uropodal ramus. The new species can be distinguished from the Swedish species by the morphology of the genital field, and from the Japanese by the shape of the carapace, the length of the f-seta on the seventh limb, and other details of the soft parts. We here report some abnormalities in the morphology of the antennule found in one specimen, and compare this with similar abnormalities reported for C. tsukagoshii and C. brehmi (Klie, 1934), and postulate that this may be a result of the regenerative process of the antennule after damage during development.</t>
  </si>
  <si>
    <t>[Karanovic, I.; Lee, W.] Hanyang Univ, Coll Nat Sci, Dept Life Sci, Seoul 133791, South Korea; [Karanovic, I.] Univ Tasmania, Inst Marine &amp; Antarctic Studies, Hobart, Tas 7001, Australia</t>
  </si>
  <si>
    <t>Hanyang University; University of Tasmania</t>
  </si>
  <si>
    <t>Karanovic, I (corresponding author), Hanyang Univ, Coll Nat Sci, Dept Life Sci, Seoul 133791, South Korea.</t>
  </si>
  <si>
    <t>ivana.karanovic@utas.edu.au; wlee@hanyang.ac.kr</t>
  </si>
  <si>
    <t>Lee, Wonchoel/L-9822-2018</t>
  </si>
  <si>
    <t>Lee, Wonchoel/0000-0002-9873-1033</t>
  </si>
  <si>
    <t>NIBR (National Institute of Biological Resources)</t>
  </si>
  <si>
    <t>We would like to thank Yong-Gun Choi and Won-Rok Kim (National Institute of Biodiversity Research, South Korea) for collecting the material. We are also grateful to Dr Tadeusz Namiotko (University of Gdansk) for kindly sending us information on the morphology of the fifth leg in some species of Cryptocandona, and to Dr Eugen K. Kempf (Koln University) for providing us with some references. This work was supported by the project, Discovery of Indigenous Species in Korea, NIBR (National Institute of Biological Resources).</t>
  </si>
  <si>
    <t>BRILL ACADEMIC PUBLISHERS</t>
  </si>
  <si>
    <t>LEIDEN</t>
  </si>
  <si>
    <t>PLANTIJNSTRAAT 2, P O BOX 9000, 2300 PA LEIDEN, NETHERLANDS</t>
  </si>
  <si>
    <t>0011-216X</t>
  </si>
  <si>
    <t>1568-5403</t>
  </si>
  <si>
    <t>Crustaceana</t>
  </si>
  <si>
    <t>12-13</t>
  </si>
  <si>
    <t>10.1163/15685403-00003135</t>
  </si>
  <si>
    <t>Marine &amp; Freshwater Biology</t>
  </si>
  <si>
    <t>024FC</t>
  </si>
  <si>
    <t>WOS:000310094000016</t>
  </si>
  <si>
    <t>Jungblut, AD; Wood, SA; Hawes, I; Webster-Brown, J; Harris, C</t>
  </si>
  <si>
    <t>Jungblut, Anne D.; Wood, Susanna A.; Hawes, Ian; Webster-Brown, Jenny; Harris, Colin</t>
  </si>
  <si>
    <t>The Pyramid Trough Wetland: environmental and biological diversity in a newly created Antarctic protected area</t>
  </si>
  <si>
    <t>FEMS MICROBIOLOGY ECOLOGY</t>
  </si>
  <si>
    <t>cyanobacteria; 16S rRNA gene; microbial mat; wetland; Antarctica</t>
  </si>
  <si>
    <t>MCMURDO ICE SHELF; DRY VALLEYS; MELTWATER PONDS; CYANOBACTERIAL DIVERSITY; MICROBIAL BIOMASS; MAT COMMUNITIES; INLAND WATERS; TAYLOR VALLEY; VICTORIA LAND; ROSS-ISLAND</t>
  </si>
  <si>
    <t>The Pyramid Trough (Lat 78 degrees S) has recently gained protection under the Antarctic Treaty system, owing to its wetland values. Here, we describe the microbial diversity of this system, with emphasis on cyanobacteria, and evaluate environmentbiota relationships. Geochemistry separates ponds along hydrological gradients receiving recent inflows of dilute meltwater, from a second group that is rarely inundated and where chemistry is dominated by evaporation. Cyanobacteria-based microbial mats dominated the biota throughout. Mats were characterized by light-microscopy, pigment analysis, automated ribosomal intergenic spacer analysis and 16S rRNA gene clone libraries. A total of 17 morphotypes and 21 ribotypes were identified, mostly Oscillatoriales and several taxa that are usually rare in continental Antarctica, including Chroococcales and scytomin-rich Calothrix/Dichothrix, were abundant. There was a general decline in cyanobacterial diversity with increasing conductivity, but weak support for either differences in community composition between the two groups of ponds or sorting of taxa along the hydrological gradients with the pond groups. This implies a broad environmental tolerance and a prevalence of neutral assembly mechanisms in cyanobacterial communities of Antarctic wetland ecosystems.</t>
  </si>
  <si>
    <t>[Jungblut, Anne D.] Nat Hist Museum, Dept Bot, London SW7 5BD, England; [Wood, Susanna A.] Cawthron Inst, Nelson, New Zealand; [Wood, Susanna A.] Univ Waikato, Sch Biol Sci, Hamilton, New Zealand; [Hawes, Ian] Univ Canterbury, Waterways Ctr Freshwater Management &amp; Gateway Ant, Christchurch 1, New Zealand; [Webster-Brown, Jenny] Univ Canterbury &amp; Lincoln, Waterways Ctr Freshwater Management, Christchurch, New Zealand; [Harris, Colin] Environm Res &amp; Assessment, Cambridge, England</t>
  </si>
  <si>
    <t>Natural History Museum London; Cawthron Institute; University of Waikato</t>
  </si>
  <si>
    <t>Jungblut, AD (corresponding author), Nat Hist Museum, Dept Bot, Cromwell Rd, London SW7 5BD, England.</t>
  </si>
  <si>
    <t>a.jungblut@nhm.ac.uk</t>
  </si>
  <si>
    <t>Webster-Brown, Jenny/0000-0001-9665-871X; Hawes, Ian/0000-0003-2471-6903</t>
  </si>
  <si>
    <t>New Zealand Ministry of Science and Innovation [C01X-0306]</t>
  </si>
  <si>
    <t>New Zealand Ministry of Science and Innovation</t>
  </si>
  <si>
    <t>The authors would like to acknowledge logistic support of Antarctica New Zealand and the US Antarctic Programme, the financial support from New Zealand Ministry of Science and Innovation through grant C01X-0306 to the National Institute of Water and Atmospheric Research, support from all of our home institutions and two anonymous reviewers for insightful comments and suggestions.</t>
  </si>
  <si>
    <t>OXFORD UNIV PRESS</t>
  </si>
  <si>
    <t>GREAT CLARENDON ST, OXFORD OX2 6DP, ENGLAND</t>
  </si>
  <si>
    <t>0168-6496</t>
  </si>
  <si>
    <t>1574-6941</t>
  </si>
  <si>
    <t>FEMS MICROBIOL ECOL</t>
  </si>
  <si>
    <t>FEMS Microbiol. Ecol.</t>
  </si>
  <si>
    <t>10.1111/j.1574-6941.2012.01380.x</t>
  </si>
  <si>
    <t>026GF</t>
  </si>
  <si>
    <t>WOS:000310261900012</t>
  </si>
  <si>
    <t>Thurman, J; Parry, J; Hill, PJ; Priscu, JC; Vick, TJ; Chiuchiolo, A; Laybourn-Parry, J</t>
  </si>
  <si>
    <t>Thurman, Jill; Parry, Jacqueline; Hill, Philip J.; Priscu, John C.; Vick, Trista J.; Chiuchiolo, Amy; Laybourn-Parry, Johanna</t>
  </si>
  <si>
    <t>Microbial dynamics and flagellate grazing during transition to winter in Lakes Hoare and Bonney, Antarctica</t>
  </si>
  <si>
    <t>Antarctic lakes; nanoflagellates; mixotrophy; ciliates; grazing impact</t>
  </si>
  <si>
    <t>DRY VALLEY LAKES; MIXOTROPHIC CRYPTOPHYTES; PHYTOPLANKTON DYNAMICS; PLANKTON; BIOMASS; ZOOPLANKTON; BACTERIA</t>
  </si>
  <si>
    <t>The planktonic microbial communities of Lakes Hoare and Bonney were investigated during transition into winter. We hypothesized that the onset of darkness induces changes in the functional role of autotrophic and heterotrophic microplankton. Bacteria decreased in Lake Hoare during MarchApril, while in Lake Bonney bacterial abundances varied. Heterotrophic nanoflagellates (HNAN), phototrophic nanoflagellates (PNAN) and ciliates showed no marked decline with the onset of winter. PNAN outnumbered HNAN in both lakes. Grazing rates of HNAN in Lake Hoare ranged up to 30.8bacteriapercellday-1. The HNAN community grazed between 3.74 and 36.6ng of bacterialcarbonday-1. Mixotrophic PNAN had grazing rates up to 15.2bacteriapercellday-1, and their daily community grazing exceeded bacterial production. In Lake Bonney East, PNAN grazing rates ranged up to 12.48bacteriapercellday-1 and in Lake Bonney West up to 8.16bacteriapercellday-1. As in Lake Hoare, the mixotrophic PNAN grazing rates (up to 950ngCday-1) usually exceeded bacterial production. HNAN grazing rates were generally similar to those in Lake Hoare. As winter encroaches, these lakes move progressively towards heterotrophy and probably function during the winter, enabling populations to enter the short austral summer with actively growing populations.</t>
  </si>
  <si>
    <t>[Laybourn-Parry, Johanna] Univ Bristol, Bristol Glaciol Ctr, Sch Geog Sci, Bristol BS8 1SS, Avon, England; [Thurman, Jill; Parry, Jacqueline] Univ Lancaster, Div Biomed &amp; Life Sci, Sch Hlth &amp; Med, Lancaster, England; [Hill, Philip J.] Univ Nottingham, Sch Biosci, Loughborough, England; [Priscu, John C.; Vick, Trista J.; Chiuchiolo, Amy] Montana State Univ, Dept Land Resources &amp; Environm Sci, Bozeman, MT 59717 USA</t>
  </si>
  <si>
    <t>University of Bristol; Lancaster University; University of Nottingham; Montana State University System; Montana State University Bozeman</t>
  </si>
  <si>
    <t>Parry, J (corresponding author), Univ Bristol, Bristol Glaciol Ctr, Sch Geog Sci, Bristol BS8 1SS, Avon, England.</t>
  </si>
  <si>
    <t>Jo.Laybourn-Parry@bristol.ac.uk</t>
  </si>
  <si>
    <t>Vick-Majors, Trista/AAQ-6258-2020; hill, phil/AAQ-1081-2020</t>
  </si>
  <si>
    <t>Vick-Majors, Trista/0000-0002-6868-4010; hill, phil/0000-0002-2250-1397; Parry, Jacqueline Dawn/0000-0001-6950-0706</t>
  </si>
  <si>
    <t>Leverhulme Trust [F00/185S]; NSF [OPP-0631494, OPP 432595, OPP1115245, MCB 0237335]; Office of Polar Programs (OPP); Directorate For Geosciences [1115245] Funding Source: National Science Foundation</t>
  </si>
  <si>
    <t>Leverhulme Trust(Leverhulme Trust); NSF(National Science Foundation (NSF)); Office of Polar Programs (OPP); Directorate For Geosciences(National Science Foundation (NSF)NSF - Directorate for Geosciences (GEO))</t>
  </si>
  <si>
    <t>This work was funded by a grant from the Leverhulme Trust (F00/185S) to J.P., J.L-P. and P.J.H. and NSF grants OPP-0631494, OPP 432595, OPP1115245 and MCB 0237335 to J.C.P. The work could not have been accomplished without logistical support from Petroleum Helicopters, Inc. and the U.S. Air Force C-17 squadron from McChord AFB.</t>
  </si>
  <si>
    <t>10.1111/j.1574-6941.2012.01423.x</t>
  </si>
  <si>
    <t>WOS:000310261900019</t>
  </si>
  <si>
    <t>Kong, WD; Dolhi, JM; Chiuchiolo, A; Priscu, J; Morgan-Kiss, RM</t>
  </si>
  <si>
    <t>Kong, Weidong; Dolhi, Jenna M.; Chiuchiolo, Amy; Priscu, John; Morgan-Kiss, Rachael M.</t>
  </si>
  <si>
    <t>Evidence of form II RubisCO (cbbM) in a perennially ice-covered Antarctic lake</t>
  </si>
  <si>
    <t>Antarctica; Dry Valley lake; RubisCO; chemolithoautotrophy; polar night</t>
  </si>
  <si>
    <t>MCMURDO DRY VALLEYS; SULFUR-OXIDIZING BACTERIA; TAYLOR GLACIER; NITROUS-OXIDE; REDOX CENTERS; BLOOD FALLS; DIVERSITY; PHYTOPLANKTON; FRYXELL; DIMETHYLSULFIDE</t>
  </si>
  <si>
    <t>The permanently ice-covered lakes of the McMurdo Dry Valleys, Antarctica, harbor microbially dominated food webs. These organisms are adapted to a variety of unusual environmental extremes, including low temperature, low light, and permanently stratified water columns with strong chemo- and oxy-clines. Owing to the low light levels during summer caused by thick ice cover as well as 6months of darkness during the polar winter, chemolithoautotrophic microorganisms could play a key role in the production of new carbon for the lake ecosystems. We used clone library sequencing and real-time quantitative PCR of the gene encoding form II Ribulose 1, 5-bisphosphate carboxylase/oxygenase to determine spatial and seasonal changes in the chemolithoautotrophic community in Lake Bonney, a 40-m-deep lake covered by c. 4m of permanent ice. Our results revealed that chemolithoautotrophs harboring the cbbM gene are restricted to layers just above the chemo- and oxi-cline (=15m) in the west lobe of Lake Bonney (WLB). Our data reveal that the WLB is inhabited by a unique chemolithoautotrophic community that resides in the suboxic layers of the lake where there are ample sources of alternative electron sources such as ammonium, reduced iron and reduced biogenic sulfur species.</t>
  </si>
  <si>
    <t>[Kong, Weidong; Dolhi, Jenna M.; Morgan-Kiss, Rachael M.] Miami Univ, Dept Microbiol, Oxford, OH 45045 USA; [Chiuchiolo, Amy; Priscu, John] Montana State Univ, Dept Land Resources &amp; Environm Sci, Bozeman, MT 59717 USA</t>
  </si>
  <si>
    <t>University System of Ohio; Miami University; Montana State University System; Montana State University Bozeman</t>
  </si>
  <si>
    <t>Morgan-Kiss, RM (corresponding author), Miami Univ, Dept Microbiol, Oxford, OH 45045 USA.</t>
  </si>
  <si>
    <t>morganr2@muohio.edu</t>
  </si>
  <si>
    <t>Kong, Weidong/H-7432-2012</t>
  </si>
  <si>
    <t>Kong, Weidong/0000-0001-9682-1484; Morgan-kiss, Rachael/0000-0003-4783-5358</t>
  </si>
  <si>
    <t>NSF Office of Polar Programs; Molecular and Cellular Biosciences Grants [0631659, 1056396, 0631494, 432595, 1115245, 0237335]; Directorate For Geosciences; Division Of Polar Programs [0838933] Funding Source: National Science Foundation; Office of Polar Programs (OPP); Directorate For Geosciences [1056396] Funding Source: National Science Foundation</t>
  </si>
  <si>
    <t>NSF Office of Polar Programs(National Science Foundation (NSF)); Molecular and Cellular Biosciences Grants; Directorate For Geosciences; Division Of Polar Programs(National Science Foundation (NSF)NSF - Directorate for Geosciences (GEO)); Office of Polar Programs (OPP); Directorate For Geosciences(National Science Foundation (NSF)NSF - Directorate for Geosciences (GEO))</t>
  </si>
  <si>
    <t>The authors thank E. Bell and the McMurdo LTER limnology team for collection and preservation of the samples in Antarctica. We thank Raytheon Polar Services and PHI helicopters for logistical support. Sequencing was performed in the Center for Bioinformatics and Functional Genomics at Miami University. This work was supported by NSF Office of Polar Programs and Molecular and Cellular Biosciences Grants 0631659 and 1056396 to R.M.-K. and 0631494, 432595, 1115245 and 0237335 to J.C.P.</t>
  </si>
  <si>
    <t>10.1111/j.1574-6941.2012.01431.x</t>
  </si>
  <si>
    <t>WOS:000310261900023</t>
  </si>
  <si>
    <t>Prabhu, A; Mahajan, PN; Khaladkar, RM</t>
  </si>
  <si>
    <t>Prabhu, Amita; Mahajan, P. N.; Khaladkar, R. M.</t>
  </si>
  <si>
    <t>Association of the Indian summer monsoon rainfall variability with the geophysical parameters over the Arctic region</t>
  </si>
  <si>
    <t>INTERNATIONAL JOURNAL OF CLIMATOLOGY</t>
  </si>
  <si>
    <t>Arctic sea ice; Indian summer monsoon; Europe surface pressure anomaly tendency</t>
  </si>
  <si>
    <t>SEA-ICE EXTENT; ANTARCTIC CIRCUMPOLAR WAVE; NINO-SOUTHERN OSCILLATION; EL-NINO; PRESSURE ANOMALIES; CIRCULATION; CONNECTION; PREDICTION; TRENDS</t>
  </si>
  <si>
    <t>A study is carried out to understand whether the Indian summer monsoon rainfall variability is associated with the geophysical parameters over the Arctic region. The correlation analyses of the satellite-derived sea ice data for 29 years indicate that out of 9 sectors of the Arctic region, the Kara and Barents Seas sector's Sea Ice Extent (KBS SIE) during October has a strong relationship with the All-India Summer Monsoon Rainfall (AISMR) in the following year. This relationship is more pronounced for the extreme cases, which are identified as the drought or the excess monsoon years. Moreover, the composites of certain geophysical parameters over the Arctic also behave in tandem with the monsoon rainfall. In order to test the relationship of these geophysical parameters with the monsoon rainfall, a case of the recent drought of 2009 is independently evaluated. The results obtained in this study bring out that KBS SIE and some other parameters of the Arctic region can be used as potential predictors in the long-range forecasting of AISMR with a lead period of more than six months. A table indicating the qualitative forecast of the monsoon rainfall is presented on the basis of some parameters of the Arctic region. The mean sea level pressure anomaly tendency over northwest Europe during winter, which is one of the predictors used for forecasting the AISMR, is significantly correlated with the KBS SIE during the preceding October. As such, with the knowledge of October KBS SIE, this parameter can also be foreseen a few months in advance. Copyright (c) 2011 Royal Meteorological Society</t>
  </si>
  <si>
    <t>[Prabhu, Amita; Mahajan, P. N.] Indian Inst Trop Meteorol, Pune 411008, Maharashtra, India</t>
  </si>
  <si>
    <t>Ministry of Earth Sciences (MoES) - India; Indian Institute of Tropical Meteorology (IITM)</t>
  </si>
  <si>
    <t>Prabhu, A (corresponding author), Indian Inst Trop Meteorol, Dr Homi Bhaba Rd, Pune 411008, Maharashtra, India.</t>
  </si>
  <si>
    <t>amitaprabhu@tropmet.res.in</t>
  </si>
  <si>
    <t>Prabhu, Amita/0000-0002-2474-6195</t>
  </si>
  <si>
    <t>0899-8418</t>
  </si>
  <si>
    <t>1097-0088</t>
  </si>
  <si>
    <t>INT J CLIMATOL</t>
  </si>
  <si>
    <t>Int. J. Climatol.</t>
  </si>
  <si>
    <t>10.1002/joc.2418</t>
  </si>
  <si>
    <t>027ZU</t>
  </si>
  <si>
    <t>WOS:000310393400010</t>
  </si>
  <si>
    <t>Escrivà, A; Smith, RJ; Aguilar-Alberola, JA; Kamiya, T; Karanovic, I; Rueda, J; Schornikov, EI; Mesquita-Joanes, F</t>
  </si>
  <si>
    <t>Escriva, Andreu; Smith, Robin J.; Aguilar-Alberola, Josep A.; Kamiya, Takahiro; Karanovic, Ivana; Rueda, Juan; Schornikov, Eugene I.; Mesquita-Joanes, Francesc</t>
  </si>
  <si>
    <t>GLOBAL DISTRIBUTION OF FABAEFORMISCANDONA SUBACUTA: AN EXOTIC INVASIVE OSTRACODA ON THE IBERIAN PENINSULA?</t>
  </si>
  <si>
    <t>JOURNAL OF CRUSTACEAN BIOLOGY</t>
  </si>
  <si>
    <t>alien species; aquatic invasions; biogeography; Fabaeformiscandona; Ostracoda</t>
  </si>
  <si>
    <t>AQUATIC INVERTEBRATES; AEDES-ALBOPICTUS; FRESH; DISPERSAL; CRUSTACEA; TERRESTRIAL; WATERBIRDS; MORPHOLOGY; DIVERSITY; EVOLUTION</t>
  </si>
  <si>
    <t>Although exotic species of Ostracoda have been recorded from various sites in Europe, none of them have a widespread European distribution. Reviews of existing literature, examination of specimens, and sampling in Spain and Japan has greatly expanded the known distribution of the candonid ostracode Fabaeformiscandona subacuta (Yang, 1982). We herein present new reports of its presence in mainland eastern Asia. Australia, and South America, and we review its distribution on the Iberian Peninsula. Although this species is globally widespread, we hypothesize that it is an invasive species on the Iberian Peninsula in light of the following facts: it is not known from other European countries, its known global distribution is extremely disjunct, it has not been found during palaeo-limnological investigations of European lakes, and on the Iberian Peninsula it is almost exclusively found in artificial, intensely human-impacted habitats, mostly in reservoirs and ricefields.</t>
  </si>
  <si>
    <t>[Escriva, Andreu; Aguilar-Alberola, Josep A.; Rueda, Juan; Mesquita-Joanes, Francesc] Univ Valencia, Dept Microbiol &amp; Ecol, E-46100 Burjassot, Spain; [Smith, Robin J.] Lake Biwa Museum, Kusatsu, Shiga 5250001, Japan; [Kamiya, Takahiro] Kanazawa Univ, Dept Earth Sci, Kanazawa, Ishikawa 9201192, Japan; [Karanovic, Ivana] Hanyang Univ, Dept Life Sci, Seoul 133791, South Korea; [Karanovic, Ivana] Univ Tasmania, Inst Marine &amp; Antarctic Studies, Hobart, Tas 7001, Australia; [Schornikov, Eugene I.] Russian Acad Sci, Far E Branch, Inst Marine Biol, Vladivostok 690059, Russia</t>
  </si>
  <si>
    <t>University of Valencia; Kanazawa University; Hanyang University; University of Tasmania; Russian Academy of Sciences; National Scientific Center of Marine Biology, Far East Branch of the Russian Academy of Sciences</t>
  </si>
  <si>
    <t>Mesquita-Joanes, F (corresponding author), Univ Valencia, Dept Microbiol &amp; Ecol, Av Dr Moliner 50, E-46100 Burjassot, Spain.</t>
  </si>
  <si>
    <t>mezquita@uv.es</t>
  </si>
  <si>
    <t>Mesquita-Joanes, Francesc/F-3200-2011; Rueda, Juan/F-6691-2016</t>
  </si>
  <si>
    <t>Mesquita-Joanes, Francesc/0000-0001-7168-1980; Smith, Robin/0000-0002-9888-5323; Rueda, Juan/0000-0002-7629-8881</t>
  </si>
  <si>
    <t>Spanish Ministry of Science and Innovation [CGL2008-01296/BOS]; Valencian government [GVPRE/2008/238, BEST/2010/166]; University of Valencia; CIAMA (La Alfranca)</t>
  </si>
  <si>
    <t>Spanish Ministry of Science and Innovation(Spanish Government); Valencian government; University of Valencia; CIAMA (La Alfranca)</t>
  </si>
  <si>
    <t>This work was partially funded by the Spanish Ministry of Science and Innovation project ECOINVADER (CGL2008-01296/BOS), the Valencian government (project GVPRE/2008/238 and travel grant BEST/2010/166 to F. Mesquita-Joanes to go to Japan) and the University of Valencia (V-Segles predoctoral grant and travel grant to A. Escriva). We are grateful to all members of the project ECOINVADER for discussion and ideas. Special thanks to Laia Zamora (Univ. Valencia) for data on the presence of F. subacuta in the Pego-Oliva wetlands, to Susana Perez for specimens from the Tuna river, J. A. Gil-Delgado (Univ. Valencia) for organizing sampling in Zaragoza, to the CIAMA (La Alfranca) for permission and support in Zaragoza, to J. M. Poquet (Granada) for providing samples from Western Spain, Mr. Zhao for providing specimens from China, and to S. Mischke (Berlin), P. Frenzel (Jena) and Peng Ping (Beijing) for their help with Chinese publications. Finn Viehberg (Cologne) provided F. holzkampfi specimens from Germany and S. Savatenalinton sent pictures to check the identification of Thai specimens. This work greatly benefited from the comments and suggestions by Mark Grygier, Dave Home and one anonymous referee to an earlier version of the manuscript.</t>
  </si>
  <si>
    <t>0278-0372</t>
  </si>
  <si>
    <t>1937-240X</t>
  </si>
  <si>
    <t>J CRUSTACEAN BIOL</t>
  </si>
  <si>
    <t>J. Crustac. Biol.</t>
  </si>
  <si>
    <t>10.1163/1937240X-00002096</t>
  </si>
  <si>
    <t>Marine &amp; Freshwater Biology; Zoology</t>
  </si>
  <si>
    <t>026EB</t>
  </si>
  <si>
    <t>WOS:000310256000008</t>
  </si>
  <si>
    <t>Pasotti, F; Troch, M; Raes, M; Vanreusel, A</t>
  </si>
  <si>
    <t>Pasotti, Francesca; De Troch, Marleen; Raes, Maarten; Vanreusel, Ann</t>
  </si>
  <si>
    <t>Feeding ecology of shallow water meiofauna: insights from a stable isotope tracer experiment in Potter Cove, King George Island, Antarctica</t>
  </si>
  <si>
    <t>POLAR BIOLOGY</t>
  </si>
  <si>
    <t>West Antarctic Peninsula; Feeding ecology; Meiobenthos; Stable isotopes</t>
  </si>
  <si>
    <t>DEEP-SEA NEMATODES; HARPACTICOID COPEPODS; ORGANIC-MATTER; MARTEL INLET; TROPHIC STRUCTURE; SIGNY ISLAND; FOOD-WEB; CARBON; PHYTOPLANKTON; DELTA-C-13</t>
  </si>
  <si>
    <t>Antarctic meiofauna is still strongly understudied, and so is its trophic position in the food web. Primary producers, such as phytoplankton, and bacteria may represent important food sources for shallow water metazoans, and the role of meiobenthos in the benthic-pelagic coupling represents an important brick for food web understanding. In a laboratory, feeding experiment C-13-labeled freeze-dried diatoms (Thalassiosira weissflogii) and bacteria were added to retrieved cores from Potter Cove (15-m depth, November 2007) in order to investigate the uptake of 3 main meiofauna taxa: nematodes, copepods and cumaceans. In the surface sediment layers, nematodes showed no real difference in uptake of both food sources. This outcome was supported by the natural delta C-13 values and the community genus composition. In the first centimeter layer, the dominant genus was Daptonema which is known to be opportunistic, feeding on both bacteria and diatoms. Copepods and cumaceans on the other hand appeared to feed more on diatoms than on bacteria. This may point at a better adaptation to input of primary production from the water column. On the other hand, the overall carbon uptake of the given food sources was quite low for all taxa, indicating that likely other food sources might be of relevance for these meiobenthic organisms. Further studies are needed in order to better quantify the carbon requirements of these organisms.</t>
  </si>
  <si>
    <t>[Pasotti, Francesca; De Troch, Marleen; Raes, Maarten; Vanreusel, Ann] Univ Ghent, B-9000 Ghent, Belgium</t>
  </si>
  <si>
    <t>Ghent University</t>
  </si>
  <si>
    <t>Pasotti, F (corresponding author), Univ Ghent, Krijgslaan 281-S8, B-9000 Ghent, Belgium.</t>
  </si>
  <si>
    <t>francesca.pasotti@ugent.be</t>
  </si>
  <si>
    <t>De Troch, Marleen/AAB-9809-2019</t>
  </si>
  <si>
    <t>De Troch, Marleen/0000-0002-6800-0299; Pasotti, Francesca/0000-0002-8971-8195</t>
  </si>
  <si>
    <t>ESF IMCOAST; SDD-BIANZO; IWT; Ghent University [BOF-GOA 01GA1911 W]</t>
  </si>
  <si>
    <t>ESF IMCOAST; SDD-BIANZO; IWT(Institute for the Promotion of Innovation by Science and Technology in Flanders (IWT)); Ghent University(Ghent University)</t>
  </si>
  <si>
    <t>We acknowledge the ESF IMCOAST project (Impact of climate induced glacial melting on marine coastal systems in the Western Antarctic Peninsula region, www.imcoast.org) and the SDD-BIANZO (Biodiversity of three representative groups of the Antarctic Zoobenthos: coping with change) project (Belgian science policy) for financial support. The first author financed through an IWT PhD scholarship. The second author was a postdoctoral fellow of the Research Foundation-Flanders (FWO-Flanders, Belgium) at the time of the experiment and is now financed by the Ghent University (BOF-GOA 01GA1911 W). We also thank the Alfred Wegener Institute (Germany) and the Instituto Antartico Argentino for providing the logistics at Dallmann laboratory in Jubany station. A special thank goes to Prof. Doris Abele for her precious assistance during the setup of the experiment. Last, but not least, we would like to thank Dr. Nicole Aberle-Malzahn and Dr. Evangelia Gontikaki for their valuable help given in revising the present work.</t>
  </si>
  <si>
    <t>ONE NEW YORK PLAZA, SUITE 4600, NEW YORK, NY, UNITED STATES</t>
  </si>
  <si>
    <t>0722-4060</t>
  </si>
  <si>
    <t>1432-2056</t>
  </si>
  <si>
    <t>POLAR BIOL</t>
  </si>
  <si>
    <t>Polar Biol.</t>
  </si>
  <si>
    <t>10.1007/s00300-012-1203-6</t>
  </si>
  <si>
    <t>Biodiversity Conservation; Ecology</t>
  </si>
  <si>
    <t>Biodiversity &amp; Conservation; Environmental Sciences &amp; Ecology</t>
  </si>
  <si>
    <t>025QV</t>
  </si>
  <si>
    <t>WOS:000310207900002</t>
  </si>
  <si>
    <t>Nakai, R; Abe, T; Baba, T; Imura, S; Kagoshima, H; Kanda, H; Kohara, Y; Koi, A; Niki, H; Yanagihara, K; Naganuma, T</t>
  </si>
  <si>
    <t>Nakai, Ryosuke; Abe, Takashi; Baba, Tomoya; Imura, Satoshi; Kagoshima, Hiroshi; Kanda, Hiroshi; Kohara, Yuji; Koi, Akiko; Niki, Hironori; Yanagihara, Katsuhiko; Naganuma, Takeshi</t>
  </si>
  <si>
    <t>Diversity of RuBisCO gene responsible for CO2 fixation in an Antarctic moss pillar</t>
  </si>
  <si>
    <t>Antarctic lake; Moss pillar; Eukarya; Bacteria; RuBisCO; Phylogenetic analyses</t>
  </si>
  <si>
    <t>LARGE-SUBUNIT GENES; RIBULOSE-1,5-BISPHOSPHATE CARBOXYLASE; MOLECULAR CHARACTERIZATION; GROWTH; STRAINS; LAKES; PHOTOSYNTHESIS; CYANOBACTERIA; JAPONICUM; COMMUNITY</t>
  </si>
  <si>
    <t>Antarctic moss pillars are lake-bottom biocenoses that are primarily comprised of aquatic mosses. The pillars consist of distinct redox-affected sections: oxidative exteriors and reductive interiors. Batteries of SSU rRNA genotypes of eukaryotes, eubacteria, and cyanobacteria, but no archaea, have been identified in these pillars. However, rRNA-based phylogenetic analysis provides limited information on metabolic capabilities. To investigate the microorganisms that have the potential for CO2 fixation in the pillars, we studied the genetic diversity of ribulose-1,5-bisphosphate carboxylase/oxygenase (RuBisCO, EC 4.1.1.39)-an enzyme involved in CO2 fixation. PCR clone libraries targeting all forms of the RuBisCO large subunit-encoding gene were constructed and 1,092 clones were randomly sequenced. Phylogenetic analysis indicated that proteobacterial form IA operational RuBisCO units (ORUs) were detected at the same frequency as the cyanobacterial form IB ORUs. Surprisingly, the form IA ORU, which was closely related to the sequences from deep-sea environments, was detected from all moss pillar sections. The form IB ORU related to Bryophyta, considered to be derived from moss, was identical to the sequence of Leptobryum sp. isolated from Lake Hotoke-Ike where the pillars were found. Moreover, certain cyanobacterial ORUs were found exclusively in the exterior of the pillar, whereas form II ORUs related to chemolithoautotrophic sulfur oxidizers and purple sulfur bacteria were found exclusively in the interior. No forms IC, ID, or III RuBisCO genes were detected. This is the first report demonstrating that bacteria with the potential for CO2 fixation and chemoautotrophy are present in the Antarctic moss pillar ecosystem.</t>
  </si>
  <si>
    <t>[Nakai, Ryosuke; Koi, Akiko; Naganuma, Takeshi] Hiroshima Univ, Grad Sch Biosphere Sci, Higashi Ku, Hiroshima 7398528, Japan; [Nakai, Ryosuke] Japan Soc Promot Sci, Chiyoda Ku, Tokyo 1028471, Japan; [Abe, Takashi] Niigata Univ, Grad Sch Sci &amp; Technol, Nishi Ku, Niigata 9502181, Japan; [Baba, Tomoya; Kagoshima, Hiroshi; Niki, Hironori; Yanagihara, Katsuhiko] Transdisciplinary Res Integrat Ctr, Minato Ku, Tokyo 1050001, Japan; [Imura, Satoshi; Kanda, Hiroshi] Natl Inst Polar Res, Tachikawa, Tokyo 1908518, Japan; [Kagoshima, Hiroshi; Kohara, Yuji; Niki, Hironori] Natl Inst Genet, Mishima, Shizuoka 4118540, Japan</t>
  </si>
  <si>
    <t>Hiroshima University; Japan Society for the Promotion of Science; Niigata University; Research Organization of Information &amp; Systems (ROIS); National Institute of Polar Research (NIPR) - Japan; Research Organization of Information &amp; Systems (ROIS); National Institute of Genetics (NIG) - Japan</t>
  </si>
  <si>
    <t>Naganuma, T (corresponding author), Hiroshima Univ, Grad Sch Biosphere Sci, Higashi Ku, 1-4-4 Kagamiyama, Hiroshima 7398528, Japan.</t>
  </si>
  <si>
    <t>takn@hiroshima-u.ac.jp</t>
  </si>
  <si>
    <t>Naganuma, Takeshi/AAX-7064-2021; BABA, Tomoya/H-2317-2013; Nakai, Ryosuke/O-6217-2015</t>
  </si>
  <si>
    <t>Naganuma, Takeshi/0000-0003-1925-9461; BABA, Tomoya/0000-0001-8986-5905; Nakai, Ryosuke/0000-0002-3078-6695; Niki, Hironori/0000-0002-5391-6595</t>
  </si>
  <si>
    <t>National Polar Research Institute; Transdisciplinary Research Integration Center, Research Organization of Information and Systems, Japan; JSPS [11J30005]; Grants-in-Aid for Scientific Research [23710242, 11J30005, 23247012, 23510239] Funding Source: KAKEN</t>
  </si>
  <si>
    <t>National Polar Research Institute; Transdisciplinary Research Integration Center, Research Organization of Information and Systems, Japan;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</si>
  <si>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gratefully acknowledge the members of the 42nd Japanese Antarctic Research Expedition (JARE). We thank Kazuko Ohishi and Tadasu Shin-i for their technical assistance. This study was supported by the National Polar Research Institute and the Transdisciplinary Research Integration Center, Research Organization of Information and Systems, Japan. This study also supported by JSPS Research Fellowships for Young Scientists (No. 11J30005). The study was conducted as part of the Microbiological and Ecological Responses to Global Environmental Changes in Polar Regions (MERGE) program during the International Polar Year of 2007-2008.</t>
  </si>
  <si>
    <t>10.1007/s00300-012-1204-5</t>
  </si>
  <si>
    <t>WOS:000310207900003</t>
  </si>
  <si>
    <t>Lee, SH; Kim, BK; Yun, MS; Joo, H; Yang, EJ; Kim, YN; Shin, HC; Lee, S</t>
  </si>
  <si>
    <t>Lee, Sang Heon; Kim, Bo Kyung; Yun, Mi Sun; Joo, HuiTae; Yang, Eun Jin; Kim, Young Nam; Shin, Hyoung Chul; Lee, SangHoon</t>
  </si>
  <si>
    <t>Spatial distribution of phytoplankton productivity in the Amundsen Sea, Antarctica</t>
  </si>
  <si>
    <t>Primary productivity; Phytoplankton; Polynya; Amundsen Sea</t>
  </si>
  <si>
    <t>MARGINAL ICE-ZONE; ROSS SEA; PHAEOCYSTIS-ANTARCTICA; SOUTHERN-OCEAN; BLOOMS; CARBON; IRON; DYNAMICS; NITROGEN; DRAWDOWN</t>
  </si>
  <si>
    <t>To date, no direct measurements of primary production were taken in the Amundsen Sea, which is one of the highest primary productivity regions in the Antarctic. Phytoplankton carbon and nitrogen uptake experiments were conducted at 16 selected stations using a C-13-N-15 dual isotope tracer technique. We found no statistically significant depletions of major inorganic nutrients (nitrate + nitrite, ammonium, and silicate) although the concentrations of these nutrients were markedly reduced in the surface layer of the polynya stations where large celled phytoplankton (&gt; 20 mu m) predominated (ca. 64 %). The average chl-a concentration was significantly higher at polynya stations than at non-polynya stations (p &lt; 0.01). Average daily carbon and nitrogen uptake rates by phytoplankton at polynya stations were 2.2 g C m(-2) day(-1) (SD = +/- 1.4 g C m(-2) day(-1)) and 0.9 g N m(-2) day(-1) (SD = +/- 0.2 g N m(-2) day(-1)), respectively, about 5-10 times higher than those at non-polynya stations. These ranges are as high as those in the Ross Sea, which has the highest productivity among polynyas in the Antarctic Ocean. The unique productivity patterns in the Amundsen Sea are likely due to differences in iron limitation, phytoplankton productivity, the timing of phytoplankton growing season, or a combination of these factors.</t>
  </si>
  <si>
    <t>[Lee, Sang Heon; Kim, Bo Kyung; Yun, Mi Sun; Joo, HuiTae] Pusan Natl Univ, Dept Oceanog, Pusan 609735, South Korea; [Yang, Eun Jin; Shin, Hyoung Chul; Lee, SangHoon] KORDI, Korea Polar Res Inst, Inchon 406840, South Korea; [Kim, Young Nam] Korea Marine Environm Management Corp, Seoul 135870, South Korea</t>
  </si>
  <si>
    <t>Pusan National University; Korea Polar Research Institute (KOPRI); Korea Institute of Ocean Science &amp; Technology (KIOST)</t>
  </si>
  <si>
    <t>Lee, SH (corresponding author), Pusan Natl Univ, Dept Oceanog, Pusan 609735, South Korea.</t>
  </si>
  <si>
    <t>sanglee@pnu.ac.kr</t>
  </si>
  <si>
    <t>Yun, Mi Sun/AAI-8568-2020; Kim, Bo Kyung/GRY-2456-2022</t>
  </si>
  <si>
    <t>Kim, Bo Kyung/0009-0005-4890-701X; Yang, Eun Jin/0000-0002-8639-5968</t>
  </si>
  <si>
    <t>Korea Polar Research Institute (KOPRI) [PE11040]</t>
  </si>
  <si>
    <t>Korea Polar Research Institute (KOPRI)</t>
  </si>
  <si>
    <t>We thank the captain and crew of the Korean Research Icebreaker, Araon, for their outstanding assistance during the cruise. We very much appreciate the constructive comments by three reviewers, which greatly improved the earlier version of the manuscript. This research was supported by the Korea Polar Research Institute (KOPRI; PE11040).</t>
  </si>
  <si>
    <t>10.1007/s00300-012-1220-5</t>
  </si>
  <si>
    <t>WOS:000310207900011</t>
  </si>
  <si>
    <t>Wei, K; Bao, Q</t>
  </si>
  <si>
    <t>Wei Ke; Bao Qing</t>
  </si>
  <si>
    <t>Projections of the East Asian winter monsoon under the IPCC AR5 scenarios using a coupled model: IAP_FGOALS</t>
  </si>
  <si>
    <t>ADVANCES IN ATMOSPHERIC SCIENCES</t>
  </si>
  <si>
    <t>East Asian winter monsoon; CMIP; AO; stratospheric polar vortex; FGOALS</t>
  </si>
  <si>
    <t>ARCTIC-OSCILLATION; ANTARCTIC OSCILLATIONS; CLIMATE-CHANGE; EL-NINO; PACIFIC; TEMPERATURE; VARIABILITY; NORTHERN; ENSO; REANALYSIS</t>
  </si>
  <si>
    <t>Responses of the East Asian winter monsoon (EAWM) in future projections were studied based on two core future projections of CMIP5 in coordinated experiments with the IAP-coupled model FGOALS2-s. The projected changes of EAWM in climatology, seasonality, and interannual variability are reported here; the projections indicated strong warming in winter season. Warming increased with latitude, ranging from 1A degrees C to 3A degrees C in the Representative Concentration Pathways simulation RCP4.5 projection (an experiment that results in additional radiative forcing of similar to 4.5 W m(-2) in 2100) and from 4A degrees C to 9A degrees C in the RCP8.5 projection (an experiment that results in additional radiative forcing of similar to 8.5 W m(-2) in 2100). The northerly wind along the East Asian coastal region became stronger in both scenarios, indicating a stronger EAWM. Accordingly, interannual variability (described by the standard deviation of temperature) increased around the South China Sea and lower latitudes and decreased over eastern China, especially in North China. The two EAWM basic modes, defined by the temperature EOF analysis over East Asia, were associated with the Arctic Oscillation (AO) and stratospheric polar vortex. The future projections revealed more total variance attributable to the secondary mode, suggesting additional influences from the stratosphere. The correlation between AO and the leading mode decreased, while the correlation between AO and the secondary mode increased, implying increased complexity regarding the predictability of EAWM interannual variations in future projections.</t>
  </si>
  <si>
    <t>[Wei Ke] Chinese Acad Sci, Inst Atmospher Phys, Ctr Monsoon Syst Res, Beijing 100080, Peoples R China; [Bao Qing] Chinese Acad Sci, Inst Atmospher Phys, State Key Lab Numer Modeling Atmospher Sci &amp; Geop, Beijing 100029, Peoples R China</t>
  </si>
  <si>
    <t>Chinese Academy of Sciences; Institute of Atmospheric Physics, CAS; Chinese Academy of Sciences; Institute of Atmospheric Physics, CAS</t>
  </si>
  <si>
    <t>Wei, K (corresponding author), Chinese Acad Sci, Inst Atmospher Phys, Ctr Monsoon Syst Res, Beijing 100080, Peoples R China.</t>
  </si>
  <si>
    <t>Bao, Qing/A-7765-2012; Wei, Ke/G-4541-2011</t>
  </si>
  <si>
    <t>Wei, Ke/0000-0002-7616-3493</t>
  </si>
  <si>
    <t>National Basic Research Program of China (973 Program) [2010CB428603, 2012CB417203]; National Natural Science Foundation of China [41175041]</t>
  </si>
  <si>
    <t>National Basic Research Program of China (973 Program)(National Basic Research Program of China); National Natural Science Foundation of China(National Natural Science Foundation of China (NSFC))</t>
  </si>
  <si>
    <t>This research is supported by the National Basic Research Program of China (973 Program) (Grant Nos. 2010CB428603 and 2012CB417203), and the National Natural Science Foundation of China (Grant No. 41175041).</t>
  </si>
  <si>
    <t>SCIENCE PRESS</t>
  </si>
  <si>
    <t>BEIJING</t>
  </si>
  <si>
    <t>16 DONGHUANGCHENGGEN NORTH ST, BEIJING 100717, PEOPLES R CHINA</t>
  </si>
  <si>
    <t>0256-1530</t>
  </si>
  <si>
    <t>1861-9533</t>
  </si>
  <si>
    <t>ADV ATMOS SCI</t>
  </si>
  <si>
    <t>Adv. Atmos. Sci.</t>
  </si>
  <si>
    <t>10.1007/s00376-012-1226-5</t>
  </si>
  <si>
    <t>023YN</t>
  </si>
  <si>
    <t>WOS:000310074000006</t>
  </si>
  <si>
    <t>Levis, NA; Yi, SX; Lee, RE</t>
  </si>
  <si>
    <t>Levis, Nicholas A.; Yi, Shu-Xia; Lee, Richard E., Jr.</t>
  </si>
  <si>
    <t>Mild desiccation rapidly increases freeze tolerance of the goldenrod gall fly, Eurosta solidaginis: evidence for drought-induced rapid cold-hardening</t>
  </si>
  <si>
    <t>JOURNAL OF EXPERIMENTAL BIOLOGY</t>
  </si>
  <si>
    <t>Dipteran; osmotic challenge; cross-tolerance; drought acclimation</t>
  </si>
  <si>
    <t>ANTARCTIC MIDGE; HEAT-SHOCK; FLESH FLY; SEASONAL ACQUISITION; BELGICA-ANTARCTICA; LOW-TEMPERATURE; UP-REGULATION; LARVAE; DIPTERA; DEHYDRATION</t>
  </si>
  <si>
    <t>Overwintering insects may experience extreme cold and desiccation stress. Both freezing and desiccation require cells to tolerate osmotic challenge as solutes become concentrated in the hemolymph. Not surprisingly, physiological responses to low temperature and desiccation share common features and may confer cross-tolerance against these stresses. Freeze-tolerant larvae of the goldenrod gall fly, Eurosta solidaginis (Diptera: Tephritidae), experience extremely dry and cold conditions in winter. To determine whether mild desiccation can improve freeze tolerance at organismal and cellular levels, we assessed survival, hemolymph osmolality and glycerol levels of control and desiccated larvae. Larvae that lost only 6-10% of their body mass, in as little as 6 h, had markedly higher levels of freeze tolerance. Mild, rapid desiccation increased freezing tolerance at -15 degrees C in September-collected larvae (33.3 +/- 6.7 to 73.3 +/- 12%) and at -20 degrees C in October-collected larvae (16.7 +/- 6.7 to 46.7 +/- 3.3%). Similarly, 6 h of desiccation improved in vivo survival by 17-43% in fat body, Malpighian tubule, salivary gland and tracheal cells at -20 degrees C. Desiccation also enhanced intrinsic levels of cold tolerance in midgut cells frozen ex vivo (38.7 +/- 4.6 to 89.2 +/- 5.5%). Whereas hemolymph osmolality increased significantly with desiccation treatment from 544 +/- 16 to 720 +/- 26. mOsm, glycerol levels did not differ between control and desiccated groups. The rapidity with which a mild desiccation stress increased freeze tolerance closely resembles the rapid cold-hardening response, which occurs during brief sub-lethal chilling, and suggests that drought stress can induce rapid cold-hardening.</t>
  </si>
  <si>
    <t>[Levis, Nicholas A.; Yi, Shu-Xia; Lee, Richard E., Jr.] Miami Univ, Dept Zool, Oxford, OH 45056 USA</t>
  </si>
  <si>
    <t>University System of Ohio; Miami University</t>
  </si>
  <si>
    <t>Lee, RE (corresponding author), Miami Univ, Dept Zool, Oxford, OH 45056 USA.</t>
  </si>
  <si>
    <t>leere@muohio.edu</t>
  </si>
  <si>
    <t>Levis, Nicholas A./HKW-8322-2023</t>
  </si>
  <si>
    <t>Levis, Nicholas A./0000-0001-7650-2371</t>
  </si>
  <si>
    <t>Miami University; DUOS program; Howard Hughes summer internship; Dean's Scholar Program; National Science Foundation [IOS-0840772]; Division Of Integrative Organismal Systems; Direct For Biological Sciences [0840772] Funding Source: National Science Foundation</t>
  </si>
  <si>
    <t>Miami University; DUOS program; Howard Hughes summer internship; Dean's Scholar Program; National Science Foundation(National Science Foundation (NSF)); Division Of Integrative Organismal Systems; Direct For Biological Sciences(National Science Foundation (NSF)NSF - Directorate for Biological Sciences (BIO)NSF - Division of Integrative Organismal Systems (IOS))</t>
  </si>
  <si>
    <t>This research was supported by undergraduate research grants from Miami University, including the DUOS program, a Howard Hughes summer internship and the Dean's Scholar Program (all to N.A.L.), and the National Science Foundation (grant IOS-0840772 to R.E.L.).</t>
  </si>
  <si>
    <t>COMPANY BIOLOGISTS LTD</t>
  </si>
  <si>
    <t>CAMBRIDGE</t>
  </si>
  <si>
    <t>BIDDER BUILDING, STATION RD, HISTON, CAMBRIDGE CB24 9LF, ENGLAND</t>
  </si>
  <si>
    <t>0022-0949</t>
  </si>
  <si>
    <t>1477-9145</t>
  </si>
  <si>
    <t>J EXP BIOL</t>
  </si>
  <si>
    <t>J. Exp. Biol.</t>
  </si>
  <si>
    <t>10.1242/jeb.076885</t>
  </si>
  <si>
    <t>Biology</t>
  </si>
  <si>
    <t>Life Sciences &amp; Biomedicine - Other Topics</t>
  </si>
  <si>
    <t>022NR</t>
  </si>
  <si>
    <t>WOS:000309966600019</t>
  </si>
  <si>
    <t>Takeya, S; Honda, K; Gotoh, Y; Yoneyama, A; Ueda, K; Miyamoto, A; Hondoh, T; Hori, A; Sun, D; Ohmura, R; Hyodo, K; Takeda, T</t>
  </si>
  <si>
    <t>Takeya, Satoshi; Honda, Kazumasa; Gotoh, Yoshito; Yoneyama, Akio; Ueda, Kazuhiro; Miyamoto, Atsushi; Hondoh, Takeo; Hori, Akira; Sun, Duo; Ohmura, Ryo; Hyodo, Kazuyuki; Takeda, Tohoru</t>
  </si>
  <si>
    <t>Diffraction-enhanced X-ray imaging under low-temperature conditions: non-destructive observations of clathrate gas hydrates</t>
  </si>
  <si>
    <t>JOURNAL OF SYNCHROTRON RADIATION</t>
  </si>
  <si>
    <t>International Workshop on Improving Data Quality and Quantity for XAFS Experiments</t>
  </si>
  <si>
    <t>APR 12-13, 2011</t>
  </si>
  <si>
    <t>Tsukuba, JAPAN</t>
  </si>
  <si>
    <t>phase-contrast imaging; diffraction-enhanced imaging; X-ray interferometric imaging; non-destructive imaging; clathrate hydrate</t>
  </si>
  <si>
    <t>THERMAL-EXPANSION; LATTICE-CONSTANTS</t>
  </si>
  <si>
    <t>Diffraction-enhanced imaging (DEI) is a phase-contrast X-ray imaging technique suitable for visualizing light-element materials. The method also enables observations of sample-containing regions with large density gradients. In this study a cryogenic imaging technique was developed for DEI-enabled measurements at low temperature from 193 K up to room temperature with a deviation of 1 K. Structure-II air hydrate and structure-I carbon dioxide (CO2) hydrate were examined to assess the performance of this cryogenic DEI technique. It was shown that this DEI technique could image gas hydrate coexisting with ice and gas bubbles with a density resolution of about 0.01 g cm(-3) and a wide dynamic density range of about 1.60 g cm(-3). In addition, this method may be a way to make temperature-dependent measurements of physical properties such as density.</t>
  </si>
  <si>
    <t>[Takeya, Satoshi; Honda, Kazumasa; Gotoh, Yoshito] Natl Inst Adv Ind Sci &amp; Technol, Res Inst Instrumentat Frontier, Tsukuba, Ibaraki 3058565, Japan; [Yoneyama, Akio; Ueda, Kazuhiro] Hitachi Ltd, Cent Res Lab, Hatoyama, Saitama 3500395, Japan; [Miyamoto, Atsushi; Hondoh, Takeo] Hokkaido Univ, Inst Low Temp Sci, Sapporo, Hokkaido 0600819, Japan; [Hori, Akira] Kitami Inst Technol, Dept Civil &amp; Environm Engn, Kitami, Hokkaido 0908507, Japan; [Sun, Duo; Ohmura, Ryo] Keio Univ, Dept Mech Engn, Kohoku Ku, Yokohama, Kanagawa 2238522, Japan; [Hyodo, Kazuyuki] High Energy Accelerator Org, Inst Mat Sci, Tsukuba, Ibaraki 3050801, Japan; [Takeda, Tohoru] Kitasato Univ, Sch Allied Hlth Sci, Sagamihara, Kanagawa 2288555, Japan</t>
  </si>
  <si>
    <t>National Institute of Advanced Industrial Science &amp; Technology (AIST); Hitachi Limited; Hokkaido University; Kitami Institute of Technology; Keio University; High Energy Accelerator Research Organization (KEK); Kitasato University</t>
  </si>
  <si>
    <t>Takeya, S (corresponding author), Natl Inst Adv Ind Sci &amp; Technol, Res Inst Instrumentat Frontier, 1-1-1 Higashi, Tsukuba, Ibaraki 3058565, Japan.</t>
  </si>
  <si>
    <t>s.takeya@aist.go.jp</t>
  </si>
  <si>
    <t>Ohmura, Ryo/D-6035-2014; Gotoh, Yoshito/L-6343-2018; HONDOH, TAKEO/E-7551-2011; Yoneyama, Akio/ABH-5357-2020; Takeya, Satoshi/L-2108-2018</t>
  </si>
  <si>
    <t>Gotoh, Yoshito/0000-0001-5033-8833; Takeya, Satoshi/0000-0002-7240-2899; Yoneyama, Akio/0000-0001-6925-6723; hyodo, kazuyuki/0000-0002-9948-5321</t>
  </si>
  <si>
    <t>JSPS KAKENHI [40357421]; Grants-in-Aid for Scientific Research [23550036]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</si>
  <si>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</si>
  <si>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study was carried out under Proposals Nos. 2010G170 and 2009S2-006, and was approved by the High Energy Accelerator Research Organization. We thank all the participants of the Japan Antarctic Research Expedition (JARE) for the drilling, field work and ice sampling. Part of this study was supported by JSPS KAKENHI 40357421.</t>
  </si>
  <si>
    <t>INT UNION CRYSTALLOGRAPHY</t>
  </si>
  <si>
    <t>CHESTER</t>
  </si>
  <si>
    <t>2 ABBEY SQ, CHESTER, CH1 2HU, ENGLAND</t>
  </si>
  <si>
    <t>0909-0495</t>
  </si>
  <si>
    <t>1600-5775</t>
  </si>
  <si>
    <t>J SYNCHROTRON RADIAT</t>
  </si>
  <si>
    <t>J. Synchrot. Radiat.</t>
  </si>
  <si>
    <t>10.1107/S0909049512033857</t>
  </si>
  <si>
    <t>Instruments &amp; Instrumentation; Optics; Physics, Applied</t>
  </si>
  <si>
    <t>Instruments &amp; Instrumentation; Optics; Physics</t>
  </si>
  <si>
    <t>024ZL</t>
  </si>
  <si>
    <t>WOS:000310151000027</t>
  </si>
  <si>
    <t>Williams, ST</t>
  </si>
  <si>
    <t>Williams, Suzanne T.</t>
  </si>
  <si>
    <t>Advances in molecular systematics of the vetigastropod superfamily Trochoidea</t>
  </si>
  <si>
    <t>ZOOLOGICA SCRIPTA</t>
  </si>
  <si>
    <t>HYDROTHERMAL VENTS; MARINE GASTROPOD; NEW-ZEALAND; TROCHIDAE; MOLLUSCA; PHYLOGENY; TURBINIDAE; EVOLUTION; SUBFAMILY; SHELLS</t>
  </si>
  <si>
    <t>Williams, S.T. (2012). Advances in molecular systematics of the vetigastropod superfamily Trochoidea. Zoologica Scripta, 41, 571595. The gastropod superfamily Trochoidea Rafinesque, 1815 is comprised of a diverse range of species, including large and charismatic species of commercial value as well as many small or enigmatic taxa that are only recently being represented in molecular studies. This study includes the first sequences for rarely collected species from the genera Gaza Watson, 1879, Callogaza Dall, 1881, Antimargarita Powell, 1951 and Kaiparathina Laws, 1941. There is also greater taxon sampling of genera that have proved difficult to place in previous phylogenetic analyses, like Tectus Montfort, 1810, Tegula Lesson, 1832, Margarites Gray, 1847, Margarella Thiele, 1893 and trochoid skeneimorphs. There is also greater sampling of poorly represented families Solariellidae and Liotiidae. Bayesian analysis of combined gene data sets based on four (28S, 12S, 16S and COI) or five genes (plus 18S) suggests that there are eight, possibly nine families in Trochoidea including the families Margaritidae and Tegulidae, which are recognized for the first time at familial rank. Other trochoidean families confirmed are Calliostomatidae, Liotiidae, Skeneidae, Solariellidae, Trochidae and Turbinidae. A clade including Cittarium and the commercially important genera Rochia and Tectus may represent a possible ninth family, but this is not formally recognized or described here and awaits confirmation from further studies. Relationships among families were not generally well supported except in the 5-gene tree. In the 5-gene tree, Turbinidae, Liotiidae, Tegulidae, Cittarium, Rochia and Tectus form a well-supported clade consistent with the previous molecular and morphological studies linking these groups. This clade forms another well-supported clade with Margaritidae and Solariellidae. Trochidae is sister to Calliostomatidae with strong support. Subfamilial relationships within Trochidae are consistent with recent molecular studies, with the addition of one new subfamily, Kaiparathininae Marshall 1993 (previously a tribe). Only two subfamilies are recognized within Turbinidae, both with calcareous opercula: Prisogasterinae and Turbininae. Calliostomatidae includes a new subfamily Margarellinae. Its assignment to Calliostomatidae, although well supported by molecular evidence, is surprising considering morphological evidence.</t>
  </si>
  <si>
    <t>Nat Hist Museum, Dept Zool, London SW7 5BD, England</t>
  </si>
  <si>
    <t>Natural History Museum London</t>
  </si>
  <si>
    <t>Williams, ST (corresponding author), Nat Hist Museum, Dept Zool, Cromwell Rd, London SW7 5BD, England.</t>
  </si>
  <si>
    <t>s.williams@nhm.ac.uk</t>
  </si>
  <si>
    <t>Williams, Suzanne/A-9604-2008</t>
  </si>
  <si>
    <t>Williams, Suzanne/0000-0003-2995-5823</t>
  </si>
  <si>
    <t>Total Foundation; French Ministry of Foreign Affairs; Total Foundation for Biodiversity and the Sea; National University of Singapore; University of San Carlos; Lounsbery Foundation; Stavros Niarchos Foundation; Prince Albert II of Monaco Foundation</t>
  </si>
  <si>
    <t>Total Foundation(Total SA); French Ministry of Foreign Affairs; Total Foundation for Biodiversity and the Sea; National University of Singapore(National University of Singapore); University of San Carlos; Lounsbery Foundation; Stavros Niarchos Foundation; Prince Albert II of Monaco Foundation</t>
  </si>
  <si>
    <t>I am especially grateful to L. Smith, P. Dyal, K. Hopkins, J. Llewellyn-Hughes and C. Griffin for their expert help in the molecular laboratory. I also thank D. Herbert, B. Marshall, A. Waren, P. Bouchet, C. Hickman, J. McLean, Y. Kano and one anonymous reviewer for expert, constructive comments that helped improve the manuscript. I am also grateful to C. Hickman for access to an early version of her manuscript prior to publication, D. Reid for radula dissection of the new calliostomatid species, J. McLean for identifying liotiid species, A. Waren for a photo of Gaza huloti, and as always to H. Taylor for beautiful photos of all other taxa. I am very much grateful to the many people who have provided samples for my studies. New samples first used in this study were kindly provided by K. Linse (all Antarctic samples), P. Kuklinski (Svalbaard and Aleutian Islands), A. Waren (Gaza huloti and Protolira thorvaldssoni) P. Marko and A. Marko (Friday Harbour) and G. Williams (Hong Kong). I am especially grateful to P. Bouchet, who provided most of the remaining samples and to B. Buge, P. Maestrati, N. Puillandre, V. Heros and P. Lozouet for co-ordinating the loans. The MNHN material used in this study was collected during the following expeditions: PANGLAO 2004 Marine Biodiversity Project [a joint project between University of San Carlos, Cebu City (co-PI D. Largo) and MNHN (co-PI P. Bouchet], funded by the Total Foundation and the French Ministry of Foreign Affairs); PANGLAO 2005 deep-sea expedition [a collaboration between the MNHN (PI, P. Bouchet) and the Philippines Bureau of Fisheries and Aquatic Resources (PI, L. Labe) and was supported by the Total Foundation for Biodiversity and the Sea, French Ministry of Foreign Affairs, the National University of Singapore and the University of San Carlos; the AURORA 2007 cruise [M/V DA-BFAR associated the National Museum of the Philippines (co-PI M. Manuel), MNHN (co-PI P. Bouchet) and BFAR, funded through a grant from the Lounsbery Foundation]; the MNHN-IRD-PNI Santo 2006 expedition (funded by grants from, among others, the Total Foundation and the Stavros Niarchos Foundation); EBISCO, SALOMON2 and TERRASSES cruises [R/V Alis deployed from Noumea by the Institut de Recherche pour le Developpement (IRD)]; TAIWAN 2001 [from chartered commercial trawler off Dashi, PI, T. Y. Chan] and MAINBAZA and MIRIKY expeditions to Mozambique and Madagascar in 2009-2010, funded by the Total Foundation, Prince Albert II of Monaco Foundation and Stavros Niarchos Foundation, and conducted by MNHN and Pro-Natura International (PNI). I am also grateful to the following people for help in the field: B. Richer de Forges (IRD, Noumea) M. Pandolfi (Service de l'environnement marin, Noumea), J.-J. Cassan (Department of Economic Development and Environment, Noumea) and M. Hendrickx (Unidad Academica Mazatlan, Mexico).</t>
  </si>
  <si>
    <t>0300-3256</t>
  </si>
  <si>
    <t>1463-6409</t>
  </si>
  <si>
    <t>ZOOL SCR</t>
  </si>
  <si>
    <t>Zool. Scr.</t>
  </si>
  <si>
    <t>10.1111/j.1463-6409.2012.00552.x</t>
  </si>
  <si>
    <t>Evolutionary Biology; Zoology</t>
  </si>
  <si>
    <t>023KI</t>
  </si>
  <si>
    <t>WOS:000310030900003</t>
  </si>
  <si>
    <t>Barco, A; Schiaparelli, S; Houart, R; Oliverio, M</t>
  </si>
  <si>
    <t>Barco, Andrea; Schiaparelli, Stefano; Houart, Roland; Oliverio, Marco</t>
  </si>
  <si>
    <t>Cenozoic evolution of Muricidae (Mollusca, Neogastropoda) in the Southern Ocean, with the description of a new subfamily</t>
  </si>
  <si>
    <t>ANTARCTIC CIRCUMPOLAR CURRENT; GENUS TROPHON MONTFORT; POLONEZ COVE FORMATION; KING-GEORGE ISLAND; NEW-ZEALAND; PHYLOGENETIC ANALYSIS; GASTROPODA MURICIDAE; MOLECULAR PHYLOGENY; MODEL SELECTION; CLIMATE-CHANGE</t>
  </si>
  <si>
    <t>Barco, A., Schiaparelli, S., Houart, R. &amp; Oliverio, M. (2012). Cenozoic evolution of Muricidae (Mollusca, Neogastropoda) in the Southern Ocean, with the description of a new subfamily. Zoologica Scripta, 41, 596616. Gastropods are among the most studied group in Antarctica, and taxa with an advanced status of systematic knowledge can be used as a model to study how oceanographic and climatic patterns shaped Recent faunal assemblages. Within the ongoing study of the muricid phylogeny, we have analysed molecular and morphological data from species traditionally ascribed to the muricid subfamily Trophoninae. Particularly, the availability of specimens collected in the Southern Ocean and surrounding basins allowed to demonstrate as the genera Pagodula, Xymenopsis, Xymene and Trophonella, which are traditionally classified in the Trophoninae, actually belong to a distinct lineage, for which the new subfamily Pagodulinae is herein introduced. We propose and discuss a possible framework for the origin and radiation of Antarctic muricids.</t>
  </si>
  <si>
    <t>[Barco, Andrea; Oliverio, Marco] Univ Roma La Sapienza, Dipartimento Biol &amp; Biotecnol Charles Darwin, I-00185 Rome, Italy; [Schiaparelli, Stefano] Univ Genoa, Dipartimento Sci Terra Ambiente &amp; Vita Di STAV, I-16132 Genoa, Italy; [Houart, Roland] Inst Royal Sci Nat Belgique, B-1000 Brussels, Belgium</t>
  </si>
  <si>
    <t>Sapienza University Rome; University of Genoa</t>
  </si>
  <si>
    <t>Barco, A (corresponding author), Univ Roma La Sapienza, Dipartimento Biol &amp; Biotecnol Charles Darwin, Viale Univ 32, I-00185 Rome, Italy.</t>
  </si>
  <si>
    <t>andrea.barco@uniroma1.it; stefano.schiaparel-li@unige.it; roland.houart@gmail.com; marco.oliverio@uniroma1.it</t>
  </si>
  <si>
    <t>Schiaparelli, Stefano/AAI-4024-2020; Oliverio, Marco/F-2229-2010</t>
  </si>
  <si>
    <t>Schiaparelli, Stefano/0000-0002-0137-3605; Barco, Andrea/0000-0002-3963-1884; Oliverio, Marco/0000-0002-0316-4364</t>
  </si>
  <si>
    <t>Government of New Zealand; PNRA</t>
  </si>
  <si>
    <t>We thank Philippe Bouchet (Museum National d'Histoire naturelle, Paris), Serge Gofas (University of Malaga) and Bruce Marshall (Museum of New Zealand Te Papa Tongarewa, Wellington) for the loan of valuable non-Antarctic specimens. Alan Beu (GNS, Lower Hutt) provided criticisms and very useful comments on an early draft of the manuscript. We acknowledge the Italian Antarctic Museum (Section of Genoa) for the loan of Terra Nova Bay (TNB) material. Marine research activities at TNB have been performed during several Antarctic expeditions organized by the Italian Antarctic research programme (PNRA). We are indebted to A. Utevsky for the Trophonella echinolamellata specimen collected in the Bellinghausen Sea. We thank Anders Waren (Natural History Museum, Stockholm, Sweden) for the SEM picture of the radula of Trophonopsis muricatus. Two anonymous reviewers provided useful criticisms and suggestions. We thank the officers and crew of RV Tangaroa and all science staff who took part in the New Zealand IPY-CAML cruise TAN0802 (funded by the Government of New Zealand and administered by Land Information New Zealand and the Ministry of Fisheries) for their hard work and friendship. Anne-Nina Loerz, Kareen Schnabel and Sadie Mills (NIWA) are kindly acknowledged for having made available the material collected during several Tangaroa cruises in the Ross Sea, Chatham Rise and Challenger Plateau. We thank the Census of Antarctic Life (CAML) for providing funds for several barcoding initiatives during the IPY and Dirk Steinke (University of Guelph, Barcode of Life Data Systems, BOLD) for collaboration during these projects. This is CAML contribution #80 and BAMBi (Barcoding of Antarctic Marine Biodiversity) contribution #1. BAMBi is funded by PNRA.</t>
  </si>
  <si>
    <t>10.1111/j.1463-6409.2012.00554.x</t>
  </si>
  <si>
    <t>WOS:000310030900004</t>
  </si>
  <si>
    <t>Van de Vijver, B; Tavernier, I; Kellogg, TB; Gibson, J; Verleyen, E; Vyverman, W; Sabbe, K</t>
  </si>
  <si>
    <t>Van de Vijver, Bart; Tavernier, Ines; Kellogg, Thomas B.; Gibson, John; Verleyen, Elie; Vyverman, Wim; Sabbe, Koen</t>
  </si>
  <si>
    <t>Revision of type materials of antarctic diatom species (Bacillariophyta) described by West &amp; West (1911), with the description of two new. species</t>
  </si>
  <si>
    <t>FOTTEA</t>
  </si>
  <si>
    <t>Antarctica; Bacillariophyta; diatoms; morphology; new species; type material; West &amp; West</t>
  </si>
  <si>
    <t>MCMURDO DRY VALLEYS; FRESH-WATER; GENUS; ISLANDS; HILLS; FLORA; LAKES; NOV.</t>
  </si>
  <si>
    <t>In 1911, W. &amp; G.S. West published a detailed account of freshwater algae collected by James Murray in the vicinity of Cape Royds on Ross Island (Antarctic Continent). Out of of 84 algal taxa reported, 30 were diatoms. Although the majority of the diatoms were considered (at that time) to be cosmopolitan, eight diatom species and two varieties were described as new. While most of these new taxa are still commonly reported from Antarctic and Subantarctic localities, the exact identity of some remains uncertain. Here we document the morphology of these species from the original type material using light and scanning electron microscopy; the taxonomic identities are discussed and, where necessary, the taxonomy is updated. For several species, lectotypes are designated. In addition, two Antarctic species are described as new: Luticola pseudomurrayi VAN DE VIJVER et TAVERNIER sp. nov. and Chamaepinnularia gibsonii VAN DE VIJVER sp. nov.</t>
  </si>
  <si>
    <t>[Van de Vijver, Bart] Natl Bot Garden Belgium, Dept Bryophyta &amp; Thallophyta, B-1860 Meise, Belgium; [Tavernier, Ines; Verleyen, Elie; Vyverman, Wim; Sabbe, Koen] Univ Ghent, Dept Biol Protistol &amp; Aquat Ecol, B-9000 Ghent, Belgium; [Kellogg, Thomas B.] Univ Maine, Dept Geol Sci, Orono, ME 04469 USA; [Kellogg, Thomas B.] Inst Quaternary Studies, Orono, ME 04469 USA; [Gibson, John] Univ Tasmania, Inst Marine &amp; Antarctic Sci, Hobart, Tas, Australia</t>
  </si>
  <si>
    <t>Ghent University; University of Maine System; University of Maine Orono; University of Tasmania</t>
  </si>
  <si>
    <t>Van de Vijver, B (corresponding author), Natl Bot Garden Belgium, Dept Bryophyta &amp; Thallophyta, B-1860 Meise, Belgium.</t>
  </si>
  <si>
    <t>vandevijver@br.fgov.be</t>
  </si>
  <si>
    <t>CZECH PHYCOLOGICAL SOC</t>
  </si>
  <si>
    <t>PRAHA 2</t>
  </si>
  <si>
    <t>BENATSKA 2,, PRAHA 2, CZ-128 01, CZECH REPUBLIC</t>
  </si>
  <si>
    <t>1802-5439</t>
  </si>
  <si>
    <t>Fottea</t>
  </si>
  <si>
    <t>10.5507/fot.2012.012</t>
  </si>
  <si>
    <t>Plant Sciences</t>
  </si>
  <si>
    <t>017YU</t>
  </si>
  <si>
    <t>WOS:000309627900001</t>
  </si>
  <si>
    <t>Laakmann, S; Auel, H; Kochzius, M</t>
  </si>
  <si>
    <t>Laakmann, Silke; Auel, Holger; Kochzius, Marc</t>
  </si>
  <si>
    <t>Evolution in the deep sea: Biological traits, ecology and phylogenetics of pelagic copepods</t>
  </si>
  <si>
    <t>MOLECULAR PHYLOGENETICS AND EVOLUTION</t>
  </si>
  <si>
    <t>Phylogeny; Ecology; Deep sea; Speciation; Calanoid copepods</t>
  </si>
  <si>
    <t>POPULATION-STRUCTURE; CALANOID COPEPODS; GENETIC DIFFERENTIATION; REPRODUCTIVE ISOLATION; MOLECULAR PHYLOGENY; CRYPTIC SPECIATION; SEASONAL-VARIATION; EUKROHNIA-HAMATA; MARINE COPEPOD; ZOOPLANKTON</t>
  </si>
  <si>
    <t>Deep-sea biodiversity has received increasing interest in the last decade, mainly focusing on benthic communities. In contrast, studies of zooplankton in the meso- to bathypelagic zones are relatively scarce. In order to explore evolutionary processes in the pelagic deep sea, the present study focuses on copepods of two clausocalanoid families, Euchaetidae and Aetideidae, which are abundant and species-rich in the deep-sea pelagic realm. Molecular phylogenies based on concatenated-portioned data on 18S, 28S and internal transcribed spacer 2 (ITS2), as well as mitochondrial cytochrome c oxidase subunit I (COI), were examined on 13 species, mainly from Arctic and Antarctic regions, together with species-specific biological traits (i.e. vertical occurrence, feeding behaviour, dietary preferences, energy storage, and reproductive strategy). Relationships were resolved on genus, species and even sub-species levels, the latter two established by COI with maximum average genetic distances ranging from &lt;= 5.3% at the intra-specific, and 20.6% at the inter-specific level. There is no resolution at a family level, emphasising the state of Euchaetidae and Aetideidae as sister families and suggesting a fast radiation of these lineages, a hypothesis which is further supported by biological parameters. Euchaetidae were similar in lipid-specific energy storage, reproductive strategy, as well as feeding behaviour and dietary preference. In contrast, Aetideidae were more diverse, comprising a variety of characteristics ranging from similar adaptations within Paraeucha eta, to genera consisting of species with completely different reproductive and feeding ecologies. Reproductive strategies were generally similar within each aetideid genus, but differed between genera. Closely related species (congeners), which were similar in the aforementioned biological and ecological traits, generally occurred in different depth layers, suggesting that vertical partitioning of the water column represents an important mechanism in the speciation processes for these deep-sea copepods. High COI divergence between Arctic and Antarctic specimens of the mesopelagic cosmopolitan Gaetanus tenuispinus and the bipolar Aetideopsis minor suggest different geographic forms, potentially cryptic species or sibling species. On the contrary, Arctic and Antarctic individuals of the bathypelagic cosmopolitans Gaetanus brevispinus and Paraeuchaeta barbata were very similar in COI sequence, suggesting more gene flow at depth and/or that driving forces for speciation were less pronounced in bathypelagic than at mesopelagic depths. (C) 2012 Elsevier Inc. All rights reserved.</t>
  </si>
  <si>
    <t>[Laakmann, Silke] German Ctr Marine Biodivers Res DZMB, Senckenberg Res Inst, D-26382 Wilhelmshaven, Germany; [Auel, Holger] Univ Bremen, Marine Zool FB2, D-28334 Bremen, Germany; [Kochzius, Marc] Vrije Univ Brussel, B-1050 Brussels, Belgium</t>
  </si>
  <si>
    <t>Senckenberg Gesellschaft fur Naturforschung (SGN); University of Bremen; Vrije Universiteit Brussel</t>
  </si>
  <si>
    <t>Laakmann, S (corresponding author), German Ctr Marine Biodivers Res DZMB, Senckenberg Res Inst, Suedstrand 44, D-26382 Wilhelmshaven, Germany.</t>
  </si>
  <si>
    <t>slaakmann@senckenberg.de</t>
  </si>
  <si>
    <t>Kochzius, Marc/AAN-3799-2021</t>
  </si>
  <si>
    <t>Laakmann, Silke/0000-0003-3273-7907; Kochzius, Marc/0000-0001-8953-4719</t>
  </si>
  <si>
    <t>German Science Foundation (DFG) [AU 175/3]</t>
  </si>
  <si>
    <t>German Science Foundation (DFG)(German Research Foundation (DFG))</t>
  </si>
  <si>
    <t>We are grateful to the captain and crew of R/V Polarstern and R/V Maria S. Merian during the expeditions ANT XXIII-5 and MSM 02-4 for their skilful support. Meike Stumpp assisted in sampling and Anna Schukat as well as Merle Skischus in laboratory work. We thank Janna Peters and Isabella Stager for their supports in many ways. This study was funded by the German Science Foundation (DFG project AU 175/3).</t>
  </si>
  <si>
    <t>1055-7903</t>
  </si>
  <si>
    <t>1095-9513</t>
  </si>
  <si>
    <t>MOL PHYLOGENET EVOL</t>
  </si>
  <si>
    <t>Mol. Phylogenet. Evol.</t>
  </si>
  <si>
    <t>10.1016/j.ympev.2012.07.007</t>
  </si>
  <si>
    <t>Biochemistry &amp; Molecular Biology; Evolutionary Biology; Genetics &amp; Heredity</t>
  </si>
  <si>
    <t>018BY</t>
  </si>
  <si>
    <t>WOS:000309636200016</t>
  </si>
  <si>
    <t>Bartish, IV; Aïnouche, A; Jia, D; Bergstrom, D; Chown, SL; Winkworth, RC; Hennion, F</t>
  </si>
  <si>
    <t>Bartish, Igor V.; Ainouche, Abdelkader; Jia, Dongrui; Bergstrom, Dana; Chown, Steven L.; Winkworth, Richard C.; Hennion, Francoise</t>
  </si>
  <si>
    <t>Phylogeny and colonization history of Pringlea antiscorbutica (Brassicaceae), an emblematic endemic from the South Indian Ocean Province</t>
  </si>
  <si>
    <t>Ancestral area reconstruction; Biogeography; Long-distance dispersal; Molecular dating; Pliocene-Pleistocene glaciation; Sub-Antarctic islands</t>
  </si>
  <si>
    <t>ANTARCTIC ICE-SHEET; NEW-ZEALAND; WANDERING ALBATROSS; SATELLITE TRACKING; MOLECULAR EVIDENCE; DISPERSAL; EVOLUTION; BIOGEOGRAPHY; NUCLEAR; ORIGIN</t>
  </si>
  <si>
    <t>The origins and evolution of sub-Antarctic island floras are not well understood. In particular there is uncertainty about the ages of the contemporary floras and the ultimate origins of the lineages they contain. Pringlea R. Br. (Brassicaceae) is a monotypic genus endemic to four sub-Antarctic island groups in the southern Indian Ocean. Here we used sequences from both the chloroplast and nuclear genomes to examine the phylogenetic position of this enigmatic genus. Our analyses confirm that Pringlea falls within the tribe Thelypodieae and provide a preliminary view of its relationships within the group. Divergence time estimates and ancestral area reconstructions imply Pringlea diverged from a South American ancestor similar to 5 Myr ago. It remains unclear whether the ancestor of Pringlea dispersed directly to the South Indian Ocean Province (SIOP) or used Antarctica as a stepping-stone; what is clear, however, is that following arrival in the SIOP several additional long-distance dispersal events must be inferred to explain the current distribution of this species. Our analyses also suggest that although Pringlea is likely to have inherited cold tolerance from its closest relatives, the distinctive morphology of this species evolved only after it split from the South American lineage. More generally, our results lend support to the hypothesis that angiosperms persisted on the sub-Antarctic islands throughout the Pliocene and Pleistocene. Taken together with evidence from other sub-Antarctic island plant groups, they suggest the extant flora of sub-Antarctic is likely to have been assembled over a broad time period and from lineages with distinctive biogeographic histories. (C) 2012 Elsevier Inc. All rights reserved.</t>
  </si>
  <si>
    <t>[Bartish, Igor V.; Jia, Dongrui] Acad Sci Czech Republ, Inst Bot, CZ-25243 Pruhonice 1, Czech Republic; [Ainouche, Abdelkader; Hennion, Francoise] Univ Rennes 1, UMR Ecobio 6553, CNRS, F-35042 Rennes, France; [Jia, Dongrui] Charles Univ Prague, Dept Bot, CZ-12801 Prague, Czech Republic; [Bergstrom, Dana] Australian Antarctic Div, Kingston, Tas 7050, Australia; [Chown, Steven L.] Monash Univ, Sch Biol Sci, Clayton, Vic 3800, Australia; [Winkworth, Richard C.] Massey Univ, Inst Mol BioSci, Palmerston North, New Zealand</t>
  </si>
  <si>
    <t>Czech Academy of Sciences; Institute of Botany of the Czech Academy of Sciences; Universite de Rennes; Centre National de la Recherche Scientifique (CNRS); CNRS - Institute of Ecology &amp; Environment (INEE); Charles University Prague; Australian Antarctic Division; Monash University; Massey University</t>
  </si>
  <si>
    <t>Bartish, IV (corresponding author), Acad Sci Czech Republ, Inst Bot, CZ-25243 Pruhonice 1, Czech Republic.</t>
  </si>
  <si>
    <t>igor.bartish@ibot.cas.cz</t>
  </si>
  <si>
    <t>Bartish, Igor/G-1933-2014; Bergstrom, Dana/AAC-2837-2022; Hennion, Francoise/P-3356-2014; Chown, Steven/ABD-7646-2021; Chown, Steven/H-3347-2011</t>
  </si>
  <si>
    <t>Bartish, Igor/0000-0003-2909-6205; Bergstrom, Dana/0000-0001-8484-8954; Chown, Steven/0000-0001-6069-5105; Hennion, Francoise/0000-0001-5355-5614; Winkworth, Richard/0000-0001-5394-3094</t>
  </si>
  <si>
    <t>CNRS (CNRS-Universite de Rennes 1, France) [UMR 6553 Ecobio]; program 136; Academy of Sciences of the Czech Republic; CSC State Scholarship Fund, China; National Research Foundation of South Africa</t>
  </si>
  <si>
    <t>CNRS (CNRS-Universite de Rennes 1, France); program 136; Academy of Sciences of the Czech Republic(Czech Academy of Sciences); CSC State Scholarship Fund, China; National Research Foundation of South Africa(National Research Foundation - South Africa)</t>
  </si>
  <si>
    <t>This work was supported by funds from CNRS (UMR 6553 Ecobio, CNRS-Universite de Rennes 1, France) and IPEV (Plouzane, France) program 136 (Biosol, Y. Frenot; Ecobio, M. Lebouvier). IB was supported by a Purkine Fellowship from the Academy of Sciences of the Czech Republic. DJ was supported by the CSC State Scholarship Fund, China. SLC was supported by the National Research Foundation of South Africa.</t>
  </si>
  <si>
    <t>10.1016/j.ympev.2012.07.023</t>
  </si>
  <si>
    <t>WOS:000309636200034</t>
  </si>
  <si>
    <t>Baratelli, F; Giudici, M; Vassena, C</t>
  </si>
  <si>
    <t>Baratelli, Fulvia; Giudici, Mauro; Vassena, Chiara</t>
  </si>
  <si>
    <t>A sensitivity analysis for an evolution model of the Antarctic ice sheet</t>
  </si>
  <si>
    <t>RELIABILITY ENGINEERING &amp; SYSTEM SAFETY</t>
  </si>
  <si>
    <t>Glaciology; Thermomechanical modelling; Antarctic ice sheet; Normalized sensitivity; Prediction scaled sensitivity; First-order sensitivity index</t>
  </si>
  <si>
    <t>The evolution of the Antarctic ice sheet for the last 200,000 years is simulated with a finite difference thermomechanical model based on the shallow ice approximation. The model depends on the surface temperature, the ice accumulation rate, the geothermal heat flux and the basal sliding coefficient, which are estimated with large uncertainty. A second-order approximation of the model in a neighborhood of the reference values for these parameters permits the computation of both local and variance-based sensitivity indices. The results show the dominant effect of the surface temperature on the model predictions. (c) 2011 Elsevier Ltd. All rights reserved.</t>
  </si>
  <si>
    <t>[Baratelli, Fulvia; Giudici, Mauro; Vassena, Chiara] Univ Milan, Dipartimento Sci Terra A Desio, Sez Geofis, I-20129 Milan, Italy; [Baratelli, Fulvia] Univ Milan, Dipartimento Fis, I-20129 Milan, Italy</t>
  </si>
  <si>
    <t>University of Milan; University of Milan</t>
  </si>
  <si>
    <t>Giudici, M (corresponding author), Univ Milan, Dipartimento Sci Terra A Desio, Sez Geofis, Via Cicognara 7, I-20129 Milan, Italy.</t>
  </si>
  <si>
    <t>mauro.giudici@unimi.it</t>
  </si>
  <si>
    <t>GIUDICI, Mauro/A-5916-2013</t>
  </si>
  <si>
    <t>GIUDICI, Mauro/0000-0002-6703-5748; Baratelli, Fulvia/0000-0002-8918-3610</t>
  </si>
  <si>
    <t>PNRA Consortium</t>
  </si>
  <si>
    <t>This work is part of the project Exploration and characterisation of Antarctic subglacial lakes in the Dome C region supported by the PNRA Consortium.</t>
  </si>
  <si>
    <t>0951-8320</t>
  </si>
  <si>
    <t>1879-0836</t>
  </si>
  <si>
    <t>RELIAB ENG SYST SAFE</t>
  </si>
  <si>
    <t>Reliab. Eng. Syst. Saf.</t>
  </si>
  <si>
    <t>10.1016/j.ress.2011.07.003</t>
  </si>
  <si>
    <t>Engineering, Industrial; Operations Research &amp; Management Science</t>
  </si>
  <si>
    <t>Engineering; Operations Research &amp; Management Science</t>
  </si>
  <si>
    <t>014JB</t>
  </si>
  <si>
    <t>WOS:000309370600008</t>
  </si>
  <si>
    <t>Despland, E; Humire, R; San Martín, S</t>
  </si>
  <si>
    <t>Despland, Emma; Humire, Rolando; San Martin, Sandra</t>
  </si>
  <si>
    <t>Species Richness and Phenology of Butterflies along an Altitude Gradient in the Desert of Northern Chile</t>
  </si>
  <si>
    <t>DISTRIBUTION PATTERNS; PLANT DIVERSITY; LIFE-HISTORY; LEPIDOPTERA; ECOSYSTEMS; TEMPERATURE; VEGETATION; ELEVATION; RESPONSES; TRANSECT</t>
  </si>
  <si>
    <t>We use butterfly data from an arid subtropical elevation gradient to test temperate-zone hypotheses regarding altitude effects on diversity and phenology. Specifically, species richness is predicted to peak at mid-altitude on arid-zone mountains with opposite temperature and precipitation gradients, and phenological windows of activity are expected to be more synchronized, shorter, and later with altitude. A transect on the Pacific slope of the Andes in northern Chile (23 degrees S, 2400-5000 m a.s.l.) was observed fortnightly between October 2008 and June 2009. The 13 species observed showed high altitudinal and temporal turnover, dividing the transect into three entomofaunal zones that follow well-documented altitudinal vegetation belts. Species richness peaked at mid-altitude in the Puna shrub belt, the zone with highest plant productivity and diversity, supporting McCain's water-temperature hypothesis. Community-level predictions about phenology were not met: instead, the flight period began earlier at high altitude, presumably due to earlier water availability, and neither synchronization nor duration of flight periods varied consistently with altitude. At the species level, relationships between butterfly phenology and altitude were variable, suggesting no direct effect of altitude but rather complex effects of changing environmental conditions that vary according to individual species' ecological requirements, host plant use, and lifecycle.</t>
  </si>
  <si>
    <t>[Despland, Emma] Concordia Univ, Dept Biol, Montreal, PQ H4B 1R6, Canada; [Despland, Emma] Univ Chile, Fac Ciencias, Inst Ecol &amp; Biodiversidad, Fac Ecol &amp; Biodiversidad, Santiago, Chile; [Humire, Rolando] Soc Naturalista San Pedro de Atacama, San Pedro De Atacama, Chile; [San Martin, Sandra] Univ Catolica Temuco, Temuco, Chile</t>
  </si>
  <si>
    <t>Concordia University - Canada; Universidad de Chile; Universidad Catolica de Temuco</t>
  </si>
  <si>
    <t>Despland, E (corresponding author), Concordia Univ, Dept Biol, 7141 Sherbrooke W, Montreal, PQ H4B 1R6, Canada.</t>
  </si>
  <si>
    <t>Despland@alcor.concordia.ca</t>
  </si>
  <si>
    <t>Despland, Emma/ABI-5924-2020</t>
  </si>
  <si>
    <t>ALMA radio observatory</t>
  </si>
  <si>
    <t>Thank you to the ALMA radio observatory for funding and access to the site, and to the APEX radio observatory for the weather data. We also thank Mary Arroyo (Universidad de Chile) and Gina Arancio (Universidad de la Serena) for help with plant identifications and Ariel Camousseight of the Museo Nacional de Historia Natural (Santiago) for access to their insect collections. Thanks to Dubi Benyamini for discussions.</t>
  </si>
  <si>
    <t>10.1657/1938-4246-44.4.423</t>
  </si>
  <si>
    <t>WOS:000311010700004</t>
  </si>
  <si>
    <t>Grogan, P</t>
  </si>
  <si>
    <t>Grogan, Paul</t>
  </si>
  <si>
    <t>Cold Season Respiration across a Low Arctic Landscape: the Influence of Vegetation Type, Snow Depth, and Interannual Climatic Variation</t>
  </si>
  <si>
    <t>CARBON-DIOXIDE EXCHANGE; EDDY COVARIANCE MEASUREMENTS; ECOSYSTEM CO2 PRODUCTION; SODA-LIME; MICROBIAL ACTIVITY; NORTHERN ALASKA; TUNDRA; WINTER; SOIL; TEMPERATURE</t>
  </si>
  <si>
    <t>Cold season respiration may significantly affect arctic terrestrial ecosystem annual net carbon balances. Here, the influences of vegetation type, experimentally deepened snow, and interannual climatic variation on total cold season CO2 efflux were investigated in a Canadian low arctic site containing dry heath, tall birch understory, birch hummock, and wet sedge ecosystems. Total efflux ranged from 34 to 126 g CO2-C m(-2) among the vegetation types, with the tall birch understory respiring at least twice that of the birch hummock and four times that of either the dry heath or wet sedge. This variation did not correlate with soil temperature differences alone, but instead was attributed to ecosystem-specific interactions between snow depth, vegetation canopy cover, soil temperature, and moisture, as well as differences in plant biomass and litter production. Respiration from the birch hummock site was twice as high in 2006/2007 (the year of relatively warm fall and late winter soil temperature phases) as compared to 2004/2005, and was enhanced by the snow fence treatment only in the latter year. Together, these data demonstrate that cold season CO2 release differs substantially among tundra vegetation types, and strongly suggest that these effluxes can significantly offset growing season carbon gains, resulting in annual net carbon losses in some years.</t>
  </si>
  <si>
    <t>Queens Univ, Dept Biol, Kingston, ON K7L 3N6, Canada</t>
  </si>
  <si>
    <t>Queens University - Canada</t>
  </si>
  <si>
    <t>Grogan, P (corresponding author), Queens Univ, Dept Biol, Kingston, ON K7L 3N6, Canada.</t>
  </si>
  <si>
    <t>groganp@queensu.ca</t>
  </si>
  <si>
    <t>Natural Sciences and Engineering Research Council of Canada (NSERC); Northern Scientific Training Program (NSTP)</t>
  </si>
  <si>
    <t>Natural Sciences and Engineering Research Council of Canada (NSERC)(Natural Sciences and Engineering Research Council of Canada (NSERC)); Northern Scientific Training Program (NSTP)</t>
  </si>
  <si>
    <t>I thank Haiyan Chu, Mat Vankoughnett, Meghan Laidlaw, Erik Zufelt, Elyn Humphreys, Mike Treberg, and Peter Lafleur for help in the field. Many thanks to Katherine Stewart and Darwyn Coxson for the field lab analyses of chamber headspace CO2 concentrations. Bob Reid (Department of Indian and Northern Affairs Canada) kindly provided the Daring Lake weather station data. Many thanks to Elyn Humphreys for providing soil temperature data for nearby wet sedge ecosystem at Daring Lake, and for collecting snow-depth data in April 2007. I am grateful to Steve Matthews, Karin Clark, and Andy Kritsch for logistical assistance, and to the Department of Environment and Natural Resources, Government of Northwest Territories, for the facilities at the Tundra Ecosystem Research Station (TERS) at Daring Lake. This research was funded by Natural Sciences and Engineering Research Council of Canada (NSERC) and the Northern Scientific Training Program (NSTP).</t>
  </si>
  <si>
    <t>10.1657/1938-4246-44.4.446</t>
  </si>
  <si>
    <t>WOS:000311010700006</t>
  </si>
  <si>
    <t>Kelsey, KC; Wickland, KP; Striegl, RG; Neff, JC</t>
  </si>
  <si>
    <t>Kelsey, Katharine C.; Wickland, Kimberly P.; Striegl, Robert G.; Neff, Jason C.</t>
  </si>
  <si>
    <t>Variation in Soil Carbon Dioxide Efflux at Two Spatial Scales in a Topographically Complex Boreal Forest</t>
  </si>
  <si>
    <t>BLACK SPRUCE FOREST; ORGANIC-MATTER; WATER-CONTENT; RESPIRATION; TEMPERATURE; CLIMATE; DECOMPOSITION; VARIABILITY; PATTERNS; EXCHANGE</t>
  </si>
  <si>
    <t>Carbon dynamics of high-latitude regions are an important and highly uncertain component of global carbon budgets, and efforts to constrain estimates of soil-atmosphere carbon exchange in these regions are contingent on accurate representations of spatial and temporal variability in carbon fluxes. This study explores spatial and temporal variability in soil-atmosphere carbon dynamics at both fine and coarse spatial scales in a high-elevation, permafrost-dominated boreal black spruce forest. We evaluate the importance of landscape-level investigations of soil-atmosphere carbon dynamics by characterizing seasonal trends in soil-atmosphere carbon exchange, describing soil temperature-moisture-respiration relations, and quantifying temporal and spatial variability at two spatial scales: the plot scale (0-5 m) and the landscape scale (500-1000 m). Plot-scale spatial variability (average variation on a given measurement day) in soil CO2 efflux ranged from a coefficient of variation (CV) of 0.25 to 0.69, and plot-scale temporal variability (average variation of plots across measurement days) in efflux ranged from a CV of 0.19 to 0.36. Landscape-scale spatial and temporal variability in efflux was represented by a CV of 0.40 and 0.31, respectively, indicating that plot-scale spatial variability in soil respiration is as great as landscape-scale spatial variability at this site. While soil respiration was related to soil temperature at both the plot- and landscape scale, landscape-level descriptions of soil moisture were necessary to define soil respiration moisture relations. Soil moisture variability was also integral to explaining temporal variability in soil respiration. Our results have important implications for research efforts in high-latitude regions where remote study sites make landscape-scale field campaigns challenging.</t>
  </si>
  <si>
    <t>[Kelsey, Katharine C.; Wickland, Kimberly P.; Striegl, Robert G.] US Geol Survey, Boulder, CO 80303 USA; [Neff, Jason C.] Univ Colorado, Dept Geol Sci, Boulder, CO 80309 USA; [Kelsey, Katharine C.] Univ Colorado, Environm Studies Program, Boulder, CO 80309 USA</t>
  </si>
  <si>
    <t>United States Department of the Interior; United States Geological Survey; University of Colorado System; University of Colorado Boulder; University of Colorado System; University of Colorado Boulder</t>
  </si>
  <si>
    <t>Kelsey, KC (corresponding author), US Geol Survey, 3215 Marine St,Suite E 127, Boulder, CO 80303 USA.</t>
  </si>
  <si>
    <t>kelseykc@colorado.edu</t>
  </si>
  <si>
    <t>Wickland, Kimberly/AAU-2963-2021</t>
  </si>
  <si>
    <t>Wickland, Kimberly/0000-0002-6400-0590; NEFF, JASON/0000-0002-8290-1472; Kelsey, Katharine/0000-0002-4631-8538</t>
  </si>
  <si>
    <t>U.S. Geological Survey National Research Program Climate and Land Use Change Mission Area; DOI Youth Funding Initiative</t>
  </si>
  <si>
    <t>We would like to acknowledge J. Crawford, B. Metcalf, D. Halm, J. Koch, M. Dornblaser, T. Stets, S. Jepsen, M. McHale, D. Repert, and D. Fernandez for laboratory, field, and analytical assistance with this work. Suggestions and comments from N. Fierer, J. O'Donnell, A. Ballentyne, and two anonymous reviewers greatly improved this manuscript. Funding was provided by the U.S. Geological Survey National Research Program Climate and Land Use Change Mission Area, and DOI Youth Funding Initiative. Any use of trade, firm, or product names is for descriptive purposes only and does not imply endorsement by the U.S. Government.</t>
  </si>
  <si>
    <t>10.1657/1938-4246-44.4.457</t>
  </si>
  <si>
    <t>WOS:000311010700007</t>
  </si>
  <si>
    <t>Lupascu, M; Wadham, JL; Hornibrook, ERC; Pancost, RD</t>
  </si>
  <si>
    <t>Lupascu, M.; Wadham, J. L.; Hornibrook, E. R. C.; Pancost, R. D.</t>
  </si>
  <si>
    <t>Temperature Sensitivity of Methane Production in the Permafrost Active Layer at Stordalen, Sweden: a Comparison with Non-permafrost Northern Wetlands</t>
  </si>
  <si>
    <t>LENA DELTA; METHANOGENIC ARCHAEA; VASCULAR PLANTS; CH4 PRODUCTION; BOREAL FOREST; WATER-TABLE; PEAT; CARBON; EMISSIONS; CLIMATE</t>
  </si>
  <si>
    <t>Relationships were determined between methane (CH4) production and in situ conditions within the permafrost active layer during a single melt season at Stordalen, Sweden, with a specific emphasis on temperature sensitivity of methanogenesis. In situ temperature, moisture, pH, dissolved organic carbon, and CH4 concentration data were measured at three contrasting active layer sites (sedge mire, Sphagnum mire, and ombrotrophic bog), and laboratory incubations of active layer material were subsequently employed to determine the sensitivity of CH4 production to temperature. Q(10) values, describing the CH4 production response of peat to a temperature change of 10 degrees C, ranged from 1.9 to 3.5 and 2.4 to 5.8 for the sedge and Sphagnum mire sites, respectively. A wider review of the literature on Q(10) responses of methanogenesis in northern peatlands shows similar features to the temperature response of CH4 production in the active layer at Stordalen. In general, Q(10) to values are not significantly different in Arctic permafrost wetlands than non-Arctic northern wetlands; however, Sphagnum sites display Q(10) responses (mean Q(10) = 8) that are notably greater than that of wetter minerotrophic-sedge environments (mean Q(10) = 4.3). This finding has implications for the parameterization of Q(10) factors in numerical carbon cycling models, and suggests that the use of spatially variable Q(10) values could be a useful approach for more accurate modeling of CH4 fluxes front northern wetlands under different climatic change scenarios.</t>
  </si>
  <si>
    <t>[Lupascu, M.; Wadham, J. L.] Univ Bristol, Bristol Glaciol Ctr, Bristol BS8 1SS, Avon, England; [Hornibrook, E. R. C.] Univ Bristol, Bristol Biogeochem Res Ctr, Bristol BS8 1RJ, Avon, England; [Hornibrook, E. R. C.] Univ Bristol, Cabot Inst, Sch Earth Sci, Bristol BS8 1RJ, Avon, England; [Pancost, R. D.] Univ Bristol, Sch Chem, Bristol BS8 1TS, Avon, England</t>
  </si>
  <si>
    <t>University of Bristol; University of Bristol; University of Bristol; University of Bristol</t>
  </si>
  <si>
    <t>Lupascu, M (corresponding author), Univ Calif Irvine, Dept Earth Syst Sci, Croul Hall, Irvine, CA 92697 USA.</t>
  </si>
  <si>
    <t>mlupascu@uci.edu</t>
  </si>
  <si>
    <t>Wadham, Jemma L/G-3138-2014; Hornibrook, Edward RC/D-2837-2013; Wadham, Jemma L/A-8352-2012; Lupascu, Massimo/AAA-3051-2021; Lupascu, Massimo/AAD-8686-2021</t>
  </si>
  <si>
    <t>Lupascu, Massimo/0000-0002-0416-629X; Pancost, Richard/0000-0003-0298-4026; Hornibrook, Edward/0000-0003-4678-0180</t>
  </si>
  <si>
    <t>EU; UK Joint Higher Education Funding Council for England; Office of Science and Technology Science Research Investment Fund (SRIF); Biotechnology and Biological Sciences Research Council [1239307] Funding Source: researchfish; Natural Environment Research Council [lsmsf010001, NE/E004016/1] Funding Source: researchfish; NERC [lsmsf010001, NE/E004016/1] Funding Source: UKRI</t>
  </si>
  <si>
    <t>EU(European Union (EU)); UK Joint Higher Education Funding Council for England; Office of Science and Technology Science Research Investment Fund (SRIF); Biotechnology and Biological Sciences Research Council(UK Research &amp; Innovation (UKRI)Biotechnology and Biological Sciences Research Council (BBSRC)); Natural Environment Research Council(UK Research &amp; Innovation (UKRI)Natural Environment Research Council (NERC)); NERC(UK Research &amp; Innovation (UKRI)Natural Environment Research Council (NERC))</t>
  </si>
  <si>
    <t>This work was supported by a Marie Curie PhD Fellowship to M. Lupascu via the EU Early Stage Training Programme Biotransformations of trace elements in aquatic systems. We thank Professor Torben Christensen for his input in relation to sampling at Abisko and for providing access to the field site. We thank the staff at the Abisko Research Station and at the University of Bristol for assistance during fieldwork and laboratory analysis. The UK Joint Higher Education Funding Council for England and Office of Science and Technology Science Research Investment Fund (SRIF) are thanked for infrastructure funding. Work was conducted in the Low Temperature Experimental and BIOGAS Facilities in Bristol.</t>
  </si>
  <si>
    <t>10.1657/1938-4246-44.4.469</t>
  </si>
  <si>
    <t>WOS:000311010700008</t>
  </si>
  <si>
    <t>Montevecchi, WA; Hedd, A; Tranquilla, LM; Fifield, DA; Burke, CM; Regular, PM; Davoren, GK; Garthe, S; Robertson, GJ; Phillips, RA</t>
  </si>
  <si>
    <t>Montevecchi, W. A.; Hedd, A.; Tranquilla, L. McFarlane; Fifield, D. A.; Burke, C. M.; Regular, P. M.; Davoren, G. K.; Garthe, S.; Robertson, G. J.; Phillips, R. A.</t>
  </si>
  <si>
    <t>Tracking seabirds to identify ecologically important and high risk marine areas in the western North Atlantic</t>
  </si>
  <si>
    <t>BIOLOGICAL CONSERVATION</t>
  </si>
  <si>
    <t>Biodiversity hotspots; Marine Protected Areas; Risk; Seabirds; Tracking</t>
  </si>
  <si>
    <t>COMMON MURRES; FORAGING TACTICS; MIGRATION; CONSERVATION; PREDATOR; SEA; ALBATROSSES; MORTALITY; FISHERIES; LABRADOR</t>
  </si>
  <si>
    <t>Protection of the marine environment lags far behind that of terrestrial domains. To help ameliorate this circumstance, top predators are being tracked to identify important ocean habitats, biodiversity hotspots and high risk areas and to assess effects of anthropogenic developments, pollution and environmental perturbations. We used GPS, Global Location Sensors (GLSs) and satellite platform terminal transmitters (PTTs) to track foraging and migrating thick-billed and common murres and northern gannets along with vessel surveys to identify potential Marine Protected Areas, to assess risk and to evaluate the consequences of the recent Gulf of Mexico oil disaster. Multi-year persistent sites of forage fishes generated multi-species predator aggregations. Species- and colony-specific winter inshore and offshore distributions of murres are associated with risks of climate change (ice), by-catch in fishing gear, hunting and oil extraction. Some thick-billed murres wintered in oceanic areas beyond the continental slope, and an area of high biological diversity was identified west of the Mid-Atlantic Ridge that, owing to its location beyond national jurisdictions, presents unique challenges for protection. Migration research indicated a substantial proportion of the North American gannet population wintering in the Gulf of Mexico near the Deepwater Horizon pollution area. Northern gannets incurred the highest incidence of oiling/recoveries and were the third-most oiled avian species; distributions and exit dates suggest that sub-adult birds suffered much, likely most, of this mortality. Environmental risk is being assessed by tracking combined with stable isotope and blood assays to probe trophic interactions, habitat relationships and to identify and protect biologically significant marine areas. (c) 2012 Elsevier Ltd. All rights reserved.</t>
  </si>
  <si>
    <t>[Montevecchi, W. A.; Hedd, A.; Tranquilla, L. McFarlane; Fifield, D. A.; Burke, C. M.; Regular, P. M.] Mem Univ, Dept Psychol, Cognit &amp; Behav Ecol Program, St John, NF A1C 3X9, Canada; [Davoren, G. K.] Univ Manitoba, Dept Zool, Winnipeg, MB R3T 2N2, Canada; [Garthe, S.] Univ Kiel, Res &amp; Technol Ctr FTZ, Busum, Germany; [Robertson, G. J.] Environm Canada, Sci &amp; Technol Branch, Mt Pearl, NL A1N 4T3, Canada; [Phillips, R. A.] British Antarctic Survey, Nat Environm Res Council, Cambridge CB3 0ET, England</t>
  </si>
  <si>
    <t>Memorial University Newfoundland; University of Manitoba; University of Kiel; Environment &amp; Climate Change Canada; UK Research &amp; Innovation (UKRI); Natural Environment Research Council (NERC); NERC British Antarctic Survey</t>
  </si>
  <si>
    <t>Montevecchi, WA (corresponding author), Mem Univ Newfoundland, Dept Psychol, St John, NF A1B 3X9, Canada.</t>
  </si>
  <si>
    <t>mont@mun.ca; ahedd@mun.ca; 1.mcfarlane.tranquilla@gmail.com; dave@mun.ca; chantelb@mun.ca; b23pmr@mun.ca; davor-eng@cc.umanitoba.ca; garthe@ftz-westuni-kiel.de; Greg.Robertson@ec.gc.ca; raphil@bas.ac.uk</t>
  </si>
  <si>
    <t>Robertson, Greg/AAI-5849-2020; Regular, Paul/AAY-5741-2021</t>
  </si>
  <si>
    <t>Robertson, Greg/0000-0001-8452-5506; Regular, Paul/0000-0003-0318-2615; Hedd, April/0000-0003-2222-2627</t>
  </si>
  <si>
    <t>International Polar Year Program; NSERC; Memorial University of Newfoundland; Environment Canada; Wildlife Habitat Canada; Northern Studies Training Program; NERC [bas0100025] Funding Source: UKRI; Natural Environment Research Council [bas0100025] Funding Source: researchfish</t>
  </si>
  <si>
    <t>International Polar Year Program; NSERC(Natural Sciences and Engineering Research Council of Canada (NSERC)); Memorial University of Newfoundland; Environment Canada(CGIAR); Wildlife Habitat Canada; Northern Studies Training Program; NERC(UK Research &amp; Innovation (UKRI)Natural Environment Research Council (NERC)); Natural Environment Research Council(UK Research &amp; Innovation (UKRI)Natural Environment Research Council (NERC))</t>
  </si>
  <si>
    <t>We thank Rob Ronconi, Ben Lascelles, Jim Reid and Gary Langham for organizing and inviting our participation in the symposium at the first World Seabird Conference. We acknowledge Seaturtle.org for use of the STAT tool in the analysis and mapping of satellite tracked murres and gannets and corresponding oceanographic information. Our research has been generously supported by the International Polar Year Program, NSERC, Memorial University of Newfoundland, Environment Canada, Wildlife Habitat Canada and the Northern Studies Training Program.</t>
  </si>
  <si>
    <t>0006-3207</t>
  </si>
  <si>
    <t>1873-2917</t>
  </si>
  <si>
    <t>BIOL CONSERV</t>
  </si>
  <si>
    <t>Biol. Conserv.</t>
  </si>
  <si>
    <t>10.1016/j.biocon.2011.12.001</t>
  </si>
  <si>
    <t>Biodiversity Conservation; Ecology; Environmental Sciences</t>
  </si>
  <si>
    <t>071MZ</t>
  </si>
  <si>
    <t>WOS:000313599000008</t>
  </si>
  <si>
    <t>Giordano, G; Lucci, F; Phillips, D; Cozzupoli, D; Runci, V</t>
  </si>
  <si>
    <t>Giordano, Guido; Lucci, Federico; Phillips, David; Cozzupoli, Domenico; Runci, Valentina</t>
  </si>
  <si>
    <t>Stratigraphy, geochronology and evolution of the Mt. Melbourne volcanic field (North Victoria Land, Antarctica)</t>
  </si>
  <si>
    <t>BULLETIN OF VOLCANOLOGY</t>
  </si>
  <si>
    <t>Antarctica; Explosive volcanism; Geochronology; Mt. Melbourne; Geochemistry</t>
  </si>
  <si>
    <t>ROSS SEA REGION; TERRA-NOVA-BAY; CHEMICAL CLASSIFICATION; MOUNT MELBOURNE; ICE; ERUPTION; HISTORY; CRUSTAL; ZONE; AGES</t>
  </si>
  <si>
    <t>Mt. Melbourne (2,732 m a.s.l.) is a large quiescent stratovolcano located in Northern Victoria Land (Antarctica) and is one of a handful of volcanoes on the Antarctic plate with the potential for large-scale explosive eruptions. During the XVIII Italian Expedition in 2002-2003, the Mt. Melbourne volcanic succession was studied in terms of stratigraphy and sampled for 40Ar/39Ar age determinations and geochemistry. The early, Lower Pleistocene, volcanism was largely alkali basaltic to hawaiitic in composition and monogenetic in style, producing tens of small scoria cones and lava flows scattered over a wide area across the Transantarctic Mountains (Random Hills Period). During the Middle Pleistocene, volcanic activity focused to the area of the Mt. Melbourne stratovolcano, where several monogenetic centres show the transition from early sub-glacial/subaqueous conditions to emergent subaerial conditions (Shield Nunatak Period). The oldest exposed deposit associated with the early activity of the Mt. Melbourne stratovolcano (Mt. Melbourne Period) is a trachytic subaerial ignimbrite dated at 123.6 +/- 6.0 ka, which reflects the establishment of a crustal magma chamber. Above the ignimbrite a succession of alkali basaltic, hawaiitic, and subordinate benmoreitic lavas and scoria cones is exposed, dated at 90.7 +/- 19.0 ka. The Holocene deposits are exposed at the top of Mt. Melbourne, where the crater rim is composed of trachytic to rhyolitic pumice fall deposits, which are also extensively dispersed around the volcano, likely originated from Plinian-scale eruptions. The most recent explosive deposit proved difficult to date accurately because very low quantities of radiogenic 40Ar were released, resulting in imprecise plateau ages of 50 +/- 70 and 35 +/- 22 ka.</t>
  </si>
  <si>
    <t>[Giordano, Guido; Lucci, Federico; Cozzupoli, Domenico; Runci, Valentina] Univ Roma Tre, Dipartimento Sci Geol, I-00146 Rome, Italy; [Phillips, David] Univ Melbourne, Dept Geol Sci, Melbourne, Vic, Australia</t>
  </si>
  <si>
    <t>Roma Tre University; Melbourne Genomics Health Alliance; University of Melbourne</t>
  </si>
  <si>
    <t>Giordano, G (corresponding author), Univ Roma Tre, Dipartimento Sci Geol, Largo S Leonardo Murialdo 1, I-00146 Rome, Italy.</t>
  </si>
  <si>
    <t>giordano@uniroma3.it</t>
  </si>
  <si>
    <t>Giordano, Guido/ABC-4130-2021; Verstraete, Alain G/B-4150-2013; Lucci, Federico/AAW-2369-2021</t>
  </si>
  <si>
    <t>Verstraete, Alain G/0000-0002-0956-3315; Lucci, Federico/0000-0002-9058-2061; Phillips, David/0000-0001-7256-6730; GIORDANO, Guido/0000-0002-5819-443X</t>
  </si>
  <si>
    <t>PNRA [4.4]</t>
  </si>
  <si>
    <t>PNRA</t>
  </si>
  <si>
    <t>This work was funded by PNRA 2002-2003 Project 4.4 (coordinator R. Funiciello). The work benefited of comments by J. Gamble and L. Viereck-Gotte on an earlier version and of anonymous reviewers. We also acknowledge J. White and E. Calder for the editorial responsibility. GG thanks P. Pertusati, the alpine guides Palla and Igor and the helicopter pilots Nigel and Steve for the unvaluable and precious help in the field.</t>
  </si>
  <si>
    <t>0258-8900</t>
  </si>
  <si>
    <t>1432-0819</t>
  </si>
  <si>
    <t>B VOLCANOL</t>
  </si>
  <si>
    <t>Bull. Volcanol.</t>
  </si>
  <si>
    <t>10.1007/s00445-012-0643-8</t>
  </si>
  <si>
    <t>025VX</t>
  </si>
  <si>
    <t>WOS:000310225400005</t>
  </si>
  <si>
    <t>Zheng, F; Li, JP</t>
  </si>
  <si>
    <t>Zheng Fei; Li Jian-Ping</t>
  </si>
  <si>
    <t>Impact of preceding boreal winter southern hemisphere annular mode on spring precipitation over south China and related mechanism</t>
  </si>
  <si>
    <t>CHINESE JOURNAL OF GEOPHYSICS-CHINESE EDITION</t>
  </si>
  <si>
    <t>Chinese</t>
  </si>
  <si>
    <t>Southern Hemisphere Annular Mode (SAM); Spring rainfall over south China; Sea surface temperature anomalies (SSTA); Ocean-atmosphere coupled bridge</t>
  </si>
  <si>
    <t>SEA-SURFACE TEMPERATURE; ANTARCTIC OSCILLATION; VARIABILITY; CIRCULATION; ANOMALIES</t>
  </si>
  <si>
    <t>The impact of the preceding boreal winter (December-February) Southern Hemisphere Annular Mode (SAM) on spring (March-May) rainfall over South China (RSC) and related physical mechanism were examined statistically by methods such as correlation analysis, composite analysis, singular value decomposition (SVD) and numerical simulation. The results show that there is a significant negative correlation relationship between the preceding winter SAM and spring RSC. That is, winters with strong (weak) SAM are often followed by less (more) RSC. In order to understand the physical mechanism of this relationship between signals from Southern Hemisphere mid-high latitudes and RSC in the following season, the role of ocean as underlying surface was investigated. It was found by diagnostic analyzing that in winters with strong SAM, latent heat fluxes change because of the change in sea surface wind speed, thus leading to positive (negative) SSTA in 30 degrees S-45 degrees S (45 degrees-70 degrees S). Because of large heat capacity of the ocean, the SSTA pattern persists to the following spring. Results from diagnostic analysis show that these SSTA lead to a series of consequence: Northwestern Pacific subtropical high weakens and the ridge extends less to west than normal years; an abnormal cyclonic circulation exists over West Pacific region; South China (SC) is controlled by abnormal northeast wind and wind divergence; water vapor transport to SC weakens, all these conditions lead to less RSC. The circulation anomalies related with SSTA caused by weak SAM are reversed, thus leading to more RSC. SST sensibility experiments carried out by CAM3 further certify above-mentioned circulation anomalies caused by SSTA. Results show that SSTA related with strong SAM lead to abnormal northeast wind, wind divergence, sinking movement over SC, thus leading to less RSC. In short, the winter SAM can impact the following spring RSC through SSTA in middle and high latitude in Southern Hemisphere, a manifestation of ocean-atmosphere coupled bridge. The results imply that preceding winter SAM provides a significative prophase signature for forecasting spring RSC.</t>
  </si>
  <si>
    <t>[Zheng Fei; Li Jian-Ping] Chinese Acad Sci, Inst Atmospher Phys, State Key Lab Numer Modeling Atmospher Sci &amp; Geop, Beijing 100029, Peoples R China; [Zheng Fei] Univ Chinese Acad Sci, Beijing 100049, Peoples R China</t>
  </si>
  <si>
    <t>Chinese Academy of Sciences; Institute of Atmospheric Physics, CAS; Chinese Academy of Sciences; University of Chinese Academy of Sciences, CAS</t>
  </si>
  <si>
    <t>Zheng, F (corresponding author), Chinese Acad Sci, Inst Atmospher Phys, State Key Lab Numer Modeling Atmospher Sci &amp; Geop, Beijing 100029, Peoples R China.</t>
  </si>
  <si>
    <t>zhengfei08@mail.iap.ac.cn; ljp@lasg.iap.ac.cn</t>
  </si>
  <si>
    <t>Zheng, Fei/K-7257-2012; Zheng, Fei/AAQ-4559-2020; Zheng, Fei/AAV-7512-2021; Li, Jianping/I-2661-2012</t>
  </si>
  <si>
    <t>Zheng, Fei/0000-0001-6135-6148; Zheng, Fei/0000-0001-6135-6148;</t>
  </si>
  <si>
    <t>0001-5733</t>
  </si>
  <si>
    <t>CHINESE J GEOPHYS-CH</t>
  </si>
  <si>
    <t>Chinese J. Geophys.-Chinese Ed.</t>
  </si>
  <si>
    <t>10.6038/j.issn.0001-5733.2012.11.004</t>
  </si>
  <si>
    <t>047AZ</t>
  </si>
  <si>
    <t>WOS:000311811400004</t>
  </si>
  <si>
    <t>Bouman, HA; Lepère, C; Scanlan, DJ; Ulloa, O</t>
  </si>
  <si>
    <t>Bouman, Heather A.; Lepere, Cecile; Scanlan, David J.; Ulloa, Osvaldo</t>
  </si>
  <si>
    <t>Phytoplankton community structure in a high-nutrient, low-chlorophyll region of the eastern Pacific Subantarctic region during winter-mixed and summer-stratified conditions</t>
  </si>
  <si>
    <t>Picophytoplankton; Community structure; Subantarctic; Southern Ocean; HNLC; HPLC pigments; Molecular probes</t>
  </si>
  <si>
    <t>SOUTHERN-OCEAN; ATLANTIC SECTOR; EUKARYOTIC ULTRAPHYTOPLANKTON; DISTRIBUTION PATTERNS; PIGMENT; DIVERSITY; SIZE; IRON; ABUNDANCE; WATERS</t>
  </si>
  <si>
    <t>Phytoplankton community structure was analysed in the Subantarctic sector of the eastern South Pacific, a high-nutrient, low-chlorophyll (HNLC) region, during a period of deep vertical mixing (austral winter Aug-Oct, 2005) when Antarctic Intermediate Water (AAIW) gets formed, and during a period of water-column stratification characterised by shallow mixed layers (austral summer Feb-Mar, 2006). We examined both the entire phytoplankton assemblage through the use of diagnostic pigments and also the picophytoplankton fraction (&lt; 3 mu m) through the use of class-specific molecular probes and flow cytometry. Both the pigment and molecular data reveal a dominance of prymnesiophytes during both the winter-mixed and summer-stratified periods. Chrysophytes and their diagnostic pigments were also present throughout most of the study region. Flow cytometric analysis revealed that the contribution of photosynthetic picoeukaryotes (PPEs) to total picophytoplankton (PPEs+picocyanobacteria) abundances increases systematically with increasing latitude and decreasing temperature, highlighting the importance of PPEs in the Southern Ocean. (C) 2012 Elsevier Ltd. All rights reserved.</t>
  </si>
  <si>
    <t>[Bouman, Heather A.] Dept Earth Sci, Oxford OX1 3AN, England; [Bouman, Heather A.; Ulloa, Osvaldo] Univ Concepcion, Dept Oceanog, Concepcion, Chile; [Bouman, Heather A.; Ulloa, Osvaldo] Univ Concepcion, Ctr Invest Oceanog COPAS, Concepcion, Chile; [Lepere, Cecile; Scanlan, David J.] Univ Warwick, Sch Life Sci, Coventry CV4 7AL, W Midlands, England</t>
  </si>
  <si>
    <t>Universidad de Concepcion; Universidad de Concepcion; University of Warwick</t>
  </si>
  <si>
    <t>Bouman, HA (corresponding author), Dept Earth Sci, S Parks Rd, Oxford OX1 3AN, England.</t>
  </si>
  <si>
    <t>Heather.Bouman@earth.ox.ac.uk</t>
  </si>
  <si>
    <t>Ulloa, Osvaldo/E-1821-2011; Scanlan, David/G-4080-2016</t>
  </si>
  <si>
    <t>Ulloa, Osvaldo/0000-0002-9501-5576; Scanlan, David/0000-0003-3093-4245</t>
  </si>
  <si>
    <t>Chilean National Commission for Scientific and Technological Research (CONICYT) through the FONDAP Programme; PICOFUNPAC [06-BDIV-013]; NERC [NE/G005125/1] Funding Source: UKRI; Natural Environment Research Council [NE/G005125/1] Funding Source: researchfish</t>
  </si>
  <si>
    <t>Chilean National Commission for Scientific and Technological Research (CONICYT) through the FONDAP Programme(Comision Nacional de Investigacion Cientifica y Tecnologica (CONICYT)CONICYT FONDAP); PICOFUNPAC; NERC(UK Research &amp; Innovation (UKRI)Natural Environment Research Council (NERC)); Natural Environment Research Council(UK Research &amp; Innovation (UKRI)Natural Environment Research Council (NERC))</t>
  </si>
  <si>
    <t>We thank the captain and crew of the R/V Knorr for their help during both the AAIW 2005 and AAIW 2006 Expeditions. We also thank the two chief scientists on the cruises, Lynne Talley and Bernadette Sloyan, for support, and Mauricio Gallegos for collection of samples during the AAIW 2005 cruise. This research was funded by the Chilean National Commission for Scientific and Technological Research (CONICYT) through the FONDAP Programme (O.U.), and by PICOFUNPAC (ANR Biodiversity 06-BDIV-013) grant (to D.J.S.).</t>
  </si>
  <si>
    <t>10.1016/j.dsr.2012.04.008</t>
  </si>
  <si>
    <t>WOS:000310665500001</t>
  </si>
  <si>
    <t>Teira, E; Mouriño-Carballido, B; Martínez-García, S; Sobrino, C; Ameneiro, J; Hernández-León, S; Vázquez, E</t>
  </si>
  <si>
    <t>Teira, Eva; Mourino-Carballido, Beatriz; Martinez-Garcia, Sandra; Sobrino, Cristina; Ameneiro, Julia; Hernandez-Leon, Santiago; Vazquez, Elsa</t>
  </si>
  <si>
    <t>Primary production and bacterial carbon metabolism around South Shetland Islands in the Southern Ocean</t>
  </si>
  <si>
    <t>Primary production; Photochemical efficiency; Bacterial production; Bacterial growth efficiency; South Shetland Islands; Drake Passage</t>
  </si>
  <si>
    <t>ANTARCTIC PENINSULA; PHYTOPLANKTON BIOMASS; BRANSFIELD STRAIT; AUSTRAL SUMMER; ROSS SEA; MESOSCALE VARIABILITY; MARINE-PHYTOPLANKTON; GROWTH EFFICIENCY; GERLACHE STRAIT; SPRING BLOOM</t>
  </si>
  <si>
    <t>Phytoplankton and bacterioplankton dynamics were studied around South Shetland Islands (Antarctica) with special emphasis on the Drake Passage region, during austral summer, in order to expand our knowledge on the coupling between the autotrophic and heterotrophic microbial plankton compartments in polar ecosystems. In addition, we directly estimated bacterial growth efficiency in the Drake Passage with the aim of better constraining total bacterial carbon utilization in this important polar ecosystem. Integrated chlorophyll-a concentration (21-86 mg m(-2)), primary production rates (0.7-19.3 mg C m(-3) d(-1)) and mean water-column photochemical efficiency (0.24-0.60) were significantly correlated with Si* tracer (r(2)=0.55, 0.46 and 0.64, respectively), which indirectly points to iron as the major limiting factor for phytoplankton growth in the area. Bacterial production was considerably low (0.002-0.3 mg C m(-3) d(-1)) and was best explained by chlorophyll-a concentration, protein-like fluorescence of dissolved organic matter and temperature (r(2)=0.53, p&lt;0.001). Water temperature appeared to influence bacterial activity when organic substrate availability is high. Bacterial production accounted on average for only 3.9% of co-occurring primary production, which has been frequently interpreted as an indicator of the marked uncoupling between bacteria and phytoplankton in cold waters. However, using the experimentally derived mean bacterial growth efficiency for the photic zone (6.1 +/- 1.3%) the bacterial carbon demand represented on average 63 +/- 18% of concomitant primary production, similar to what is found in warmer productive waters. Thus, our study suggests that bacterioplankton and phytoplankton appear to be connected in this polar area. (C) 2012 Elsevier Ltd. All rights reserved.</t>
  </si>
  <si>
    <t>[Teira, Eva; Mourino-Carballido, Beatriz; Martinez-Garcia, Sandra; Sobrino, Cristina; Ameneiro, Julia; Vazquez, Elsa] Univ Vigo, Dept Ecoloxia &amp; Bioloxia Anim, Fac Ciencias Mar, Vigo 36200, Spain; [Hernandez-Leon, Santiago] Univ Las Palmas Gran Canaria, Inst Oceanog &amp; Global Change, Las Palmas Gran Canaria, Spain</t>
  </si>
  <si>
    <t>Universidade de Vigo; Universidad de Las Palmas de Gran Canaria</t>
  </si>
  <si>
    <t>Teira, E (corresponding author), Univ Vigo, Dept Ecoloxia &amp; Bioloxia Anim, Fac Ciencias Mar, Vigo 36200, Spain.</t>
  </si>
  <si>
    <t>teira@uvigo.es</t>
  </si>
  <si>
    <t>Teira, Eva/L-5745-2014; Vázquez, Elsa/D-7082-2013; Mourino, Beatriz/E-8635-2016; Sobrino, Cristina/J-3534-2012; Hernández-León, Santiago/M-2563-2014; Martinez-Garcia, Sandra/L-3403-2017</t>
  </si>
  <si>
    <t>Teira, Eva/0000-0002-4333-0101; Sobrino, Cristina/0000-0003-0431-1220; Hernandez-Leon, Santiago/0000-0002-3085-4969; Mourino-Carballido, Beatriz/0000-0001-7961-1477; Martinez-Garcia, Sandra/0000-0002-5476-7499; Vazquez, Elsa/0000-0003-0782-4734</t>
  </si>
  <si>
    <t>MICINN [CTM2008-06343-C02-02, CTM2008-03790]; F.P.U. MEC fellowship; Parga y Pondal-Xunta de Galicia contract; Ramon y Cajal-MEC contract</t>
  </si>
  <si>
    <t>MICINN(Spanish Government); F.P.U. MEC fellowship(German Research Foundation (DFG)National Health &amp; Medical Research Council (NHMRC) of Australia); Parga y Pondal-Xunta de Galicia contract; Ramon y Cajal-MEC contract(German Research Foundation (DFG))</t>
  </si>
  <si>
    <t>This research was supported by the MICINN contracts COUPLING (CTM2008-06343-C02-02) and DIFUNCAR (CTM2008-03790). S.M.-G. was funded by a F.P.U. MEC fellowship. C.S. was funded by a Parga y Pondal-Xunta de Galicia contract. E.T. and B.M.-C. were funded by a Ramon y Cajal-MEC contract.</t>
  </si>
  <si>
    <t>10.1016/j.dsr.2012.07.002</t>
  </si>
  <si>
    <t>WOS:000310665500007</t>
  </si>
  <si>
    <t>Kender, S; Stephenson, MH; Riding, JB; Leng, MJ; Knox, RWO; Peck, VL; Kendrick, CP; Ellis, MA; Vane, CH; Jamieson, R</t>
  </si>
  <si>
    <t>Kender, Sev; Stephenson, Michael H.; Riding, James B.; Leng, Melanie J.; Knox, Robert W. O'B; Peck, Victoria L.; Kendrick, Christopher P.; Ellis, Michael A.; Vane, Christopher H.; Jamieson, Rachel</t>
  </si>
  <si>
    <t>Marine and terrestrial environmental changes in NW Europe preceding carbon release at the Paleocene-Eocene transition</t>
  </si>
  <si>
    <t>Paleocene-Eocene boundary; PETM; carbon isotope excursion; paleoecology; paleoceanography; North Sea</t>
  </si>
  <si>
    <t>THERMAL MAXIMUM; ISOTOPE EXCURSION; DINOFLAGELLATE CYSTS; VEGETATION DYNAMICS; ORGANIC-MATTER; BASIN; CLIMATE; STRATIGRAPHY; PALEOGENE; BOUNDARY</t>
  </si>
  <si>
    <t>Environmental changes associated with the Paleocene-Eocene thermal maximum (PETM, similar to 56 Ma) have not yet been documented in detail from the North Sea Basin. Located within proximity to the North Atlantic igneous province (NAIP), the Kilda Basin, and the northern rain belt (paleolatitude 54 degrees N) during the PETM, this is a critical region for testing proposed triggers of atmospheric carbon release that may have caused the global negative carbon isotope excursion (CIE) in marine and terrestrial environments. The CIE onset is identified from organic matter delta C-13 in exceptional detail within a highly expanded sedimentary sequence. Pollen and spore assemblages analysed in the same samples for the first time allow a reconstruction of possible changes to vegetation on the surrounding landmass. Multiproxy palynological, geochemical, and sedimentologic records demonstrate enhanced halocline stratification and terrigenous deposition well before (10(3) yrs) the CIE, interpreted as due to either tectonic uplift possibly from a nearby magmatic intrusion, or increased precipitation and fluvial runoff possibly from an enhanced hydrologic cycle. Stratification and terrigenous deposition increased further at the onset and within the earliest CIE which, coupled with evidence for sea level rise, may be interpreted as resulting from an increase in precipitation over NW Europe consistent with an enhanced hydrologic cycle in response to global warming during the PETM. Palynological evidence indicates a flora dominated by pollen from coastal swamp conifers before the CIE was abruptly replaced with a more diverse assemblage of generalist species including pollen similar to modern alder, fern, and fungal spores. This may have resulted from flooding of coastal areas due to relative sea level rise, and/or ecologic changes forced by climate. A shift towards more diverse angiosperm and pteridophyte vegetation within the early CIE, including pollen similar to modern hickory, documents a long term change to regional vegetation. Crown Copyright (C) 2012 Published by Elsevier B.V. All rights reserved.</t>
  </si>
  <si>
    <t>[Kender, Sev; Leng, Melanie J.; Kendrick, Christopher P.] British Geol Survey, NERC Isotope Geosci Lab, Nottingham NG12 5GG, England; [Leng, Melanie J.] Univ Leicester, Dept Geol, Leicester LE1 7RH, Leics, England; [Peck, Victoria L.] British Antarctic Survey, Cambridge CB3 0ET, England; [Jamieson, Rachel] Univ Edinburgh, Sch Geosci, Edinburgh EH9 3JW, Midlothian, Scotland</t>
  </si>
  <si>
    <t>UK Research &amp; Innovation (UKRI); Natural Environment Research Council (NERC); NERC British Geological Survey; University of Leicester; UK Research &amp; Innovation (UKRI); Natural Environment Research Council (NERC); NERC British Antarctic Survey; University of Edinburgh</t>
  </si>
  <si>
    <t>Kender, S (corresponding author), British Geol Survey, NERC Isotope Geosci Lab, Nottingham NG12 5GG, England.</t>
  </si>
  <si>
    <t>sev.kender@bgs.ac.uk</t>
  </si>
  <si>
    <t>Vane, Christopher H./AAG-6538-2020; Ellis, Michael Alexander A/M-4505-2018; Ellis, Michael/AAP-2039-2020; Vane, Christopher Howard/A-8814-2008; Kender, Sev/B-9409-2016</t>
  </si>
  <si>
    <t>Vane, Christopher H./0000-0002-8150-3640; Ellis, Michael Alexander A/0000-0002-6613-3565; Ellis, Michael/0000-0002-6613-3565; Vane, Christopher Howard/0000-0002-8150-3640; Kender, Sev/0000-0003-4216-3214; Leng, Melanie/0000-0003-1115-5166; Kendrick, Christopher/0000-0003-0382-4868</t>
  </si>
  <si>
    <t>NERC [bas0100024, nigl010001, bgs05002] Funding Source: UKRI; Natural Environment Research Council [bas0100024, nigl010001, bgs05002] Funding Source: researchfish</t>
  </si>
  <si>
    <t>NERC(UK Research &amp; Innovation (UKRI)Natural Environment Research Council (NERC)); Natural Environment Research Council(UK Research &amp; Innovation (UKRI)Natural Environment Research Council (NERC))</t>
  </si>
  <si>
    <t>10.1016/j.epsl.2012.08.011</t>
  </si>
  <si>
    <t>036GL</t>
  </si>
  <si>
    <t>hybrid, Green Published, Green Accepted</t>
  </si>
  <si>
    <t>WOS:000311014300012</t>
  </si>
  <si>
    <t>Trathan, PN; Ratcliffe, N; Masden, EA</t>
  </si>
  <si>
    <t>Trathan, P. N.; Ratcliffe, N.; Masden, E. A.</t>
  </si>
  <si>
    <t>Ecological drivers of change at South Georgia: the krill surplus, or climate variability</t>
  </si>
  <si>
    <t>ECOGRAPHY</t>
  </si>
  <si>
    <t>ANTARCTIC FUR SEALS; PENGUINS EUDYPTES-CHRYSOLOPHUS; MACARONI PENGUINS; ARCTOCEPHALUS-GAZELLA; EUBALAENA-AUSTRALIS; POPULATION-CHANGES; PUP PRODUCTION; BALEEN WHALES; SCOTIA SEA; FOOD-WEB</t>
  </si>
  <si>
    <t>Macaroni penguins Eudyptes chrysolophus are thought to be one of the most important mesopredators in the Southern Ocean having a greater impact on prey availability and abundance than any other seabird species. Their population centre has long been held to be South Georgia where populations were thought to comprise many million animals. Here we report the results of a recent census of the macaroni population at South Georgia undertaken using aerial survey methods. We report dramatic declines in numbers (similar to 1.0 million breeding pairs) compared to numbers observed in the late 1970s (similar to 5.4 million pairs), but show that these reductions have occurred principally at sites where numbers had previously been very large. During the breeding season, the main foraging grounds of birds from these sites overlap with the foraging grounds of Antarctic fur seals Arctocephalus gazella, a major competitor for their principal prey, Antarctic krill Euphausia superba. We suggest that the redistribution of the macaroni penguin population at South Georgia reflects the recent recovery of fur seal populations and thus the ongoing consequences of human intervention at South Georgia, a process which started more than 2 centuries previously. The implied resource competition and the observed population changes may also be exacerbated by recent reductions in Antarctic krill abundance which have been linked with reductions in seasonal sea ice following recent, rapid, regional warming in the Antarctic; however, the recovery of fur seal populations, and the ongoing recovery of krill-eating whale populations argues that tropho-dynamic interactions may be sufficient to explain the observed changes.</t>
  </si>
  <si>
    <t>[Trathan, P. N.; Ratcliffe, N.] British Antarctic Survey, Cambridge CB3 0ET, England; [Masden, E. A.] Univ Highlands &amp; Isl, N Highland Coll, Environm Res Inst, Thurso KW14 7EE, Caithness, Scotland</t>
  </si>
  <si>
    <t>UK Research &amp; Innovation (UKRI); Natural Environment Research Council (NERC); NERC British Antarctic Survey; UHI Millennium Institute</t>
  </si>
  <si>
    <t>Trathan, PN (corresponding author), British Antarctic Survey, Madingley Rd, Cambridge CB3 0ET, England.</t>
  </si>
  <si>
    <t>p.trathan@bas.ac.uk</t>
  </si>
  <si>
    <t>Masden, Elizabeth A/F-2858-2010</t>
  </si>
  <si>
    <t>Masden, Elizabeth/0000-0002-1995-3712</t>
  </si>
  <si>
    <t>NERC [bas0100025] Funding Source: UKRI; Natural Environment Research Council [bas0100025] Funding Source: researchfish</t>
  </si>
  <si>
    <t>0906-7590</t>
  </si>
  <si>
    <t>1600-0587</t>
  </si>
  <si>
    <t>Ecography</t>
  </si>
  <si>
    <t>10.1111/j.1600-0587.2012.07330.x</t>
  </si>
  <si>
    <t>030XG</t>
  </si>
  <si>
    <t>WOS:000310602800003</t>
  </si>
  <si>
    <t>Melbourne-Thomas, J; Wotherspoon, S; Raymond, B; Constable, A</t>
  </si>
  <si>
    <t>Melbourne-Thomas, J.; Wotherspoon, S.; Raymond, B.; Constable, A.</t>
  </si>
  <si>
    <t>Comprehensive evaluation of model uncertainty in qualitative network analyses</t>
  </si>
  <si>
    <t>ECOLOGICAL MONOGRAPHS</t>
  </si>
  <si>
    <t>Bayes factor; Bayesian framework; network analysis; qualitative model; uncertainty</t>
  </si>
  <si>
    <t>ANTARCTIC MACQUARIE ISLAND; COMMUNITY; ECOSYSTEMS; VEGETATION; PREDICTIONS; INDICATORS; FEEDBACK; RABBITS; SYSTEMS; FOOD</t>
  </si>
  <si>
    <t>Qualitative network analyses provide a broad range of advantages for formulating ideas and testing understanding of ecosystem function, for exploring feedback dynamics, and for making qualitative predictions in cases where data are limited. They have been applied to a wide range of ecological questions, including exploration of the implications of uncertainty about fundamental system structure. However, we argue that questions regarding model uncertainty in qualitative network analyses have been under-explored, and that there is a need for a coherent framework for evaluating uncertainty. To address this issue, we have developed a Bayesian framework for interpreting uncertainty that can be applied when comparing and evaluating the characteristics and behavior of alternative model formulations. Specifically, we recognize that results from previously developed simulation approaches to qualitative modeling can be interpreted as marginal likelihoods that translate to Bayes factors for model comparison. We then test and extend our Bayesian interpretation of qualitative model results to address comparisons both between and within alternative models. With the use of examples, we demonstrate how our Bayesian framework for interpretation can improve the application of qualitative modeling for addressing uncertainty about the structure and function of ecological networks.</t>
  </si>
  <si>
    <t>[Melbourne-Thomas, J.; Raymond, B.; Constable, A.] Univ Tasmania, Antarctic Climate &amp; Ecosyst Cooperat Res Ctr, Hobart, Tas 7001, Australia; [Wotherspoon, S.] Univ Tasmania, Inst Marine &amp; Antarctic Studies, Hobart, Tas 7001, Australia; [Wotherspoon, S.; Raymond, B.; Constable, A.] Dept Sustainabil Environm Water Populat &amp; Communi, Australian Antarctic Div, Kingston, Tas 7050, Australia</t>
  </si>
  <si>
    <t>Antarctic Climate &amp; Ecosystems Cooperative Research Centre (ACE CRC); University of Tasmania; University of Tasmania; Australian Antarctic Division</t>
  </si>
  <si>
    <t>Melbourne-Thomas, J (corresponding author), Univ Tasmania, Antarctic Climate &amp; Ecosyst Cooperat Res Ctr, Private Bag 80, Hobart, Tas 7001, Australia.</t>
  </si>
  <si>
    <t>Jessica.MelbourneThomas@utas.edu.au</t>
  </si>
  <si>
    <t>Wotherspoon, Simon J/B-2390-2013; Melbourne-Thomas, Jess/N-2437-2019</t>
  </si>
  <si>
    <t>Wotherspoon, Simon J/0000-0002-6947-4445; Melbourne-Thomas, Jess/0000-0001-6585-876X</t>
  </si>
  <si>
    <t>Australian government's Cooperative Research Centres Programme through the Antarctic Climate and Ecosystems Cooperative Research Centre (ACE CRC)</t>
  </si>
  <si>
    <t>Australian government's Cooperative Research Centres Programme through the Antarctic Climate and Ecosystems Cooperative Research Centre (ACE CRC)(Australian GovernmentDepartment of Industry, Innovation and ScienceCooperative Research Centres (CRC) Programme)</t>
  </si>
  <si>
    <t>This work was supported by the Australian government's Cooperative Research Centres Programme through the Antarctic Climate and Ecosystems Cooperative Research Centre (ACE CRC). Thanks to Aleks Terauds for expert input on Macquarie Island models.</t>
  </si>
  <si>
    <t>ECOLOGICAL SOC AMER</t>
  </si>
  <si>
    <t>1990 M STREET NW, STE 700, WASHINGTON, DC 20036 USA</t>
  </si>
  <si>
    <t>0012-9615</t>
  </si>
  <si>
    <t>1557-7015</t>
  </si>
  <si>
    <t>ECOL MONOGR</t>
  </si>
  <si>
    <t>Ecol. Monogr.</t>
  </si>
  <si>
    <t>10.1890/12-0207.1</t>
  </si>
  <si>
    <t>049VV</t>
  </si>
  <si>
    <t>WOS:000312012400006</t>
  </si>
  <si>
    <t>Holz, A; Kitzberger, T; Paritsis, J; Veblen, TT</t>
  </si>
  <si>
    <t>Holz, Andres; Kitzberger, Thomas; Paritsis, Juan; Veblen, Thomas T.</t>
  </si>
  <si>
    <t>Ecological and climatic controls of modern wildfire activity patterns across southwestern South America</t>
  </si>
  <si>
    <t>ECOSPHERE</t>
  </si>
  <si>
    <t>annual area burned; Antarctic Oscillation; El Nino-Southern Oscillation; fire-climate relationships; fire ecology; Southern Annular Mode; wildfire</t>
  </si>
  <si>
    <t>NORTHERN PATAGONIA; FIRE REGIMES; SPATIAL VARIABILITY; ENSO; HISTORY; FOREST; CHILE; OSCILLATION; DISTURBANCE; REANALYSIS</t>
  </si>
  <si>
    <t>Understanding how patterns of wildfire activity across biomes are shaped by heterogeneity in biomass resources to burn and atmospheric conditions conducive to burning is a high research priority in the context of global environmental change. Along a latitudinal gradient (25 to 568 S) from semi-arid scrublands through Mediterranean-type vegetation to wet forests in southwestern South America (SSA) we analyzed influences of mean climate and interannual climate variability on fire activity using documentary fire records from 1984 to 2008. We identified large regions with common temporal variability in annual area burned, related this variability to local interannual climate variability and in turn to modes of the major tropical and extratropical climate drivers of the southern hemisphere-El Nino-Southern Oscillation (ENSO) and the Antarctic Oscillation (AAO). Differences in fire activity response to interannual climate variability were related to the relative influences of available biomass to burn, and to weather effects on amounts of fine fuels and fuel moisture conditions. The pattern of average fire activity along this latitudinal moisture/productivity gradient corresponds well with the varying constraints model. This model predicts low fire activity towards the arid extreme due to reduced burnable biomass and again towards the humid extreme due to infrequent weather suitable for drying fuels, and predicts a broad zone of high fire activity at intermediate locations where resources to burn are abundant in all years and fuel moisture dries under reliably dry summer conditions. The dominant influence on interannual climate variability is AAO, which explained most of the variability in fire activity both by reducing seasonal precipitation in mesic and wet forests where fire is dependent on infrequent drought and by enhancing fine fuel production in Mediterranean-type vegetation where fuel amount and continuity constrain fire activity. In the context of the drying and warming trends in SSA related to the continued positive anomaly in AAO, our results underscore the importance of the varying constraints on fire activity and modulation of fire-climate relationships by different vegetation types, which is a much needed step toward developing fire projections under future climate.</t>
  </si>
  <si>
    <t>[Holz, Andres; Paritsis, Juan; Veblen, Thomas T.] Univ Colorado, Dept Geog, Boulder, CO 80309 USA; [Holz, Andres] Univ Tasmania, Sch Plant Sci, Hobart, Tas 7001, Australia; [Kitzberger, Thomas; Paritsis, Juan] Univ Nacl Comahue, CONICET, INIBOMA, Lab Ecotono, RA-8400 San Carlos De Bariloche, Rio Negro, Argentina</t>
  </si>
  <si>
    <t>University of Colorado System; University of Colorado Boulder; University of Tasmania; Consejo Nacional de Investigaciones Cientificas y Tecnicas (CONICET); Universidad Nacional del Comahue</t>
  </si>
  <si>
    <t>Holz, A (corresponding author), Univ Colorado, Dept Geog, Boulder, CO 80309 USA.</t>
  </si>
  <si>
    <t>andres.holz@utas.edu.au</t>
  </si>
  <si>
    <t>Paritsis, Juan/I-9336-2019; Holz, Andres/D-1826-2014; Veblen, Thomas T./U-6461-2018; Paritsis, Juan/KFB-3274-2024; Kitzberger, Thomas/H-9209-2015</t>
  </si>
  <si>
    <t>Holz, Andres/0000-0002-8587-2603; Kitzberger, Thomas/0000-0002-9754-4121; Paritsis, Juan/0000-0003-1626-8442</t>
  </si>
  <si>
    <t>National Science Foundation [0602166, 0956552]; International Cooperation Grant NSF-CONICET; Direct For Social, Behav &amp; Economic Scie; Division Of Behavioral and Cognitive Sci [0956552] Funding Source: National Science Foundation; Division Of Behavioral and Cognitive Sci; Direct For Social, Behav &amp; Economic Scie [0602166] Funding Source: National Science Foundation</t>
  </si>
  <si>
    <t>National Science Foundation(National Science Foundation (NSF)); International Cooperation Grant NSF-CONICET; Direct For Social, Behav &amp; Economic Scie; Division Of Behavioral and Cognitive Sci(National Science Foundation (NSF)NSF - Directorate for Social, Behavioral &amp; Economic Sciences (SBE)); Division Of Behavioral and Cognitive Sci; Direct For Social, Behav &amp; Economic Scie(National Science Foundation (NSF)NSF - Directorate for Social, Behavioral &amp; Economic Sciences (SBE))</t>
  </si>
  <si>
    <t>Research was supported by the National Science Foundation Awards 0602166 and 0956552 and an International Cooperation Grant NSF-CONICET. We thank the Corporacion Nacional Forestal (CONAF) in Chile and the Argentinean National Parks Administration for facilitating the annual area burned data.</t>
  </si>
  <si>
    <t>2150-8925</t>
  </si>
  <si>
    <t>Ecosphere</t>
  </si>
  <si>
    <t>10.1890/ES12-00234.1</t>
  </si>
  <si>
    <t>256IU</t>
  </si>
  <si>
    <t>Green Accepted, Green Published, gold</t>
  </si>
  <si>
    <t>WOS:000327304100011</t>
  </si>
  <si>
    <t>Lu, ZB; Cai, MH; Wang, J; Yang, HZ; He, JF</t>
  </si>
  <si>
    <t>Lu, Zhibo; Cai, Minghong; Wang, Juan; Yang, Haizhen; He, Jianfeng</t>
  </si>
  <si>
    <t>Baseline values for metals in soils on Fildes Peninsula, King George Island, Antarctica: the extent of anthropogenic pollution</t>
  </si>
  <si>
    <t>ENVIRONMENTAL MONITORING AND ASSESSMENT</t>
  </si>
  <si>
    <t>Baseline metal values; Anthropogenic metal contamination; Soil; Antarctica</t>
  </si>
  <si>
    <t>TRACE-METALS; ENRICHMENT FACTORS; VOLCANIC SOILS; SEDIMENTS; ELEMENTS; STATION; CONTAMINATION; SAMPLES; STREAM</t>
  </si>
  <si>
    <t>Metal contents (Al, Ca, Cd, Cr, Cu, Fe, Hg, Mg, Mn, Ni, Pb, Ti, and Zn) have been measured in 30 surface soils on Fildes Peninsula, King George Island, Antarctica, yielding values (in milligrams kilogram(-1)) of 41.57-80.65 (Zn), 2.76-60.52 (Pb), 0.04-0.34 (Cd), 7.18-25.03 (Ni), 43,255-70,534 (Fe), 449-1,401 (Mn), 17.10-64.90 (Cr), 1,440-25,684 (Mg), 10,941-49,354 (Ca), 51.10-176.50 (Cu), 4,388-12,707 (Ti), 28,038-83,849 (Al), and for Hg (in nanograms gram(-1)) 0.01-0.06. Relative cumulative frequency analysis was used to determine the baseline values for the 13 metals. Compared with adjacent areas in Antarctica, Mg and Ni are significantly lower, but Cu is significantly higher than that of McMurdo Station. Enrichment factor analysis and the geo-accumulation index method were applied in order to determine the extent of anthropogenic contamination, and both show that Pb, Cd, and Hg have been significantly increased by human activities. Principal component analysis was used to identify the sources of metals in these soil samples.</t>
  </si>
  <si>
    <t>[Cai, Minghong; He, Jianfeng] Polar Res Inst China, SOA Key Lab Polar Sci, Shanghai 200136, Peoples R China; [Lu, Zhibo; Cai, Minghong; Wang, Juan; Yang, Haizhen] Tongji Univ, Coll Environm Sci &amp; Engn, Shanghai 200092, Peoples R China</t>
  </si>
  <si>
    <t>Polar Research Institute of China; Tongji University</t>
  </si>
  <si>
    <t>Cai, MH (corresponding author), Polar Res Inst China, SOA Key Lab Polar Sci, Shanghai 200136, Peoples R China.</t>
  </si>
  <si>
    <t>caiminghong@pric.gov.cn</t>
  </si>
  <si>
    <t>ZHIBO, LU/HHS-4083-2022</t>
  </si>
  <si>
    <t>National Natural Science Foundation of China [40776003]; Ocean Public Welfare Scientific Research Project, State Oceanic Administration of the People's Republic of China [200805095]</t>
  </si>
  <si>
    <t>National Natural Science Foundation of China(National Natural Science Foundation of China (NSFC)); Ocean Public Welfare Scientific Research Project, State Oceanic Administration of the People's Republic of China</t>
  </si>
  <si>
    <t>We wish to express our sincere gratitude to the Chinese Arctic and Antarctic Administration, State Oceanic Administration of China. This research was supported by the National Natural Science Foundation of China (No. 40776003) and the Ocean Public Welfare Scientific Research Project, State Oceanic Administration of the People's Republic of China (No. 200805095).</t>
  </si>
  <si>
    <t>DORDRECHT</t>
  </si>
  <si>
    <t>VAN GODEWIJCKSTRAAT 30, 3311 GZ DORDRECHT, NETHERLANDS</t>
  </si>
  <si>
    <t>0167-6369</t>
  </si>
  <si>
    <t>ENVIRON MONIT ASSESS</t>
  </si>
  <si>
    <t>Environ. Monit. Assess.</t>
  </si>
  <si>
    <t>10.1007/s10661-011-2476-x</t>
  </si>
  <si>
    <t>015WC</t>
  </si>
  <si>
    <t>WOS:000309476100042</t>
  </si>
  <si>
    <t>Zhao, Z; Xie, ZY; Möller, A; Sturm, R; Tang, JH; Zhang, G; Ebinghaus, R</t>
  </si>
  <si>
    <t>Zhao, Zhen; Xie, Zhiyong; Moeller, Axel; Sturm, Renate; Tang, Jianhui; Zhang, Gan; Ebinghaus, Ralf</t>
  </si>
  <si>
    <t>Distribution and long-range transport of polyfluoroalkyl substances in the Arctic, Atlantic Ocean and Antarctic coast</t>
  </si>
  <si>
    <t>ENVIRONMENTAL POLLUTION</t>
  </si>
  <si>
    <t>Polyfluoroalkyl substances (PFASs); Seawater; Marine environment; Long-range transport</t>
  </si>
  <si>
    <t>PERSISTENT ORGANIC POLLUTANTS; PERFLUORINATED COMPOUNDS; ATMOSPHERIC TRANSPORT; SURFACE-WATER; SEA-ICE; ACIDS; RIVER; FATE; PERFLUOROOCTANOATE; CARBOXYLATES</t>
  </si>
  <si>
    <t>The global distribution and long-range transport of polyfluoroalkyl substances (PFASs) were investigated using seawater samples collected from the Greenland Sea, East Atlantic Ocean and the Southern Ocean in 2009-2010. Elevated levels of Sigma PFASs were detected in the North Atlantic Ocean with the concentrations ranging from 130 to 650 pg/L In the Greenland Sea, the Sigma PFASs concentrations ranged from 45 to 280 pg/L, and five most frequently detected compounds were perfluorooctanoic acid (PFOA), perfluorohexanesulfonate (PFHxS), perfluorohexanoic acid (PFHxA), perfluorooctane sulfonate (PFOS) and perfluorobutane sulfonate (PFBS). PFOA (15 pg/L) and PFOS (25-45 pg/L) were occasionally found in the Southern Ocean. In the Atlantic Ocean, the Sigma PFASs concentration decreased from 2007 to 2010. The elevated PFOA level that resulted from melting snow and ice in Greenland Sea implies that the Arctic may have been driven by climate change and turned to be a source of PFASs for the marine ecosystem. (c) 2012 Elsevier Ltd. All rights reserved.</t>
  </si>
  <si>
    <t>[Zhao, Zhen; Xie, Zhiyong; Moeller, Axel; Sturm, Renate; Ebinghaus, Ralf] Helmotz Zentrum Geesthacht, Ctr Mat &amp; Coastal Res, Inst Coastal Res, Geesthacht, Germany; [Zhao, Zhen; Tang, Jianhui] Chinese Acad Sci, Key Lab Coastal Zone Environm Proc, Yantai Inst Coastal Zone Res, Yantai 264003, Peoples R China; [Zhao, Zhen] Chinese Acad Sci, Grad Univ, Beijing 100049, Peoples R China; [Zhang, Gan] Chinese Acad Sci, Guangzhou Geochem Inst, Guangzhou 590640, Guangdong, Peoples R China</t>
  </si>
  <si>
    <t>Helmholtz Association; Helmholtz-Zentrum Hereon; Chinese Academy of Sciences; Yantai Institute of Coastal Zone Research, CAS; Chinese Academy of Sciences; University of Chinese Academy of Sciences, CAS; Chinese Academy of Sciences</t>
  </si>
  <si>
    <t>Xie, ZY (corresponding author), Helmotz Zentrum Geesthacht, Ctr Mat &amp; Coastal Res, Inst Coastal Res, Geesthacht, Germany.</t>
  </si>
  <si>
    <t>zhiyong.xie@hzg.de</t>
  </si>
  <si>
    <t>Zhang, Gan/C-3528-2012; Tang, Jianhui/O-2277-2013; Xie, Zhiyong/E-8436-2014</t>
  </si>
  <si>
    <t>Zhang, Gan/0000-0002-9010-8140;</t>
  </si>
  <si>
    <t>0269-7491</t>
  </si>
  <si>
    <t>1873-6424</t>
  </si>
  <si>
    <t>ENVIRON POLLUT</t>
  </si>
  <si>
    <t>Environ. Pollut.</t>
  </si>
  <si>
    <t>10.1016/j.envpol.2012.06.004</t>
  </si>
  <si>
    <t>001HB</t>
  </si>
  <si>
    <t>WOS:000308450100010</t>
  </si>
  <si>
    <t>Buzzini, P; Branda, E; Goretti, M; Turchetti, B</t>
  </si>
  <si>
    <t>Buzzini, Pietro; Branda, Eva; Goretti, Marta; Turchetti, Benedetta</t>
  </si>
  <si>
    <t>Psychrophilic yeasts from worldwide glacial habitats: diversity, adaptation strategies and biotechnological potential</t>
  </si>
  <si>
    <t>glacial environments; psychrophilic yeasts; yeast diversity; adaptation strategies; biotechnological potential</t>
  </si>
  <si>
    <t>COLD-ADAPTED YEASTS; BASIDIOMYCETOUS YEAST; SP NOV.; ANTARCTIC YEAST; LEUCOSPORIDIUM-ANTARCTICUM; CRYPTOCOCCUS-VICTORIAE; TRICHOSPORON-PULLULANS; RHODOTORULA-AURANTIACA; CYTOCHROME COMPOSITION; PSYCHROTROPHIC YEAST</t>
  </si>
  <si>
    <t>Glacial habitats (cryosphere) include some of the largest unexplored and extreme biospheres on Earth. These habitats harbor a wide diversity of psychrophilic prokaryotic and eukaryotic microorganisms. These highly specialized microorganisms have developed adaptation strategies to overcome the direct and indirect life-endangering influence of low temperatures. For many years Antarctica has been the geographic area preferred by microbiologists for studying the diversity of psychrophilic microorganisms (including yeasts). However, there have been an increasing number of studies on psychrophilic yeasts sharing the non-Antarctic cryosphere. The present paper provides an overview of the distribution and adaptation strategies of psychrophilic yeasts worldwide. Attention is also focused on their biotechnological potential, especially on their exploitation as a source of cold-active enzymes and for bioremediation purposes.</t>
  </si>
  <si>
    <t>[Buzzini, Pietro; Branda, Eva; Goretti, Marta; Turchetti, Benedetta] Univ Perugia, Dept Appl Biol &amp; Ind Yeasts Collect DBVPG, I-06121 Perugia, Italy</t>
  </si>
  <si>
    <t>University of Perugia</t>
  </si>
  <si>
    <t>Buzzini, P (corresponding author), Univ Perugia, Dept Appl Biol &amp; Ind Yeasts Collect DBVPG, Borgo 20 Giugno 74, I-06121 Perugia, Italy.</t>
  </si>
  <si>
    <t>pbuzzini@unipg.it</t>
  </si>
  <si>
    <t>Pietro, Buzzini/F-5739-2014; Turchetti, Benedetta/AAC-8847-2019</t>
  </si>
  <si>
    <t>turchetti, benedetta/0000-0002-7370-3028; Buzzini, Pietro/0000-0001-6793-0606</t>
  </si>
  <si>
    <t>10.1111/j.1574-6941.2012.01348.x</t>
  </si>
  <si>
    <t>WOS:000310261900002</t>
  </si>
  <si>
    <t>Cameron, KA; Hodson, AJ; Osborn, AM</t>
  </si>
  <si>
    <t>Cameron, Karen A.; Hodson, Andrew J.; Osborn, A. Mark</t>
  </si>
  <si>
    <t>Structure and diversity of bacterial, eukaryotic and archaeal communities in glacial cryoconite holes from the Arctic and the Antarctic</t>
  </si>
  <si>
    <t>glacier; cryoconite; microbial diversity; photoautotrophs; archaea</t>
  </si>
  <si>
    <t>MCMURDO DRY VALLEYS; MICROBIAL DIVERSITY; HIMALAYAN GLACIER; SNOW; ICE; IDENTIFICATION; BIODIVERSITY; ECOSYSTEMS; ABUNDANCE; ALIGNMENT</t>
  </si>
  <si>
    <t>The cryosphere presents some of the most challenging conditions for life on earth. Nevertheless, (micro)biota survive in a range of niches in glacial systems, including water-filled depressions on glacial surfaces termed cryoconite holes (centimetre to metre in diameter and up to 0.5m deep) that contain dark granular material (cryoconite). In this study, the structure of bacterial and eukaryotic cryoconite communities from ten different locations in the Arctic and Antarctica was compared using T-RFLP analysis of rRNA genes. Community structure varied with geography, with greatest differences seen between communities from the Arctic and the Antarctic. DNA sequencing of rRNA genes revealed considerable diversity, with individual cryoconite hole communities containing between six and eight bacterial phyla and five and eight eukaryotic first-rank taxa and including both bacterial and eukaryotic photoautotrophs. Bacterial Firmicutes and Deltaproteobacteria and Epsilonproteobacteria, eukaryotic Rhizaria, Haptophyta, Choanomonada and Centroheliozoa, and archaea were identified for the first time in cryoconite ecosystems. Archaea were only found within Antarctic locations, with the majority of sequences (77%) related to members of the Thaumarchaeota. In conclusion, this research has revealed that Antarctic and Arctic cryoconite holes harbour geographically distinct highly diverse communities and has identified hitherto unknown bacterial, eukaryotic and archaeal taxa, therein.</t>
  </si>
  <si>
    <t>[Cameron, Karen A.; Osborn, A. Mark] Univ Sheffield, Dept Anim &amp; Plant Sci, Sheffield S10 2TN, S Yorkshire, England; [Hodson, Andrew J.] Univ Sheffield, Dept Geog, Sheffield S10 2TN, S Yorkshire, England; [Hodson, Andrew J.] Univ Ctr Svalbard, Longyearbyen, Norway</t>
  </si>
  <si>
    <t>University of Sheffield; University of Sheffield; University Centre Svalbard (UNIS)</t>
  </si>
  <si>
    <t>Osborn, AM (corresponding author), Univ Hull, Dept Biol Sci, Cottingham Rd, Kingston Upon Hull HU6 7RX, N Humberside, England.</t>
  </si>
  <si>
    <t>A.M.Osborn@hull.ac.uk</t>
  </si>
  <si>
    <t>Osborn, Mark/D-7538-2013; Osborn, Andrew M/F-5466-2015</t>
  </si>
  <si>
    <t>Osborn, Andrew M/0000-0002-6433-0581; Hodson, Andrew/0000-0002-1255-7987; Cameron, Karen/0000-0003-4658-4913</t>
  </si>
  <si>
    <t>University of Sheffield; Leverhulme Research Fellowship [RF/4/RFG/2007/0398]; Directorate For Geosciences; Office of Polar Programs (OPP) [0739783, 1023462] Funding Source: National Science Foundation</t>
  </si>
  <si>
    <t>University of Sheffield; Leverhulme Research Fellowship(Leverhulme Trust); Directorate For Geosciences; Office of Polar Programs (OPP)(National Science Foundation (NSF)NSF - Directorate for Geosciences (GEO))</t>
  </si>
  <si>
    <t>K.C. was funded by a PhD studentship awarded by the University of Sheffield. This research was supported by a Leverhulme Research Fellowship (RF/4/RFG/2007/0398) awarded to A.J.H. and by the NERC for providing access to the NERC Arctic Research Station. The authors would like to acknowledge the support of Nick Cox, Steve Marshall and Rob Smith at the NERC Arctic Station, Ny Alesund, Svalbard and Monica Kristensen and Jacob Yde for support during Svalbard and Greenland fieldwork.</t>
  </si>
  <si>
    <t>10.1111/j.1574-6941.2011.01277.x</t>
  </si>
  <si>
    <t>WOS:000310261900004</t>
  </si>
  <si>
    <t>Stomeo, F; Makhalanyane, TP; Valverde, A; Pointing, SB; Stevens, MI; Cary, CS; Tuffin, MI; Cowan, DA</t>
  </si>
  <si>
    <t>Stomeo, Francesca; Makhalanyane, Thulani P.; Valverde, Angel; Pointing, Stephen B.; Stevens, Mark I.; Cary, Craig S.; Tuffin, Marla I.; Cowan, Don A.</t>
  </si>
  <si>
    <t>Abiotic factors influence microbial diversity in permanently cold soil horizons of a maritime-associated Antarctic Dry Valley</t>
  </si>
  <si>
    <t>Antarctica; Dry Valleys; active layer; microbial diversity; permafrost; water vapour</t>
  </si>
  <si>
    <t>MCMURDO SOUND REGION; ROSS SEA REGION; ENVIRONMENTAL GRADIENTS; BACTERIAL DIVERSITY; ORGANIC-MATTER; TAYLOR VALLEY; VICTORIA LAND; MINERAL SOILS; CHINA HOT; COMMUNITIES</t>
  </si>
  <si>
    <t>The McMurdo Dry Valleys collectively comprise the most extensive ice-free region in Antarctica and are considered one of the coldest arid environments on Earth. In low-altitude maritime-associated valleys, mineral soil profiles show distinct horizontal structuring, with a surface arid zone overlying a moist and biologically active zone generated by seasonally melted permafrost. In this study, long-term microenvironmental monitoring data show that temperature and soil humidity regimes vary in the soil horizons of north- and south-facing slopes within the Miers Valley, a maritime valley in the McMurdo Dry Valleys. We found that soil bacterial communities varied from the north to the south. The microbial assemblages at the surface and shallow subsurface depths displayed higher metabolic activity and diversity compared to the permafrost soil interface. Multivariate analysis indicated that K, C, Ca and moisture influenced the distribution and structure of microbial populations. Furthermore, because of the large% RH gradient between the frozen subsurface and the soil surface we propose that water transported to the surface as water vapour is available to microbial populations, either as a result of condensation processes or by direct adsorption from the vapour phase.</t>
  </si>
  <si>
    <t>[Stomeo, Francesca; Makhalanyane, Thulani P.; Valverde, Angel; Tuffin, Marla I.; Cowan, Don A.] Univ Western Cape, Inst Microbial Biotechnol &amp; Metagen, ZA-7535 Bellville, Cape Town, South Africa; [Pointing, Stephen B.] Univ Hong Kong, Sch Biol Sci, Hong Kong, Hong Kong, Peoples R China; [Stevens, Mark I.] Univ Adelaide, S Australian Museum, Adelaide, SA, Australia; [Stevens, Mark I.] Univ Adelaide, Sch Earth &amp; Environm Sci, Adelaide, SA, Australia; [Cary, Craig S.] Univ Waikato, Dept Biol Sci, Hamilton, New Zealand</t>
  </si>
  <si>
    <t>University of the Western Cape; University of Hong Kong; University of Adelaide; University of Adelaide; University of Waikato</t>
  </si>
  <si>
    <t>Cowan, DA (corresponding author), Univ Western Cape, Inst Microbial Biotechnol &amp; Metagen, ZA-7535 Bellville, Cape Town, South Africa.</t>
  </si>
  <si>
    <t>dcowan@uwc.ac.za</t>
  </si>
  <si>
    <t>Makhalanyane, Thulani P./C-6815-2012; Trindade, Marla/AAU-9730-2020; Cowan, Donald A/E-3991-2012; Pointing, Stephen/JHT-2500-2023; Valverde, Angel/C-1308-2009</t>
  </si>
  <si>
    <t>Makhalanyane, Thulani P./0000-0002-8173-1678; Trindade, Marla/0000-0002-2478-0270; Cowan, Donald A/0000-0001-8059-861X; Valverde, Angel/0000-0003-0439-9605; Cary, Stephen/0000-0002-2876-2387; stomeo, francesca/0000-0003-1776-6128</t>
  </si>
  <si>
    <t>South African National Research Foundation; University of the Western Cape, Antarctica New Zealand; New Zealand Government; University of Waikato FRST; Hong Kong Research Grants Council [7733/08M]</t>
  </si>
  <si>
    <t>South African National Research Foundation(National Research Foundation - South Africa); University of the Western Cape, Antarctica New Zealand; New Zealand Government; University of Waikato FRST; Hong Kong Research Grants Council(Hong Kong Research Grants Council)</t>
  </si>
  <si>
    <t>The authors acknowledge financial support from the following organizations: the South African National Research Foundation and the University of the Western Cape, Antarctica New Zealand, The New Zealand Government and the University of Waikato FRST research project (Understanding, valuing and protecting Antarctica's unique terrestrial ecosystems: Predicting biocomplexity in Dry Valley ecosystems) and the Hong Kong Research Grants Council (7733/08M).</t>
  </si>
  <si>
    <t>10.1111/j.1574-6941.2012.01360.x</t>
  </si>
  <si>
    <t>WOS:000310261900010</t>
  </si>
  <si>
    <t>Niederberger, TD; Sohm, JA; Tirindelli, J; Gunderson, T; Capone, DG; Carpenter, EJ; Cary, SC</t>
  </si>
  <si>
    <t>Niederberger, Thomas D.; Sohm, Jill A.; Tirindelli, Joelle; Gunderson, Troy; Capone, Douglas G.; Carpenter, Edward J.; Cary, Stephen C.</t>
  </si>
  <si>
    <t>Diverse and highly active diazotrophic assemblages inhabit ephemerally wetted soils of the Antarctic Dry Valleys</t>
  </si>
  <si>
    <t>diazotrophs; Dry Valley; Antarctica; activity; community</t>
  </si>
  <si>
    <t>MICROBIAL COMMUNITY STRUCTURE; NIFH GENE DIVERSITY; MCMURDO ICE SHELF; BACTERIAL DIVERSITY; GEOBACTER-SULFURREDUCENS; TRANSIENT STORAGE; VICTORIA LAND; LAKE BONNEY; NITROGEN; FIXATION</t>
  </si>
  <si>
    <t>Eolian transport of biomass from ephemerally wetted soils, associated with summer glacial meltwater runoffs and lake edges, to low-productivity areas of the Antarctic Dry Valleys (DV) has been postulated to be an important source of organic matter (fixed nitrogen and fixed carbon) to the entire DV ecosystem. However, descriptions and identification of the microbial members responsible for N2 fixation within these wetted sites are limited. In this study, N2 fixers from wetted soils were identified by direct nifH gene sequencing and their in situ N2 fixation activities documented via acetylene reduction and RNA-based quantitative PCR assays. Shannon-index nifH diversity levels ranged between 1.8 and 2.6 and included the expected cyanobacterial signatures and a large number of phylotypes related to the gamma-, beta-, alpha-, and delta-proteobacteria. N2 fixation rates ranged between approximately 0.5 and 6nmolNcm-3h-1 with measurements indicating that approximately 50% of this activity was linked with sulfate reduction at some sites. Comparisons with proximal dry soils also suggested that these communities are not ubiquitously distributed, and conditions unrelated to moisture content may define the composition, diversity, or habitat suitability of the microbial communities within wetted soils of the DVs.</t>
  </si>
  <si>
    <t>[Niederberger, Thomas D.; Cary, Stephen C.] Univ Delaware, Coll Marine &amp; Earth Sci, Lewes, DE 19958 USA; [Sohm, Jill A.; Gunderson, Troy; Capone, Douglas G.] Univ So Calif, Wrigley Inst Environm Studies, Los Angeles, CA USA; [Sohm, Jill A.; Gunderson, Troy; Capone, Douglas G.] Univ So Calif, Dept Biol Sci, Los Angeles, CA 90089 USA; [Tirindelli, Joelle; Carpenter, Edward J.] San Francisco State Univ, Romberg Tiburon Ctr, Tiburon, CA USA; [Cary, Stephen C.] Univ Waikato, Dept Biol Sci, Hamilton, New Zealand</t>
  </si>
  <si>
    <t>University of Delaware; University of Southern California; University of Southern California; California State University System; San Francisco State University; University of Waikato</t>
  </si>
  <si>
    <t>Cary, SC (corresponding author), Univ Delaware, Coll Earth Ocean &amp; Environm, 700 Pilottown Rd, Lewes, DE 19958 USA.</t>
  </si>
  <si>
    <t>caryc@udel.edu</t>
  </si>
  <si>
    <t>Cary, Stephen/0000-0002-2876-2387</t>
  </si>
  <si>
    <t>National Science Foundation [ANT 0739633, ANT 0739640, ANT 0739648, 0229836]; Directorate For Geosciences; Office of Polar Programs (OPP) [0739648] Funding Source: National Science Foundation; Office of Polar Programs (OPP); Directorate For Geosciences [0739640] Funding Source: National Science Foundation</t>
  </si>
  <si>
    <t>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</si>
  <si>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would like to thank the staff at the United States Antarctic Program, as well as Antarctica New Zealand, and the Foundation for Research in Science and Technology, New Zealand, for logistical support while in the field. This research was supported by National Science Foundation Grants ANT 0739633 (to D. G. C.), ANT 0739640 (to E.J.C.), and ANT 0739648 and 0229836 (to S.C.C.).</t>
  </si>
  <si>
    <t>10.1111/j.1574-6941.2012.01390.x</t>
  </si>
  <si>
    <t>WOS:000310261900014</t>
  </si>
  <si>
    <t>Michaud, L; Caruso, C; Mangano, S; Interdonato, F; Bruni, V; Lo Giudice, A</t>
  </si>
  <si>
    <t>Michaud, Luigi; Caruso, Consolazione; Mangano, Santina; Interdonato, Filippo; Bruni, Vivia; Lo Giudice, Angelina</t>
  </si>
  <si>
    <t>Predominance of Flavobacterium, Pseudomonas, and Polaromonas within the prokaryotic community of freshwater shallow lakes in the northern Victoria Land, East Antarctica</t>
  </si>
  <si>
    <t>freshwater lakes; clone libraries; culturable bacteria; Antarctic prokaryotic communities</t>
  </si>
  <si>
    <t>GRAM-POSITIVE BACTERIA; SP-NOV.; MICROBIAL MATS; BACTERIOPLANKTON COMMUNITY; GEN. NOV.; DRY VALLEYS; DIVERSITY; ASSEMBLAGES; SOIL; SEA</t>
  </si>
  <si>
    <t>A polyphasic approach that included PCR-dependent and PCR-independent molecular techniques was applied to analyze the prokaryotic community in surface waters of shallow Antarctic lakes. The in situ abundance of different bacterial groups was determined by the fluorescence in situ hybridization, whereas bacterial diversity was investigated by 16S rRNA gene sequencing of bacterial clones and isolates. The different approaches allowed the identification of the significant microbial components of the lake bacterioplanktonic communities, indicating a predominance of Flavobacterium, Pseudomonas, and Polaromonas (up to about 56% of total sequences). These genera also appear to be important in freshwater systems elsewhere in the world. Interestingly, closest blast matches to our sequences were predominantly from polar lakes and ponds, in addition to streams and glaciers, suggesting a bipolar distribution of freshwater lake bacterioplankton. Bacteria that are more traditionally associated with the marine environment were also detected, thus indicating an external input by atmospheric deposition and/or seabird excreta. Finally, a slightly different microbial community occurred in the lake at Inexpressible Island that was characterized by low N : P ratio and very high conductivity value, reinforcing the idea that physicochemical and trophic status may affect the structure and composition of the bacterioplankton assemblages in Antarctic lakes.</t>
  </si>
  <si>
    <t>[Michaud, Luigi; Caruso, Consolazione; Mangano, Santina; Interdonato, Filippo; Bruni, Vivia; Lo Giudice, Angelina] Univ Messina, DBAEM, I-98166 Messina, Italy</t>
  </si>
  <si>
    <t>University of Messina</t>
  </si>
  <si>
    <t>Lo Giudice, A (corresponding author), Univ Messina, DBAEM, Viale Ferdinando Stagno dAlcontres, I-98166 Messina, Italy.</t>
  </si>
  <si>
    <t>alogiudice@unime.it</t>
  </si>
  <si>
    <t>National Antarctic Research Program (PNRA), Italian Ministry of Education and Research (PEA) [PNRA 2004/1.6]; National Antarctic Museum (MNA)</t>
  </si>
  <si>
    <t>National Antarctic Research Program (PNRA), Italian Ministry of Education and Research (PEA); National Antarctic Museum (MNA)</t>
  </si>
  <si>
    <t>L.M. and A. L. G. wish to thank their colleague Chiara Agnorelli (University of Siena, Italy) for assistance during sample collection, and all of the staff at 'Mario Zucchelli' Station, for the logistic help and support, which made possible the expedition. We also thank the Editor Prof. Max Haggblom and three anonymous reviewers for helpful comments on the manuscript. This research was supported by grants from the National Antarctic Research Program (PNRA), Italian Ministry of Education and Research (PEA 2004, Research Project PNRA 2004/1.6), and from the National Antarctic Museum (MNA).</t>
  </si>
  <si>
    <t>10.1111/j.1574-6941.2012.01394.x</t>
  </si>
  <si>
    <t>WOS:000310261900015</t>
  </si>
  <si>
    <t>Jungblut, AD; Vincent, WF; Lovejoy, C</t>
  </si>
  <si>
    <t>Jungblut, Anne D.; Vincent, Warwick F.; Lovejoy, Connie</t>
  </si>
  <si>
    <t>Eukaryotes in Arctic and Antarctic cyanobacterial mats</t>
  </si>
  <si>
    <t>cyanobacterial mats; polar; biogeography; protists; metazoa; 18S rRNA gene</t>
  </si>
  <si>
    <t>SOUTHERN VICTORIA LAND; ICE SHELF; MICROBIAL DIVERSITY; GLOBAL DISTRIBUTION; MOLECULAR EVIDENCE; GREEN-ALGAE; COMMUNITIES; ECOSYSTEMS; PROTISTS; PHYLODIVERSITY</t>
  </si>
  <si>
    <t>Cyanobacterial mats are commonly found in freshwater ecosystems throughout the polar regions. Most mats are multilayered three-dimensional structures with the filamentous cyanobacteria embedded in a gel-like matrix. Although early descriptions mentioned the presence of larger organisms including metazoans living in the mats, there have been few studies specifically focused on the microbial eukaryotes, which are often small cells with few morphological features suitable for identification by microscopy. Here, we applied 18S rRNA gene clone library analysis to identify eukaryotes in cyanobacterial mat communities from both the Antarctic and the extreme High Arctic. We identified 39 ribotypes at the level of 99% sequence similarity. These consisted of taxa within algal and other protist groups including Chlorophyceae, Prasinophyceae, Ulvophyceae, Trebouxiophyceae, Bacillariophyceae, Chrysophyceae, Ciliophora, and Cercozoa. Fungi were also recovered, as were 21 metazoan ribotypes. The eukaryotic taxa appeared habitat-specific with little overlap between lake, pond, and ice shelf communities. Some ribotypes were common to both Arctic and Antarctic mats, suggesting global dispersal of these taxa and similarity in the environmental filters acting on protist communities. Many of these eukaryotic taxa likely benefit from protected, nutrient-rich microhabitats within the cyanobacterial mat environment.</t>
  </si>
  <si>
    <t>[Jungblut, Anne D.] Univ Laval, Dept Biol, CEN, IBIS, Quebec City, PQ G1K 7P4, Canada</t>
  </si>
  <si>
    <t>Laval University</t>
  </si>
  <si>
    <t>Vincent, Warwick/AAH-6152-2019; Lovejoy, Connie/A-3756-2008</t>
  </si>
  <si>
    <t>Vincent, Warwick/0000-0001-9055-1938; Lovejoy, Connie/0000-0001-8027-2281</t>
  </si>
  <si>
    <t>Natural Sciences and Engineering Research Council (NSERC); Canada Research Chair in Aquatic Ecosystem Studies; Network of Centres of Excellence program ArcticNet; International Polar Year Programme MERGE</t>
  </si>
  <si>
    <t>Natural Sciences and Engineering Research Council (NSERC)(Natural Sciences and Engineering Research Council of Canada (NSERC)); Canada Research Chair in Aquatic Ecosystem Studies; Network of Centres of Excellence program ArcticNet; International Polar Year Programme MERGE</t>
  </si>
  <si>
    <t>We acknowledge financial support from the Natural Sciences and Engineering Research Council (NSERC), the Canada Research Chair in Aquatic Ecosystem Studies, the Network of Centres of Excellence program ArcticNet, and the International Polar Year Programme MERGE. Logistical support was supplied by the Polar Continental Shelf Project. Field assistance was provided by Denis Sarrazin, Julie Veillette, Caroline Chenard, Dermot Antoniades, Jeremie Pouliot, and Alexandra Pontefract. We also thank the staff of Quttinirpaaq National Park, Parks Canada, for support and facilities, and three anonymous reviewers for insightful comments and suggestions.</t>
  </si>
  <si>
    <t>10.1111/j.1574-6941.2012.01418.x</t>
  </si>
  <si>
    <t>WOS:000310261900017</t>
  </si>
  <si>
    <t>Gonçalves, VN; Vaz, ABM; Rosa, CA; Rosa, LH</t>
  </si>
  <si>
    <t>Goncalves, Vivian N.; Vaz, Aline B. M.; Rosa, Carlos A.; Rosa, Luiz H.</t>
  </si>
  <si>
    <t>Diversity and distribution of fungal communities in lakes of Antarctica</t>
  </si>
  <si>
    <t>Antarctica; cold ecosystem; diversity; extremophiles</t>
  </si>
  <si>
    <t>BIODIVERSITY; EUKARYOTES; MICROFUNGI; REGION; DESV.; SOILS</t>
  </si>
  <si>
    <t>This study assessed the diversity and distribution of filamentous fungi obtained from water sampled from six lakes in the Antarctic Peninsula. One hundred and twenty-eight fungal isolates were purified and identified by analysis of nuclear rDNA ITS region sequences as belonging to 31 fungal different operational taxonomic units (OTUs). The most frequently isolated fungi were Geomyces pannorum and Mortierella sp.; these species occurred in six and three of the lakes sampled, respectively, and displayed the highest total colony-forming unit per L. Different species that have not been found to these lakes and/or had adapted to cold conditions were found. In general, the fungal community displayed low richness and high dominance indices. The species Cadophora cf. luteo-olivacea, Cadophora malorum, Davidiella tassiana, G.pannorum, Mortierella cf. alpina and Thelebolus cf. microsporus that were found in the lakes in question were also previously found in other cold ecosystems, such as Arctic, temperate and Alpine regions. The results of this study suggest the presence of an interesting aquatic fungal web, including symbionts, weak and strong saprophytes and parasite/pathogen fungal species. This aquatic web fungal may be a useful community model for further ecological and evolutionary studies of extreme habitats.</t>
  </si>
  <si>
    <t>[Goncalves, Vivian N.; Vaz, Aline B. M.; Rosa, Carlos A.; Rosa, Luiz H.] Univ Fed Minas Gerais, Dept Microbiol, Inst Ciencias Biol, BR-31270901 Belo Horizonte, MG, Brazil</t>
  </si>
  <si>
    <t>Universidade Federal de Minas Gerais</t>
  </si>
  <si>
    <t>Rosa, LH (corresponding author), Univ Fed Minas Gerais, Dept Microbiol, Inst Ciencias Biol, POB 486, BR-31270901 Belo Horizonte, MG, Brazil.</t>
  </si>
  <si>
    <t>lhrosa@icb.ufmg.br</t>
  </si>
  <si>
    <t>Vaz, Aline BM/F-7684-2012; Criosfera, Inct/J-8639-2013</t>
  </si>
  <si>
    <t>Brazilian Antarctic Program, Marine of Brazil; Clube Alpino Paulista; Fundacao de Amparo a Pesquisa do Estado de Minas Gerais (FAPEMIG); Conselho Nacional de Desenvolvimento Cientifico e Tecnologico (CNPq)</t>
  </si>
  <si>
    <t>Brazilian Antarctic Program, Marine of Brazil; Clube Alpino Paulista; Fundacao de Amparo a Pesquisa do Estado de Minas Gerais (FAPEMIG)(Fundacao de Amparo a Pesquisa do Estado de Minas Gerais (FAPEMIG)); Conselho Nacional de Desenvolvimento Cientifico e Tecnologico (CNPq)(Conselho Nacional de Desenvolvimento Cientifico e Tecnologico (CNPQ))</t>
  </si>
  <si>
    <t>This study had financial and logistic support from the Brazilian Antarctic Program, Marine of Brazil (in memoriam of Roberto L. dos Santos Carlos A. V. Figueiredo), and Luiz C. Consiglio and Beatriz Boucinhas from the Clube Alpino Paulista. This work is part of the API activity 403, contributes to Microbiological and Ecological Responses to Global Environmental Changes in Polar Regions and INCT Criosfera 704222/2009. We acknowledge the financial support from Fundacao de Amparo a Pesquisa do Estado de Minas Gerais (FAPEMIG) and Conselho Nacional de Desenvolvimento Cientifico e Tecnologico (CNPq). We thank an anonymous reviewer for helpful comments to improve the quality of the manuscript.</t>
  </si>
  <si>
    <t>10.1111/j.1574-6941.2012.01424.x</t>
  </si>
  <si>
    <t>WOS:000310261900020</t>
  </si>
  <si>
    <t>Strunecky, O; Elster, J; Komárek, J</t>
  </si>
  <si>
    <t>Strunecky, Otakar; Elster, Josef; Komarek, Jiri</t>
  </si>
  <si>
    <t>Molecular clock evidence for survival of Antarctic cyanobacteria (Oscillatoriales, Phormidium autumnale) from Paleozoic times</t>
  </si>
  <si>
    <t>Antarctic; Phormidium autumnale; cyanobacteria; relaxed and strict molecular clock; biogeography; Gondwana</t>
  </si>
  <si>
    <t>JAMES-ROSS-ISLAND; GLACIAL HISTORY; RIBOSOMAL-RNA; FRESH-WATER; DIVERSITY; ALGAE; ICE; BIOGEOGRAPHY; DISPERSAL; EVOLUTION</t>
  </si>
  <si>
    <t>Cyanobacteria are well adapted to freezing and desiccation; they have been proposed as possible survivors of comprehensive Antarctic glaciations. Filamentous types from the order Oscillatoriales, especially the species Phormidium autumnale Kutzing ex Gomont 1892, have widely diverse morphotypes that dominate in Antarctic aquatic microbial mats, seepages, and wet soils. Currently little is known about the dispersion of cyanobacteria in Antarctica and of their population history. We tested the hypothesis that cyanobacteria survived Antarctic glaciations directly on site after the Gondwana breakup by using the relaxed and strict molecular clock in the analysis of the 16S rRNA gene. We estimated that the biogeographic history of Antarctic cyanobacteria belonging to P.autumnale lineages has ancient origins. The oldest go further back in time than the breakup of Gondwana and originated somewhere on the supercontinent between 442 and 297Ma. Enhanced speciation rate was found around the time of the opening of the Drake Passage (c. 3145Ma) with beginning of glaciations (c. 43Ma). Our results, based primarily on the strains collected in maritime Antarctica, mostly around James Ross Island, support the hypothesis that long-term survival took place in glacial refuges. The high morphological diversification of P.autumnale suggested the coevolution of lineages and formation of complex associations with different morphologies, resulting in a specific endemic Antarctic cyanobacterial flora.</t>
  </si>
  <si>
    <t>[Strunecky, Otakar] Acad Sci Czech Republ, Inst Bot, Trebon, Czech Republic; Univ S Bohemia, Fac Sci, Ceske Budejovice, Czech Republic</t>
  </si>
  <si>
    <t>Czech Academy of Sciences; Institute of Botany of the Czech Academy of Sciences; University of South Bohemia Ceske Budejovice</t>
  </si>
  <si>
    <t>Strunecky, O (corresponding author), Acad Sci Czech Republ, Inst Bot, Dukelska 135, Trebon, Czech Republic.</t>
  </si>
  <si>
    <t>otakar.strunecky@gmail.com</t>
  </si>
  <si>
    <t>Elster, Josef/B-1031-2008; Strunecky, Otakar/H-1629-2014; strunecky, otakar/M-2643-2019; Komarek, Jiri/H-1597-2014</t>
  </si>
  <si>
    <t>Strunecky, Otakar/0000-0001-9735-4662; Elster, Josef/0000-0002-4535-5636</t>
  </si>
  <si>
    <t>Ministry of Education of the Czech Republic [Kontakt ME 934, ME 945, INGO LA 341, LM - 2010009 CzechPolar]</t>
  </si>
  <si>
    <t>Ministry of Education of the Czech Republic(Ministry of Education, Youth &amp; Sports - Czech Republic)</t>
  </si>
  <si>
    <t>We would like to thank the Ministry of Education of the Czech Republic (Kontakt ME 934, ME 945, INGO LA 341 and LM - 2010009 CzechPolar) for funding our research. We are very grateful to Dr Alena Lukesova (Biology Centre, Institute of Soil Biology, Ceske Budeojovice) and Dr Lubomir Kovacik (Comenius University, Department of Botany, Bratislava) for the strains they provided for our study. In addition, we are also very grateful for the technical assistance provided by Mrs Jana Snokhousova and Mrs Dana Svehlova.</t>
  </si>
  <si>
    <t>10.1111/j.1574-6941.2012.01426.x</t>
  </si>
  <si>
    <t>WOS:000310261900022</t>
  </si>
  <si>
    <t>Kochkina, G; Ivanushkina, N; Ozerskaya, S; Chigineva, N; Vasilenko, O; Firsov, S; Spirina, E; Gilichinsky, D</t>
  </si>
  <si>
    <t>Kochkina, Galina; Ivanushkina, Natalya; Ozerskaya, Svetlana; Chigineva, Nadezhda; Vasilenko, Oleg; Firsov, Sergey; Spirina, Elena; Gilichinsky, David</t>
  </si>
  <si>
    <t>Ancient fungi in Antarctic permafrost environments</t>
  </si>
  <si>
    <t>permafrost; mycelial fungi; biodiversity; ITS2</t>
  </si>
  <si>
    <t>DIVERSITY; BIODIVERSITY; CLADOSPORIUM; ECOLOGY; STREAMS; LEAVES</t>
  </si>
  <si>
    <t>Filamentous fungi in 36 samples of Antarctic permafrost sediments were studied. The samples collected during the Russian Antarctic expedition of 20072009 within the framework of the Antarctic Permafrost Age Project (ANTPAGE) were recovered from different depths in ice-free oases located along the perimeter of the continent. Fungal diversity was determined by conventional microbiological techniques combined with a culture-independent method based on the analysis of internal transcribed spacer (ITS2) sequences in total DNA of the samples. The study revealed a rather low fungal population density in permafrost, although the diversity found was appreciable, representing more than 26 genera. Comparison of the data obtained by different techniques showed that the culture-independent method enabled the detection of ascomycetous and basidiomycetous fungi not found by culturing. The molecular method failed to detect members of the genera Penicillium and Cladosporium that possess small-sized spores known to have a high resistance to environmental changes.</t>
  </si>
  <si>
    <t>[Kochkina, Galina; Ivanushkina, Natalya; Ozerskaya, Svetlana; Chigineva, Nadezhda] Russian Acad Sci, GK Skryabin Inst Biochem &amp; Physiol Microorganisms, All Russian Collect Microorganisms VKM, Pushchino 142292, Moscow Region, Russia; [Vasilenko, Oleg] Russian Acad Med Sci, Natl Res Ctr Hematol, Moscow, Moscow Region, Russia; [Firsov, Sergey] Russian Acad Sci, Inst Biomed Problems, State Sci Ctr Russian Federat, Pushchino 142292, Moscow Region, Russia; [Spirina, Elena; Gilichinsky, David] Russian Acad Sci, Inst Physicochem &amp; Biol Problems Soil Sci, Pushchino 142292, Moscow Region, Russia</t>
  </si>
  <si>
    <t>Russian Academy of Sciences; Pushchino Scientific Center for Biological Research (PSCBI) of the Russian Academy of Sciences; Russian Academy of Medical Sciences; National Medical Research Center for Hematology; Russian Academy of Sciences; Institute of Biomedical Problems of the Russian Academy of Sciences; Russian Academy of Sciences; Pushchino Scientific Center for Biological Research (PSCBI) of the Russian Academy of Sciences; Institute of Physicohemical &amp; Biological Problems of Soil Science</t>
  </si>
  <si>
    <t>Kochkina, G (corresponding author), Gubkina Ul 3,GSP-1, Moscow 119991, Russia.</t>
  </si>
  <si>
    <t>gak@dol.ru</t>
  </si>
  <si>
    <t>KOCHKINA, GALINA/AAR-7765-2020; Vasilenko, Oleg V/T-3983-2018; Ozerskaya, Svetlana/J-3821-2018; Nataliya, Ivanushkina/AAR-7639-2020; Spirina, Elena/H-2654-2013</t>
  </si>
  <si>
    <t>KOCHKINA, GALINA/0000-0002-5893-7782; Ozerskaya, Svetlana/0000-0002-0373-7521; Nataliya, Ivanushkina/0000-0001-6720-6626; Spirina, Elena/0000-0002-9614-373X</t>
  </si>
  <si>
    <t>Russian Foundation for Basic Research [09-04-01251-a]; MCB of the Russian Academy of Sciences; Ministry of Education and Science of the Russian Federation [16.518.11.7035]</t>
  </si>
  <si>
    <t>Russian Foundation for Basic Research(Russian Foundation for Basic Research (RFBR)Spanish Government); MCB of the Russian Academy of Sciences; Ministry of Education and Science of the Russian Federation(Ministry of Education and Science, Russian Federation)</t>
  </si>
  <si>
    <t>This work was supported by the Russian Foundation for Basic Research, project no. 09-04-01251-a, by grants of the MCB program of the Russian Academy of Sciences and the Ministry of Education and Science of the Russian Federation (contract no. 16.518.11.7035).</t>
  </si>
  <si>
    <t>10.1111/j.1574-6941.2012.01442.x</t>
  </si>
  <si>
    <t>WOS:000310261900024</t>
  </si>
  <si>
    <t>Gulbranson, EL; Isbell, JL; Taylor, EL; Ryberg, PE; Taylor, TN; Flaig, PP</t>
  </si>
  <si>
    <t>Gulbranson, E. L.; Isbell, J. L.; Taylor, E. L.; Ryberg, P. E.; Taylor, T. N.; Flaig, P. P.</t>
  </si>
  <si>
    <t>Permian polar forests: deciduousness and environmental variation</t>
  </si>
  <si>
    <t>GEOBIOLOGY</t>
  </si>
  <si>
    <t>CENTRAL TRANSANTARCTIC MOUNTAINS; TREE-RINGS; C-13/C-12 VARIATIONS; TRIASSIC BOUNDARY; ANTARCTICA; FLOODPLAIN; PATTERNS; GROWTH; DISCRIMINATION; RECONSTRUCTION</t>
  </si>
  <si>
    <t>Forests are expected to expand into northern polar latitudes in the next century. However, the impact of forests at high latitudes on climate and terrestrial biogeochemical cycling is poorly understood because such forests cannot be studied in the modern. This study presents forestry and geochemical analyses of three in situ fossil forests from Late Permian strata of Antarctica, which grew at polar latitudes. Stem size measurements and stump spacing measurements indicate significant differences in forest density and canopy structure that are related to the local depositional setting. For forests closest to fluvial systems, tree density appears to decrease as the forests mature, which is the opposite trend of self-thinning observed in modern forests. We speculate that a combination of tree mortality and high disturbance created low-density mature forests without understory vegetation near Late Permian river systems. Stable carbon isotopes measured from permineralized wood in these forests demonstrate two important points: (i) recently developed techniques of high-resolution carbon isotope studies of wood and mummified wood can be applied to permineralized wood, for which much of the original organic matter has been lost and (ii) that the fossil trees maintained a deciduous habit at polar latitudes during the Late Permian. The combination of paleobotanical, sedimentologic, and paleoforestry techniques provides an unrivaled examination of the function of polar forests in deep time; and the carbon isotope geochemistry supplements this work with subannual records of carbon fixation that allows for the quantitative analysis of deciduous versus evergreen habits and environmental parameters, for example, relative humidity.</t>
  </si>
  <si>
    <t>[Gulbranson, E. L.; Isbell, J. L.] Univ Wisconsin, Dept Geosci, Milwaukee, WI 53201 USA; [Taylor, E. L.; Ryberg, P. E.; Taylor, T. N.] Univ Kansas, Dept Ecol &amp; Evolutionary Biol, Nat Hist Museum, Lawrence, KS USA; [Taylor, E. L.; Ryberg, P. E.; Taylor, T. N.] Univ Kansas, Biodivers Inst, Lawrence, KS USA; [Taylor, E. L.; Ryberg, P. E.; Taylor, T. N.] Univ Kansas, Div Paleobot, Nat Hist Museum, Lawrence, KS 66045 USA; [Taylor, E. L.; Ryberg, P. E.; Taylor, T. N.] Univ Kansas, Biodivers Inst, Lawrence, KS 66045 USA; [Flaig, P. P.] Univ Texas Austin, Bur Econ Geol, Austin, TX USA</t>
  </si>
  <si>
    <t>University of Wisconsin System; University of Wisconsin Milwaukee; University of Kansas; University of Kansas; University of Kansas; University of Kansas; University of Texas System; University of Texas Austin</t>
  </si>
  <si>
    <t>Gulbranson, EL (corresponding author), Univ Hawaii, Dept Geol &amp; Geophys, Honolulu, HI 96822 USA.</t>
  </si>
  <si>
    <t>gulbrans@hawaii.edu</t>
  </si>
  <si>
    <t>Flaig, Peter/B-7942-2011</t>
  </si>
  <si>
    <t>Flaig, Peter/0000-0002-4702-2157; Gulbranson, Erik/0000-0003-1059-2938</t>
  </si>
  <si>
    <t>NSF [ANT-0943935, ANT-0944532, ANT-0943934]; Directorate For Geosciences; Division Of Polar Programs [0944532] Funding Source: National Science Foundation; Division Of Polar Programs; Directorate For Geosciences [0943935] Funding Source: National Science Foundation</t>
  </si>
  <si>
    <t>NSF(National Science Foundation (NSF)); Directorate For Geosciences; Division Of Polar Programs(National Science Foundation (NSF)NSF - Directorate for Geosciences (GEO)); Division Of Polar Programs; Directorate For Geosciences(National Science Foundation (NSF)NSF - Directorate for Geosciences (GEO))</t>
  </si>
  <si>
    <t>We are especially grateful to Drs. Neil Tabor and A. Hope Jahren for assistance and generosity in the use of their laboratory facilities; and Mr. Bill Hagopian and Dr. Scott Meyers for assistance with stable isotope ratio measurements. Danielle Sieger is thanked for her assistance with the measured section at Mt. Achernar. We thank Brian Staite for his help with logistics, mountaineering, and for sharing with neophyte Antarctic researchers his &gt;2 decades of experience working on 'the ice.' Fixed wing transport was provided by the 62nd and 446th Airlift Wing of the U.S. Air Force, stationed at Joint Base Lewis-McChord, WA, the 109th Airlift Wing of the New York Air National Guard, and Kenn Borek Air Ltd. This work was supported by funding from NSF grants ANT-0943935 and ANT-0944532 to the University of Wisconsin-Milwaukee, and ANT-0943934 to the University of Kansas.</t>
  </si>
  <si>
    <t>1472-4677</t>
  </si>
  <si>
    <t>1472-4669</t>
  </si>
  <si>
    <t>Geobiology</t>
  </si>
  <si>
    <t>10.1111/j.1472-4669.2012.00338.x</t>
  </si>
  <si>
    <t>Biology; Environmental Sciences; Geosciences, Multidisciplinary</t>
  </si>
  <si>
    <t>Life Sciences &amp; Biomedicine - Other Topics; Environmental Sciences &amp; Ecology; Geology</t>
  </si>
  <si>
    <t>021WW</t>
  </si>
  <si>
    <t>WOS:000309917100002</t>
  </si>
  <si>
    <t>Egan, KE; Rickaby, REM; Leng, MJ; Hendry, KR; Hermoso, M; Sloane, HJ; Bostock, H; Halliday, AN</t>
  </si>
  <si>
    <t>Egan, Katherine E.; Rickaby, Rosalind E. M.; Leng, Melanie J.; Hendry, Katharine R.; Hermoso, Michael; Sloane, Hilary J.; Bostock, Helen; Halliday, Alex N.</t>
  </si>
  <si>
    <t>Diatom silicon isotopes as a proxy for silicic acid utilisation: A Southern Ocean core top calibration</t>
  </si>
  <si>
    <t>GEOCHIMICA ET COSMOCHIMICA ACTA</t>
  </si>
  <si>
    <t>BIOGENIC SILICA; STABLE-ISOTOPES; MARINE DIATOM; SI ISOTOPE; SURFACE; OXYGEN; FRACTIONATION; DISSOLUTION; SEPARATION; TEMPERATURE</t>
  </si>
  <si>
    <t>Despite a growing body of work that uses diatom delta Si-30 to reconstruct past changes in silicic acid utilisation, few studies have focused on calibrating core top data with modern oceanographic conditions. In this study, a microfiltration technique is used to divide Southern Ocean core top silica into narrow size ranges, separating components such as radiolaria, sponge spicules and clay minerals from diatoms. Silicon isotope analysis of these components demonstrates that inclusion of small amounts of non-diatom material can significantly offset the measured from the true diatom delta Si-30. Once the correct size fraction is selected (generally 2-20 mu m), diatom delta Si-30 shows a strong negative correlation with surface water silicic acid concentration (R-2 = 0.92), highly supportive of the qualitative use of diatom delta Si-30 as a proxy for silicic acid utilisation. The core top diatom delta Si-30 matches well with mixed layer filtered diatom delta Si-30 from published in situ studies, suggesting little to no effect of either dissolution on export through the water column, or early diagenesis, on diatom delta Si-30 in sediments from the Southern Ocean. However, the core top diatom delta Si-30 shows a poor fit to simple Rayleigh or steady state models of the Southern Ocean when a single source term is used. The data can instead be described by these models only when variations in the initial conditions of upwelled silicic acid concentration and delta Si-30 are taken into account, a caveat which may introduce some error into quantitative reconstructions of past silicic acid utilisation from diatom delta Si-30. Crown copyright (C) 2012 Published by Elsevier Ltd. All rights reserved.</t>
  </si>
  <si>
    <t>[Egan, Katherine E.; Rickaby, Rosalind E. M.; Hermoso, Michael; Halliday, Alex N.] Univ Oxford, Dept Earth Sci, Oxford OX1 3PR, England; [Leng, Melanie J.; Sloane, Hilary J.] Univ Leicester, Dept Geol, Leicester LE1 7RH, Leics, England; [Leng, Melanie J.; Sloane, Hilary J.] British Geol Survey, NERC Isotope Geosci Lab, Nottingham NG12 5GG, England; [Hendry, Katharine R.] Woods Hole Oceanog Inst, Dept Marine Chem &amp; Geochem, Woods Hole, MA 02543 USA; [Hendry, Katharine R.] Cardiff Univ, Sch Earth &amp; Ocean Sci, Cardiff CF10 3AT, S Glam, Wales; [Bostock, Helen] Natl Inst Water &amp; Atmospher Res, Wellington 6241, New Zealand</t>
  </si>
  <si>
    <t>University of Oxford; University of Leicester; UK Research &amp; Innovation (UKRI); Natural Environment Research Council (NERC); NERC British Geological Survey; Woods Hole Oceanographic Institution; Cardiff University; National Institute of Water &amp; Atmospheric Research (NIWA) - New Zealand</t>
  </si>
  <si>
    <t>Egan, KE (corresponding author), Univ Southampton, Natl Oceanog Ctr, Waterfront Campus,European Way, Southampton SO14 3ZH, Hants, England.</t>
  </si>
  <si>
    <t>K.E.Egan@soton.ac.uk</t>
  </si>
  <si>
    <t>Bostock, Helen/A-6834-2013; Hendry, Katharine/E-4793-2011; Hermoso, Michael/A-1029-2009</t>
  </si>
  <si>
    <t>Bostock, Helen/0000-0002-8903-8958; Rickaby, Rosalind/0000-0002-6095-8419; Leng, Melanie/0000-0003-1115-5166; Hendry, Katharine/0000-0002-0790-5895; Egan, Katherine/0000-0002-3103-0443; Hermoso, Michael/0000-0003-1427-1891; Sloane, Hilary/0000-0001-7965-5429</t>
  </si>
  <si>
    <t>ERC; Natural Environmental Research Council (NERC) [NE/F005296/1]; Antarctic Funding Initiative Grant [AFI4-02]; Natural Environment Research Council [NE/H015523/1, NE/F003986/1, nigl010001, NE/F005296/1, bgs04003] Funding Source: researchfish; NERC [NE/F003986/1, nigl010001, bgs04003, NE/F005296/1, NE/H015523/1] Funding Source: UKRI</t>
  </si>
  <si>
    <t>ERC(European Research Council (ERC)); Natural Environmental Research Council (NERC)(UK Research &amp; Innovation (UKRI)Natural Environment Research Council (NERC)); Antarctic Funding Initiative Grant; Natural Environment Research Council(UK Research &amp; Innovation (UKRI)Natural Environment Research Council (NERC)); NERC(UK Research &amp; Innovation (UKRI)Natural Environment Research Council (NERC))</t>
  </si>
  <si>
    <t>Many thanks to Nick Belshaw and Bastian Georg for their help with silicon isotope analysis, to Jenny Pike for her training in diatom identification, to Jorn Bruggeman for his statistical analyses, and to George Swann and Fatima Mokadem for their help with lab protocols/setup. Thank you to Greg de Souza and two anonymous reviewers for their insightful comments, which have significantly improved this manuscript. Thanks to the Ocean Drilling Program for supplying downcore samples from site 177-1090. The Oxford isotope geochemistry lab is supported by an ERC grant to Halliday. This work was carried out as part of Natural Environmental Research Council (NERC) Grant NE/F005296/1, and Antarctic Peninsula core tops collected thanks to the Antarctic Funding Initiative Grant AFI4-02.</t>
  </si>
  <si>
    <t>0016-7037</t>
  </si>
  <si>
    <t>1872-9533</t>
  </si>
  <si>
    <t>GEOCHIM COSMOCHIM AC</t>
  </si>
  <si>
    <t>Geochim. Cosmochim. Acta</t>
  </si>
  <si>
    <t>10.1016/j.gca.2012.08.002</t>
  </si>
  <si>
    <t>028MU</t>
  </si>
  <si>
    <t>WOS:000310427200012</t>
  </si>
  <si>
    <t>Cannone, N; Binelli, G; Worland, MR; Convey, P; Guglielmin, M</t>
  </si>
  <si>
    <t>Cannone, Nicoletta; Binelli, Giorgio; Worland, M. Roger; Convey, Peter; Guglielmin, Mauro</t>
  </si>
  <si>
    <t>CO2 fluxes among different vegetation types during the growing season in Marguerite Bay (Antarctic Peninsula)</t>
  </si>
  <si>
    <t>GEODERMA</t>
  </si>
  <si>
    <t>CO2 fluxes; Antarctica; Vegetated ecosystems; Climate warming; Feedbacks</t>
  </si>
  <si>
    <t>CARBON-DIOXIDE EXCHANGE; MOSS SANIONIA-UNCINATA; HIGH ARCTIC SITE; VICTORIA LAND; PHOTOSYNTHETIC PARAMETERS; TEMPERATURE RESPONSE; FIELD-MEASUREMENTS; WATER RELATIONS; CLIMATE-CHANGE; WILKES LAND</t>
  </si>
  <si>
    <t>The Antarctic Peninsula has experienced a strong climate warming trend of +0.53 degrees C (mean annual air temperature) over the last 50 years. In the Polar Regions, changes in vegetation and permafrost due to a warming climate are expected to produce strong feedbacks to climate and, despite their relatively small areal extent, ice-free areas in Antarctica provide unique natural environments for studying these effects. Off the Antarctic Peninsula, close to Rothera Research Station on Adelaide Island, we used in situ measurements to assess whether spatial variation of CO2 fluxes exists a) among three important and typical vegetation types at Rothera Point during the daylight period; b) across four different ecosystem types (from Antarctic vascular tundra to barren soil) on neighbouring Anchorage Island during the peak of the growing season (January-February 2009). We aimed to assess whether Net Ecosystem Exchange (NEE), Ecosystem Respiration (ER) and Gross Ecosystem Photosynthesis (GEP) change among the selected ecosystem types and determine which environmental factors (soil moisture, soil temperature and PAR) influence NEE and ER. The data obtained at Rothera Point confirmed the presence of spatial variation of CO2 fluxes related to vegetation type, and temporal variation of the CO2 cycle during the daylight period for moss and barren soil ecosystems. At Anchorage Island the spatial variation of CO2 fluxes was mainly influenced by vegetation type at inter-community level. Deschampsia and Sanionia showed higher NEE and ER values (-0.03/0.43 mu mol CO2 m(-2) s(-1) for Deschampsia NEE; 0/0.62 mu mol CO2 m(-2) s(-1) Sanionia NEE; 0.27/2.03 mu mol CO2 m(-2) s(-1) Deschampsia ER; 0.31/1.7 mu mol CO2 m(-2) s(-1) Sanionia ER) than the other vegetation types studied. We measured generally positive NEE values probably due to high soil respiration. Our data suggest that ecosystems such as those studied may act as a source for CO2 release to the atmosphere and that this source effect is likely to continue and/or to increase until the legacy of organic matter and nutrients stored in the soils is largely decomposed. (C) 2012 Elsevier B.V. All rights reserved.</t>
  </si>
  <si>
    <t>[Cannone, Nicoletta] Insubria Univ, Dept Theoret &amp; Appl Sci, I-112100 Como, Italy; [Binelli, Giorgio; Guglielmin, Mauro] Insubria Univ, Dept Theoret &amp; Appl Sci, I-21100 Varese, Italy; [Worland, M. Roger; Convey, Peter] British Antarctic Survey, NERC, Cambridge CB3 0ET, England</t>
  </si>
  <si>
    <t>University of Insubria; University of Insubria; UK Research &amp; Innovation (UKRI); Natural Environment Research Council (NERC); NERC British Antarctic Survey</t>
  </si>
  <si>
    <t>Cannone, N (corresponding author), Insubria Univ, Dept Theoret &amp; Appl Sci, Via Valleggio 11, I-22100 Como, Italy.</t>
  </si>
  <si>
    <t>nicoletta.cannone@uninsubria.it</t>
  </si>
  <si>
    <t>Convey, Peter/AAV-5728-2020; Cannone, Nicoletta/W-8651-2019; Binelli, Giorgio/JOH-3162-2023</t>
  </si>
  <si>
    <t>Convey, Peter/0000-0001-8497-9903; Cannone, Nicoletta/0000-0002-3390-3965; Binelli, Giorgio/0000-0003-0223-7805</t>
  </si>
  <si>
    <t>BAS (British Antarctic Survey); PNRA (Progetto Nazionale di Ricerca in Antartide); Natural Environment Research Council [bas0100025] Funding Source: researchfish; NERC [bas0100025] Funding Source: UKRI</t>
  </si>
  <si>
    <t>BAS (British Antarctic Survey); PNRA (Progetto Nazionale di Ricerca in Antartide); Natural Environment Research Council(UK Research &amp; Innovation (UKRI)Natural Environment Research Council (NERC)); NERC(UK Research &amp; Innovation (UKRI)Natural Environment Research Council (NERC))</t>
  </si>
  <si>
    <t>We thank two anonymous reviewers for their constructive comments. We thank BAS (British Antarctic Survey) and PNRA (Progetto Nazionale di Ricerca in Antartide) for providing funding and opportunity to undertake this research, and the provision of logistical support. We especially thank individuals who helped in the field and in the laboratory, including Matt von Tersch, Terry Souster, Sian Henley, Roger Stilwell and Gabriel Chevalier. This paper also contributes to the BAS 'Polar Science for Planet Earth' and SCAR 'Evolution and Biodiversity in Antarctica' programmes.</t>
  </si>
  <si>
    <t>0016-7061</t>
  </si>
  <si>
    <t>1872-6259</t>
  </si>
  <si>
    <t>Geoderma</t>
  </si>
  <si>
    <t>10.1016/j.geoderma.2012.06.026</t>
  </si>
  <si>
    <t>Soil Science</t>
  </si>
  <si>
    <t>Agriculture</t>
  </si>
  <si>
    <t>047XX</t>
  </si>
  <si>
    <t>WOS:000311875900067</t>
  </si>
  <si>
    <t>Greenwood, SL; Gyllencreutz, R; Jakobsson, M; Anderson, JB</t>
  </si>
  <si>
    <t>Greenwood, Sarah L.; Gyllencreutz, Richard; Jakobsson, Martin; Anderson, John B.</t>
  </si>
  <si>
    <t>Ice-flow switching and East/West Antarctic Ice Sheet roles in glaciation of the western Ross Sea</t>
  </si>
  <si>
    <t>GEOLOGICAL SOCIETY OF AMERICA BULLETIN</t>
  </si>
  <si>
    <t>PLEISTOCENE-HOLOCENE RETREAT; SOUTHERN VICTORIA LAND; WEDDELL SEA; TAYLOR VALLEY; SEDIMENTARY PROCESSES; CONTINENTAL-SLOPE; LATE WISCONSIN; MCMURDO SOUND; DRY VALLEYS; EMBAYMENT</t>
  </si>
  <si>
    <t>The long-term behavior of the East and West Antarctic Ice Sheets, and their respective responses to forcing provide essential context for assessment of modern dynamic changes in ice-flow regimes and ice-sheet and shelf margins. The western Ross Sea discharges ice from both the East and West Antarctic Ice Sheets, and the paleoglacial record from this region is therefore valuable in unraveling their long-term behavior. New, high-resolution multibeam bathymetric data reveal snapshots of well-preserved glacial landforms on the seafloor around Ross Island and McMurdo Sound. Glacial lineations, grounding zone wedges, draped recessional moraines, and meltwater channels record a series of different ice-flow events in the region, contradictions between which require major phases of ice-flow reorganization. From the glacial geomorphology, we reconstruct a four-stage model of ice-flow evolution for the last glacial cycle, consisting of: (1) northeastward flow into the Ross Sea from McMurdo Sound; (2) westward flow from the Ross Sea, around Ross Island, and onto the Victoria Land coast and coastal seafloor trough; (3) a deglacial phase of ice-sheet thinning, minor shifts in flow, and grounding line retreat into McMurdo Sound; and (4) grounding line pinning on Ross Island during regional retreat, uncoupling of a remnant Ross Island ice cap, and local oscillation of Victoria Land outlet glaciers. We find that East Antarctic Ice Sheet ice discharge had a strong influence on ice-flow geometry in this part of the Ross Sea during the last glacial stage, but that it was not necessarily in phase with the behavior of the West Antarctic Ice Sheet. It is similarly evident that the ice streams that drained the Ross Sea over the continental shelf at the Last Glacial Maximum did not all operate synchronously, and exerted different drawdown power at different times. Finally, we conclude that Ross Island acts as an important pinning point in the Ross Sea ice-sheet-shelf system, stabilizing grounding line retreat and encouraging lasting ice-shelf development.</t>
  </si>
  <si>
    <t>[Greenwood, Sarah L.; Gyllencreutz, Richard; Jakobsson, Martin] Stockholm Univ, Dept Geol Sci, S-10691 Stockholm, Sweden; [Anderson, John B.] Rice Univ, Dept Earth Sci, Houston, TX 77005 USA</t>
  </si>
  <si>
    <t>Stockholm University; Rice University</t>
  </si>
  <si>
    <t>Greenwood, SL (corresponding author), Stockholm Univ, Dept Geol Sci, S-10691 Stockholm, Sweden.</t>
  </si>
  <si>
    <t>sarah.greenwood@geo.su.se</t>
  </si>
  <si>
    <t>Anderson, John/B-1011-2012; Jakobsson, Martin/JAN-6828-2023; Jakobsson, Martin/F-6214-2010</t>
  </si>
  <si>
    <t>Gyllencreutz, Richard/0000-0003-3193-8598; Greenwood, Sarah/0000-0003-3048-7916; Jakobsson, Martin/0000-0002-9033-3559</t>
  </si>
  <si>
    <t>Stockholm University; Swedish Polar Research Secretariat; Swedish Research Council; U.S. National Science Foundation; Directorate For Geosciences; Office of Polar Programs (OPP) [0837925] Funding Source: National Science Foundation</t>
  </si>
  <si>
    <t>Stockholm University; Swedish Polar Research Secretariat; Swedish Research Council(Swedish Research Council); U.S. National Science Foundation(National Science Foundation (NSF)); Directorate For Geosciences; Office of Polar Programs (OPP)(National Science Foundation (NSF)NSF - Directorate for Geosciences (GEO))</t>
  </si>
  <si>
    <t>This research was supported by Stockholm University strategic research grants to Jakobsson. The crew and scientific teams for Oden cruises 0708, 0910, and 1011 are thanked, and funding from the Swedish Polar Research Secretariat, Swedish Research Council, and U.S. National Science Foundation, which supported these expeditions, is gratefully acknowledged. We thank George Denton and an anonymous reviewer, and GSA Bulletin Associate Editor Ben Laabs, for their reviews of the manuscript.</t>
  </si>
  <si>
    <t>0016-7606</t>
  </si>
  <si>
    <t>1943-2674</t>
  </si>
  <si>
    <t>GEOL SOC AM BULL</t>
  </si>
  <si>
    <t>Geol. Soc. Am. Bull.</t>
  </si>
  <si>
    <t>10.1130/B30643.1</t>
  </si>
  <si>
    <t>028GF</t>
  </si>
  <si>
    <t>WOS:000310410100005</t>
  </si>
  <si>
    <t>Stibal, M; Wadham, JL; Lis, GP; Telling, J; Pancost, RD; Dubnick, A; Sharp, MJ; Lawson, EC; Butler, CEH; Hasan, F; Tranter, M; Anesio, AM</t>
  </si>
  <si>
    <t>Stibal, Marek; Wadham, Jemma L.; Lis, Grzegorz P.; Telling, Jon; Pancost, Richard D.; Dubnick, Ashley; Sharp, Martin J.; Lawson, Emily C.; Butler, Catriona E. H.; Hasan, Fariha; Tranter, Martyn; Anesio, Alexandre M.</t>
  </si>
  <si>
    <t>Methanogenic potential of Arctic and Antarctic subglacial environments with contrasting organic carbon sources</t>
  </si>
  <si>
    <t>GLOBAL CHANGE BIOLOGY</t>
  </si>
  <si>
    <t>ice sheets; methanogenesis; organic carbon; subglacial environment</t>
  </si>
  <si>
    <t>16S RIBOSOMAL-RNA; METHANE PRODUCTION; ICE-SHEET; LAKE FRYXELL; BASAL ICE; SEDIMENTS; GLACIER; TEMPERATURE; DEEP; GREENLAND</t>
  </si>
  <si>
    <t>Subglacial environments are largely anoxic, contain organic carbon (OC) overridden by glacier ice during periods of advance, and harbour active microbial communities. This creates favourable conditions for OC degradation via methanogenesis. It has been hypothesized that OC beneath ice sheets is converted to methane (CH4) and may be released to the atmosphere during retreat. However, there are limited data available to support this contention. Here, we present new data on the abundance, diversity and activity of methanogenic archaea and the amount and character of OC in subglacial sediments from Arctic and Antarctic glacial systems based on different substrate types. We employed long-term laboratory incubations to quantify the CH4 production potential in different subglacial settings. Significant numbers of methanogens (up to 7 x104 cells g-1) were detected in the samples and clones of Methanomicrobiales and Methanosarcinales were identified in clone libraries. Long lag periods (up to &gt;200 similar to days) were observed before significant CH4 concentrations were measured. We report order of magnitude differences in rates of CH4 production (101105 similar to fmol similar to g-1 similar to d-1) in different subglacial sediments, reflecting contrasts in the origin of the sediment and the OC character. Hence, we predict that contrasting rates of CH4 production are likely to occur beneath glaciers and ice sheets that overran different types of substrate. We subsequently estimated the potential for CH4 production beneath the Laurentide/Inuitian/Cordilleran and Fennoscandian Ice Sheets during a typical 85 ka Quaternary glacial/interglacial cycle. CH4 production from lacustrine-derived OC is likely to be an order of magnitude higher (similar to 6.327 similar to Pg similar to C) than that from overridden soils (similar to 0.550.68 similar to Pg similar to C), possibly due to a difference in lability between lacustrine and soil OC. While representing a fraction of the entire OC pool (similar to 418610 similar to Pg similar to C), this finding highlights the importance of considering the character of different OC pools when calculating subglacial CH4 production.</t>
  </si>
  <si>
    <t>[Stibal, Marek; Wadham, Jemma L.; Lis, Grzegorz P.; Telling, Jon; Lawson, Emily C.; Butler, Catriona E. H.; Hasan, Fariha; Tranter, Martyn; Anesio, Alexandre M.] Univ Bristol, Sch Geog Sci, Bristol Glaciol Ctr, Bristol BS8 1TH, Avon, England; [Stibal, Marek] Geol Survey Denmark &amp; Greenland, Dept Geochem, Copenhagen, Denmark; [Pancost, Richard D.] Univ Bristol, Organ Geochem Unit, Bristol Biogeochem Res Ctr, Sch Chem, Bristol BS8 1TH, Avon, England; [Dubnick, Ashley; Sharp, Martin J.] Univ Alberta, Dept Earth &amp; Atmospher Sci, Edmonton, AB, Canada; [Hasan, Fariha] Quaid I Azam Univ, Dept Microbiol, Islamabad, Pakistan</t>
  </si>
  <si>
    <t>University of Bristol; Geological Survey Of Denmark &amp; Greenland; University of Bristol; University of Alberta; Quaid I Azam University</t>
  </si>
  <si>
    <t>Wadham, JL (corresponding author), Univ Bristol, Sch Geog Sci, Bristol Glaciol Ctr, Bristol BS8 1TH, Avon, England.</t>
  </si>
  <si>
    <t>j.l.wadham@bristol.ac.uk</t>
  </si>
  <si>
    <t>Wadham, Jemma L/G-3138-2014; Wadham, Jemma L/A-8352-2012; Stibal, Marek/I-3852-2016; Telling, Jon/M-7643-2013; Anesio, Alexandre/A-7597-2008; Tranter, Martyn/E-3722-2010</t>
  </si>
  <si>
    <t>Anesio, Alexandre/0000-0003-2990-4014; Lis, Grzegorz/0000-0001-5796-7798; Stibal, Marek/0000-0002-9998-5086; O'Donnell, Emily/0000-0003-4303-4705; Telling, Jon/0000-0002-8180-0979; Tranter, Martyn/0000-0003-2071-3094; Pancost, Richard/0000-0003-0298-4026</t>
  </si>
  <si>
    <t>Natural Environment Research Council, UK (NERC) [NE/E004016/1]; Phillip Leverhulme Prize; NSERC (Canada); Polar Continental Shelf Project (Natural Resources Canada); NERC [NE/E004016/1, NE/G005028/1] Funding Source: UKRI; Natural Environment Research Council [NE/G005028/1, NE/E004016/1] Funding Source: researchfish</t>
  </si>
  <si>
    <t>Natural Environment Research Council, UK (NERC)(UK Research &amp; Innovation (UKRI)Natural Environment Research Council (NERC)); Phillip Leverhulme Prize(Leverhulme Trust); NSERC (Canada)(Natural Sciences and Engineering Research Council of Canada (NSERC)); Polar Continental Shelf Project (Natural Resources Canada)(Natural Resources Canada); NERC(UK Research &amp; Innovation (UKRI)Natural Environment Research Council (NERC)); Natural Environment Research Council(UK Research &amp; Innovation (UKRI)Natural Environment Research Council (NERC))</t>
  </si>
  <si>
    <t>This study was conducted via funding from the Natural Environment Research Council, UK (NERC grant NE/E004016/1). We also acknowledge support to Jemma Wadham from a Phillip Leverhulme Prize. We acknowledge financial and logistic support from NSERC (Canada), Polar Continental Shelf Project (Natural Resources Canada), field assistance from Joel Barker and Sean Fitzsimons, and research permission from the Nunavut Research Institute and communities of Grise Fjord and Resolute Bay. We gratefully acknowledge the support provided by Miriam Jackson (Norwegian Water Directorate) and the Svartisen Subglacial Laboratory where samples from the Engabreen Glacier were collected. Comments of three anonymous reviewers greatly improved the manuscript.</t>
  </si>
  <si>
    <t>1354-1013</t>
  </si>
  <si>
    <t>1365-2486</t>
  </si>
  <si>
    <t>GLOBAL CHANGE BIOL</t>
  </si>
  <si>
    <t>Glob. Change Biol.</t>
  </si>
  <si>
    <t>10.1111/j.1365-2486.2012.02763.x</t>
  </si>
  <si>
    <t>015MM</t>
  </si>
  <si>
    <t>WOS:000309450300008</t>
  </si>
  <si>
    <t>Dias, RL; Ruberto, L; Hernández, E; Vázquez, SC; Lo Balbo, A; Del Panno, MT; Mac Cormack, WP</t>
  </si>
  <si>
    <t>Dias, Romina L.; Ruberto, Lucas; Hernandez, Edgardo; Vazquez, Susana C.; Lo Balbo, Alfredo; Del Panno, Maria T.; Mac Cormack, Walter P.</t>
  </si>
  <si>
    <t>Bioremediation of an aged diesel oil-contaminated Antarctic soil: Evaluation of the on site biostimulation strategy using different nutrient sources</t>
  </si>
  <si>
    <t>INTERNATIONAL BIODETERIORATION &amp; BIODEGRADATION</t>
  </si>
  <si>
    <t>Antarctica; Hydrocarbons contamination; Biostimulation; Soil remediation; Oil Spill Eater (OSEII)</t>
  </si>
  <si>
    <t>POLYCYCLIC AROMATIC-HYDROCARBONS; BACTERIAL COMMUNITY DYNAMICS; NONIONIC SURFACTANTS; PHENANTHRENE BIODEGRADATION; ENHANCED BIODEGRADATION; DEGRADATION; SOLUBILIZATION; BIOAUGMENTATION; BIOAVAILABILITY; REMEDIATION</t>
  </si>
  <si>
    <t>Under Antarctic conditions, bioremediation processes are highly limited. Although chronically contaminated soils seem to require no bioaugmentation, biostimulation proved to be beneficial although diverse results have been reported in relation to the type of nutrient source and the best experimental design. In this work we evaluated, in on site land plots, the effect that on the hydrocarbon removal and bacterial community structure of a fuel contaminated soil have an inorganic salts mixture, a complex organic matrix (fish meal) and a commercial product listed by the EPA. Also the effect of a surface active compound (Brij700) on biodegradation process was studied. Brij700 did not improve biodegradation in any of the studied conditions but induced relevant changes on bacterial community of soil amended with fish meal. Although fish meal significantly enhanced bacterial counts, this effect was unspecific, drastically changed the bacterial community structure and did not improve hydrocarbon removal. Salts amended systems evidenced a non significant decrease in contaminant concentration. Commercial product caused the higher reduction (49.4%, p &lt; 0.05) of hydrocarbons compared with the control system after 45 d of treatment and cause the minor changes in bacterial community, constituting a promising alternative for some hydrocarbon-contaminated Antarctic soil restoration. (C) 2012 Elsevier Ltd. All rights reserved.</t>
  </si>
  <si>
    <t>[Dias, Romina L.] Comis Invest Cient CIC, RA-1900 La Plata, Buenos Aires, Argentina; [Dias, Romina L.; Del Panno, Maria T.] Ctr Invest &amp; Desarrollo Fermentac Ind CINDEFI, La Plata, Buenos Aires, Argentina; [Ruberto, Lucas; Vazquez, Susana C.; Lo Balbo, Alfredo; Mac Cormack, Walter P.] Univ Buenos Aires, FFyB, Catedra Biotecnol, Buenos Aires, DF, Argentina; [Ruberto, Lucas; Vazquez, Susana C.] Consejo Nacl Invest Cient &amp; Tecn, RA-1033 Buenos Aires, DF, Argentina; [Ruberto, Lucas; Hernandez, Edgardo; Mac Cormack, Walter P.] Inst Antartico Argentino, Buenos Aires, DF, Argentina</t>
  </si>
  <si>
    <t>Comision de Investigaciones Cientificas; University of Buenos Aires; Consejo Nacional de Investigaciones Cientificas y Tecnicas (CONICET); Instituto Antartico Argentino</t>
  </si>
  <si>
    <t>Mac Cormack, WP (corresponding author), Inst Antartico Argentino, Cerrito 1248,C1010AAZ, Buenos Aires, DF, Argentina.</t>
  </si>
  <si>
    <t>romina.dias@gmail.com; lruberto@ffyb.uba.ar; ehernandez@ffyb.uba.ar; svazquez@ffyb.uba.ar; lbalbo55@yahoo.com; mariatdelpanno@gmail.com; wmac@ffyb.uba.ar</t>
  </si>
  <si>
    <t>Vazquez, Susana/AEP-5214-2022</t>
  </si>
  <si>
    <t>Vazquez, Susana/0000-0002-0760-6254; Mac Cormack, Walter/0000-0002-5280-5463; Ruberto, Lucas Adolfo Mauro/0000-0001-5604-772X</t>
  </si>
  <si>
    <t>Agencia Nacional de Promocion Cientifica y Tecnologica (PICTO) [35778]; Universidad de Buenos Aires [UBACyT'001]</t>
  </si>
  <si>
    <t>Agencia Nacional de Promocion Cientifica y Tecnologica (PICTO)(ANPCyT); Universidad de Buenos Aires(University of Buenos Aires)</t>
  </si>
  <si>
    <t>We acknowledge the financial support of this research by the Agencia Nacional de Promocion Cientifica y Tecnologica (PICTO No 35778) and the Universidad de Buenos Aires (UBACyT'001).</t>
  </si>
  <si>
    <t>0964-8305</t>
  </si>
  <si>
    <t>1879-0208</t>
  </si>
  <si>
    <t>INT BIODETER BIODEGR</t>
  </si>
  <si>
    <t>Int. Biodeterior. Biodegrad.</t>
  </si>
  <si>
    <t>10.1016/j.ibiod.2012.07.020</t>
  </si>
  <si>
    <t>Biotechnology &amp; Applied Microbiology; Environmental Sciences</t>
  </si>
  <si>
    <t>Biotechnology &amp; Applied Microbiology; Environmental Sciences &amp; Ecology</t>
  </si>
  <si>
    <t>068RE</t>
  </si>
  <si>
    <t>WOS:000313383100015</t>
  </si>
  <si>
    <t>Dolan, JR; Pierce, RW; Yang, EJ; Kim, SY</t>
  </si>
  <si>
    <t>Dolan, John R.; Pierce, Richard W.; Yang, Eun Jin; Kim, Sun Young</t>
  </si>
  <si>
    <t>Southern Ocean Biogeography of Tintinnid Ciliates of the Marine Plankton</t>
  </si>
  <si>
    <t>JOURNAL OF EUKARYOTIC MICROBIOLOGY</t>
  </si>
  <si>
    <t>Antarctica; endemism; microzooplankton; sea ice; zooplankton</t>
  </si>
  <si>
    <t>MAJOR DIATOM TAXA; RNA GENE-SEQUENCES; ROSS SEA; PHYTOPLANKTON GROWTH; AUSTRAL SUMMER; ICE-ZONE; CILIOPHORA; MICROZOOPLANKTON; ANTARCTICA; VARIABILITY</t>
  </si>
  <si>
    <t>Ciliate microzooplankton are important grazers in most pelagic ecosystems and among them, tintinnids, with their largely species-specific loricas, allow relatively easy assessment of questions of diversity and distributions. Herein, we present the results of a survey of species records of tintinnids from the Southern Ocean (locations below 40 degrees S) reported in 56 publications yielding 2,047 species records (synonyms included) from 402 locations. The 192 species reported can be parsed into two main groups: 32 endemic Southern Ocean species, known only from 40 degrees S and further south, and a second group of 181 widespread species, forms with extensive geographic ranges extending into the Southern Ocean. Widespread species reported from the Southern Ocean can be further divided into a group of 81 species, each recorded multiple times in the Southern Ocean waters and 70 apparent stray species which have only been found but once. The endemic and widespread species of the Southern Ocean show both distinct distributional patterns and morphological differences. The assemblage of Southern Ocean endemics is found mostly within the Antarctic zone delimited by the average location of the Polar Front and contains a relatively large portion of wide-mouthed forms. We give suggestions for future study.</t>
  </si>
  <si>
    <t>[Dolan, John R.] Univ Paris 06, UMR 7093, Lab Oceanog Villefranche, F-06230 Villefranche Sur Mer, France; [Dolan, John R.] CNRS, Stn Zool, F-06230 Villefranche Sur Mer, France; [Yang, Eun Jin] KORDI, Div Polar Climate Res, Korea Polar Res Inst, Inchon 406840, South Korea; [Kim, Sun Young] Inha Univ, Dept Oceanog, Inchon 402751, South Korea</t>
  </si>
  <si>
    <t>Centre National de la Recherche Scientifique (CNRS); CNRS - National Institute for Earth Sciences &amp; Astronomy (INSU); Sorbonne Universite; Sorbonne Universite; Centre National de la Recherche Scientifique (CNRS); Korea Polar Research Institute (KOPRI); Korea Institute of Ocean Science &amp; Technology (KIOST); Inha University</t>
  </si>
  <si>
    <t>Dolan, JR (corresponding author), Univ Paris 06, UMR 7093, Lab Oceanog Villefranche, BP 28, F-06230 Villefranche Sur Mer, France.</t>
  </si>
  <si>
    <t>dolan@obs-vlfr.fr</t>
  </si>
  <si>
    <t>Dolan, John/GON-7388-2022</t>
  </si>
  <si>
    <t>Dolan, John/0000-0002-9454-1355; Yang, Eun Jin/0000-0002-8639-5968</t>
  </si>
  <si>
    <t>CNRS; University of Paris 6; ANR; Pole Mer PACA (France); Korean Polar Research Institute through the KOPRI (Korea) [PP 12010]</t>
  </si>
  <si>
    <t>CNRS(Centre National de la Recherche Scientifique (CNRS)); University of Paris 6; ANR(Agence Nationale de la Recherche (ANR)); Pole Mer PACA (France); Korean Polar Research Institute through the KOPRI (Korea)(Korea Polar Research Institute of Marine Research Placement (KOPRI))</t>
  </si>
  <si>
    <t>Support for this work was provided by the CNRS, the University of Paris 6 and the project AQUAPARADOX financed by the ANR program Biodiversite and the Pole Mer PACA (France), as well as the Korean Polar Research Institute through the KOPRI project PP 12010 (Korea).</t>
  </si>
  <si>
    <t>1066-5234</t>
  </si>
  <si>
    <t>J EUKARYOT MICROBIOL</t>
  </si>
  <si>
    <t>J. Eukaryot. Microbiol.</t>
  </si>
  <si>
    <t>10.1111/j.1550-7408.2012.00646.x</t>
  </si>
  <si>
    <t>033OH</t>
  </si>
  <si>
    <t>WOS:000310806800002</t>
  </si>
  <si>
    <t>Gandhi, N; Ramesh, R; Prakash, S; Noronha, S; Anilkumar, N</t>
  </si>
  <si>
    <t>Gandhi, Naveen; Ramesh, R.; Prakash, S.; Noronha, Sharon; Anilkumar, N.</t>
  </si>
  <si>
    <t>Primary and new production in the thermocline ridge region of the southern Indian Ocean during the summer monsoon</t>
  </si>
  <si>
    <t>JOURNAL OF MARINE RESEARCH</t>
  </si>
  <si>
    <t>NITROGEN UPTAKE; INTERMONSOON; VARIABILITY; DYNAMICS; CARBON; RATES; N-15; FLUX</t>
  </si>
  <si>
    <t>New and primary production, measured using N-15 and C-13 tracers, integrated over the euphotic zone (mostly upper 80-100 m) varied from 7.5 to 14.1 mmol N m(-2)d(-1) (average 10.8 mmol N m(-2)d(-1)) and 2.7 to 17.7 mmol C m(-2)d(-1)(average 11.3 mmol C m(-2)d(-1)), respectively, in the tropical India Ocean (TIO). Shoaling of thermocline in the thermocline ridge located in the tropical Indian Ocean (TR) influences new and total productivity by supplying nutrients to the upper layers. At the same time, N-limited conditions prevail to the north of the TR region reducing biological productivity. While higher surface light intensity reduces the surface productivity, it enhances the overall depth-integrated productivity. Productivity at different locations within the region is primarily controlled by the supply of N-nutrients from below. In contrast, at a given location with the available nutrient pool, productivity at different depths is determined by light availability. The region has potential for moderate export production, as do the other parts of the Indian Ocean; the maximum possible f-ratio is found to be 0.56, suggesting that it is capable of exporting a significant part of the total production to the deep, under favorable conditions (i.e., availability of N-nutrients). A comparison with earlier data suggests no significant temporal trend in the productivity here over the past three decades.</t>
  </si>
  <si>
    <t>[Gandhi, Naveen; Ramesh, R.; Prakash, S.] Phys Res Lab, Geosci Div, Ahmadabad 380009, Gujarat, India; [Noronha, Sharon; Anilkumar, N.] Natl Ctr Antarctic &amp; Ocean Res, Vasco Da Gama 403804, Goa, India</t>
  </si>
  <si>
    <t>Department of Space (DoS), Government of India; Physical Research Laboratory - India; Ministry of Earth Sciences (MoES) - India; National Centre for Polar and Ocean Research (NCPOR)</t>
  </si>
  <si>
    <t>Gandhi, N (corresponding author), Indian Inst Trop Meteorol, Ctr Climate Change Res, Pune 411008, Maharashtra, India.</t>
  </si>
  <si>
    <t>naveen@tropmet.res.in</t>
  </si>
  <si>
    <t>Ramachandran, Ramesh/AAI-1583-2020</t>
  </si>
  <si>
    <t>Ramachandran, Ramesh/0000-0003-2471-7746</t>
  </si>
  <si>
    <t>ISRO-GBP Department of Space, Government of India</t>
  </si>
  <si>
    <t>We thank the scientists and crew of the ORV Sagar Kanya (SK-248) for their help; and ISRO-GBP Department of Space, Government of India for funding. NG thanks the Director IITM, Pune. This is also NCAOR Contribution No. 04/2013.</t>
  </si>
  <si>
    <t>SEARS FOUNDATION MARINE RESEARCH</t>
  </si>
  <si>
    <t>NEW HAVEN</t>
  </si>
  <si>
    <t>YALE UNIV, KLINE GEOLOGY LAB, 210 WHITNEY AVENUE, NEW HAVEN, CT 06520-8109 USA</t>
  </si>
  <si>
    <t>0022-2402</t>
  </si>
  <si>
    <t>1543-9542</t>
  </si>
  <si>
    <t>J MAR RES</t>
  </si>
  <si>
    <t>J. Mar. Res.</t>
  </si>
  <si>
    <t>10.1357/002224012806770928</t>
  </si>
  <si>
    <t>V34AE</t>
  </si>
  <si>
    <t>WOS:000209058500001</t>
  </si>
  <si>
    <t>Dr Reginald Koettlitz (1860-1916): Arctic and Antarctic explorer</t>
  </si>
  <si>
    <t>SCURVY</t>
  </si>
  <si>
    <t>Reginald Koettlitz was born in Ostend but moved to England as a child and qualified at Guy's Hospital. He was a general practitioner in County Durham for eight years before serving as doctor and geologist to the Jackson-Harmsworth Expedition to Franz-Josef Land in 1894-97. Thereafter he made further expeditions to Somaliland, Abyssinia and the Amazon before joining Captain Scott's Discovery Expedition to the Antarctic in 1901-04 as surgeon and botanist. After the expedition he emigrated to South Africa, where he worked as a general practitioner, dying in 1916.</t>
  </si>
  <si>
    <t>Derriford Hosp, British Antarctic Survey Med Unit, Plymouth PL6 8DH, Devon, England</t>
  </si>
  <si>
    <t>Derriford Hospital</t>
  </si>
  <si>
    <t>Guly, H (corresponding author), Derriford Hosp, British Antarctic Survey Med Unit, Plymouth PL6 8DH, Devon, England.</t>
  </si>
  <si>
    <t>Natural Environment Research Council [bas010013] Funding Source: researchfish; Wellcome Trust Funding Source: Medline; NERC [bas010013] Funding Source: UKRI</t>
  </si>
  <si>
    <t>Natural Environment Research Council(UK Research &amp; Innovation (UKRI)Natural Environment Research Council (NERC)); Wellcome Trust(Wellcome Trust); NERC(UK Research &amp; Innovation (UKRI)Natural Environment Research Council (NERC))</t>
  </si>
  <si>
    <t>10.1258/jmb.2011.011010</t>
  </si>
  <si>
    <t>WOS:000311469600002</t>
  </si>
  <si>
    <t>Vaughan, APM; Storey, C; Kelley, SP; Barry, TL; Curtis, ML</t>
  </si>
  <si>
    <t>Vaughan, Alan P. M.; Storey, Craig; Kelley, Simon P.; Barry, Tiffany L.; Curtis, Michael L.</t>
  </si>
  <si>
    <t>Synkinematic emplacement of Lassiter Coast Intrusive Suite plutons during the Palmer Land Event: evidence for mid-Cretaceous sinistral transpression at the Beaumont Glacier in eastern Palmer Land</t>
  </si>
  <si>
    <t>ANTARCTIC PENINSULA; BAJA-CALIFORNIA; NEW-ZEALAND; SHEAR ZONE; DEFORMATION; EVOLUTION; MARGIN; ARC; PALEOMAGNETISM; GEOCHRONOLOGY</t>
  </si>
  <si>
    <t>New structural and geochronological data from the Eastern Palmer Land Shear Zone, in the vicinity of Beaumont Glacier, provide the first evidence of dated structural control on emplacement of the 119-95 Ma, &gt;13000 km(2) Cretaceous Lassiter Coast Intrusive Suite, during the accretionary mid-Cretaceous Palmer Land Event orogeny. A previously undated &gt;100 m thick dyke-like quartz tonalite intrusion was emplaced at 116.5 +/- 1.5 Ma (Ar-Ar biotite cooling age) along a NW-SE axis, coeval with NW-SE compressional deformation, and possibly controlled by sinistral transpression along the Beaumont Glacier shear zone. The quartz tonalite preserves two styles of deformation and was probably progressively deformed by normal-sinistral shearing during magmatic cooling with initial deformation of mafic enclaves in the dyke interior and final formation of proto-mylonite to mylonite on the dyke margin. The quartz tonalite cuts folding associated with Phase 1 of the Palmer Land Event, indicating that this folding is older than 116 Ma, extending the onset of Phase 1 back in time. Mylonite on the quartz tonalite sheet margin was subsequently thermally reset at c. 107 Ma (Ar-Ar biotite method), during a peak in Lassiter Coast Intrusive Suite magmatism.</t>
  </si>
  <si>
    <t>[Vaughan, Alan P. M.; Curtis, Michael L.] British Antarctic Survey, Cambridge CB3 0ET, England; [Storey, Craig] Univ Portsmouth, Sch Earth &amp; Environm Sci, Portsmouth PO1 3QL, Hants, England; [Kelley, Simon P.] Open Univ, Dept Earth &amp; Environm Sci, Milton Keynes MK7 6AA, Bucks, England; [Barry, Tiffany L.] Univ Leicester, Dept Geol, Leicester LE1 7RH, Leics, England</t>
  </si>
  <si>
    <t>UK Research &amp; Innovation (UKRI); Natural Environment Research Council (NERC); NERC British Antarctic Survey; University of Portsmouth; Open University - UK; University of Leicester</t>
  </si>
  <si>
    <t>Vaughan, APM (corresponding author), British Antarctic Survey, Madingley Rd, Cambridge CB3 0ET, England.</t>
  </si>
  <si>
    <t>APMVA@bas.ac.uk</t>
  </si>
  <si>
    <t>Curtis, Mike/HKV-6176-2023; Kelley, Simon/AAR-7075-2020; Storey, Craig/AAC-7832-2020; Vaughan, Alan PM/B-7829-2010</t>
  </si>
  <si>
    <t>Kelley, Simon/0000-0002-1756-0480; Barry, Tiffany/0000-0001-6853-6838; Storey, Craig/0000-0002-4945-7381</t>
  </si>
  <si>
    <t>NERC Antarctic Funding Initiative (AFI) [NER/G/S/2003/00003]; British Antarctic Survey; NERC [bas0100026] Funding Source: UKRI; Natural Environment Research Council [bas0100026, NER/G/S/2003/00003] Funding Source: researchfish</t>
  </si>
  <si>
    <t>NERC Antarctic Funding Initiative (AFI); British Antarctic Survey; NERC(UK Research &amp; Innovation (UKRI)Natural Environment Research Council (NERC)); Natural Environment Research Council(UK Research &amp; Innovation (UKRI)Natural Environment Research Council (NERC))</t>
  </si>
  <si>
    <t>This work was funded by NERC Antarctic Funding Initiative (AFI) grant NER/G/S/2003/00003 and British Antarctic Survey core funds as part of the Polar Science for Planet Earth programme. Thanks are due to the BAS field operations staff and air-unit at Rothera and in Cambridge, in particular R. Arnold, J. Hall, A. Alsop, D. Leatherdale, A. Tuson and G. Porter. A. P. M. V. would particularly like to thank D. Reynolds for all his assistance in the field. The authors would like to thank V. Ramos, G. Musumeci, editor T. Rooney, and an anonymous reviewer for their helpful comments and suggestions that substantially improved the paper.</t>
  </si>
  <si>
    <t>10.1144/jgs2011-160</t>
  </si>
  <si>
    <t>WOS:000310583400012</t>
  </si>
  <si>
    <t>Reid, PC; Beaugrand, G</t>
  </si>
  <si>
    <t>Reid, Philip C.; Beaugrand, Gregory</t>
  </si>
  <si>
    <t>Global synchrony of an accelerating rise in sea surface temperature</t>
  </si>
  <si>
    <t>JOURNAL OF THE MARINE BIOLOGICAL ASSOCIATION OF THE UNITED KINGDOM</t>
  </si>
  <si>
    <t>sea surface temperature; principal component analysis; boundary currents; Atlantic Multidecadal Oscillation; El Nino; Atlantic Gyre Index; ecosystem synchrony; regime shift; sea-ice; earthquake</t>
  </si>
  <si>
    <t>DECADAL-SCALE CLIMATE; NORTH-ATLANTIC; REGIME SHIFTS; EL-NINO; MARINE ECOSYSTEMS; SOUTHERN-OCEAN; ZOOPLANKTON COMMUNITY; ANTARCTIC PENINSULA; SUBPOLAR GYRE; RANGE SHIFTS</t>
  </si>
  <si>
    <t>The oceans have shown a recent rapid and accelerating rise in temperature with, given the close link between temperature and marine organisms, pronounced effects on ecosystems. Here we describe for the first time a globally synchronous pattern of pulsed short period (similar to 1 year long) emanations of warm sea surface temperature anomalies from tropical seas towards the poles on the shelf/slope with an intensification of the warming after the 1976/1977, 1986/1987 and 1997/1998 El Ninos. On the eastern margins of continents the anomalies propagate towards the poles in part by largely baroclinic boundary currents, reinforced by regional atmospheric warming. The processes contributing to the less continuous warm anomalies on western margins are linked to the transfer of warmth from adjacent western boundary currents. These climate induced events show a close parallelism with the timing of ecosystem changes in shelf seas, important for fisheries and ecosystem services, and melting of sea-ice.</t>
  </si>
  <si>
    <t>[Reid, Philip C.] Univ Plymouth MIPU, Inst Marine, Plymouth PL4 8AA, Devon, England; [Reid, Philip C.] Marine Biol Assoc United Kingdom MBA, The Lab, Plymouth PL1 2PB, Devon, England; [Beaugrand, Gregory] Univ Sci &amp; Technol Lille, Lab Oceanol &amp; Geosci, CNRS, UMR LOG 8187, F-62930 Wimereux, France; [Reid, Philip C.] Sir Alister Hardy Fdn Ocean Sci, The Lab, Plymouth PL1 2PB, Devon, England</t>
  </si>
  <si>
    <t>Marine Biological Association United Kingdom; Universite de Lille; Centre National de la Recherche Scientifique (CNRS); CNRS - National Institute for Earth Sciences &amp; Astronomy (INSU)</t>
  </si>
  <si>
    <t>Reid, PC (corresponding author), Sir Alister Hardy Fdn Ocean Sci, Marine Lab, Citadel Hill, Plymouth PL1 2PB, Devon, England.</t>
  </si>
  <si>
    <t>pcre@sahfos.ac.uk</t>
  </si>
  <si>
    <t>BEAUGRAND, GREGORY/0000-0002-0712-5223</t>
  </si>
  <si>
    <t>SAHFOS; MIPU; MBA; BIODIMAR programme; NERC [MBA010001, SAH01001, NE/I009736/1] Funding Source: UKRI; Natural Environment Research Council [NE/I009736/1, SAH01001, MBA010001] Funding Source: researchfish; Division Of Ocean Sciences; Directorate For Geosciences [1154661] Funding Source: National Science Foundation</t>
  </si>
  <si>
    <t>SAHFOS; MIPU; MBA; BIODIMAR programme; NERC(UK Research &amp; Innovation (UKRI)Natural Environment Research Council (NERC)); Natural Environment Research Council(UK Research &amp; Innovation (UKRI)Natural Environment Research Council (NERC)); Division Of Ocean Sciences; Directorate For Geosciences(National Science Foundation (NSF)NSF - Directorate for Geosciences (GEO))</t>
  </si>
  <si>
    <t>We dedicate this paper to Michael Colebrook* and Robin Pingree for their considerable contributions, respectively, to the understanding of plankton ecology and shelf/slope hydrography and are grateful to Robin Pingree, Tom Rossby and the anonymous refereees for suggestions that helped improve the manuscript. Funding for the colour illustrations was shared between SAHFOS, MIPU, MBA and the BIODIMAR programme.</t>
  </si>
  <si>
    <t>CAMBRIDGE UNIV PRESS</t>
  </si>
  <si>
    <t>32 AVENUE OF THE AMERICAS, NEW YORK, NY 10013-2473 USA</t>
  </si>
  <si>
    <t>0025-3154</t>
  </si>
  <si>
    <t>1469-7769</t>
  </si>
  <si>
    <t>J MAR BIOL ASSOC UK</t>
  </si>
  <si>
    <t>J. Mar. Biol. Assoc. U.K.</t>
  </si>
  <si>
    <t>10.1017/S0025315412000549</t>
  </si>
  <si>
    <t>026EH</t>
  </si>
  <si>
    <t>WOS:000310256600001</t>
  </si>
  <si>
    <t>Smyth, RL; Sobrino, C; Phillips-Kress, J; Kim, HC; Neale, PJ</t>
  </si>
  <si>
    <t>Smyth, Robyn L.; Sobrino, Cristina; Phillips-Kress, Jesse; Kim, Hae-Cheol; Neale, Patrick J.</t>
  </si>
  <si>
    <t>Phytoplankton photosynthetic response to solar ultraviolet irradiance in the Ross Sea Polynya: Development and evaluation of a time-dependent model with limited repair</t>
  </si>
  <si>
    <t>LIMNOLOGY AND OCEANOGRAPHY</t>
  </si>
  <si>
    <t>DIATOM THALASSIOSIRA-PSEUDONANA; UV-RADIATION; SHORT-TERM; INHIBITION; SENSITIVITY; ACCLIMATION; ANTARCTICA; GROWTH</t>
  </si>
  <si>
    <t>The relationship of photosynthesis (C-14 incorporation) to ultraviolet (UVR) and photosynthetically active radiation (PAR) was measured over the course of the late-spring to early-summer phytoplankton bloom in the Ross Sea Polynya (Southern Ocean). Experiments were conducted in November 2005 to determine PAR-only photosynthesis-irradiance (P-E) curves, biological weighting functions (BWFs) using a new version of the photoinhibitron laboratory spectral incubator, and variation in photosynthesis under high vs. low solar UVR treatments in on-deck incubations. These observations were incorporated into a new spectral model of photosynthetic response to UVR + PAR with time-dependent repair rates. The distinguishing feature of this model is that repair scales with inhibition up to a maximum absolute repair rate (r(max)). Once repair is limited at the maximum rate, additional exposure has a more severe inhibitory effect on photosynthesis, consistent with measured exposure response curves. Parameters for the BWFRmax/P-E model were determined for 10 sampling locations ranging from mixed diatom and Phaeocystis antarctica assemblages at the beginning of the bloom to assemblages dominated by P. antarctica at the peak of the bloom. The model explained 86-97% of the measured spectral variation with BWFs severalfold higher (more inhibitory) than those previously measured in the Weddell-Scotia Confluence and coastal waters near the Antarctic Peninsula. Predicted relative productivity (ratio of modeled photosynthesis under high vs. low UVR) was close to observed relative productivity, but absolute photosynthetic rates were higher in the on-deck incubations than in the photoinhibitron.</t>
  </si>
  <si>
    <t>[Smyth, Robyn L.; Sobrino, Cristina; Phillips-Kress, Jesse; Kim, Hae-Cheol; Neale, Patrick J.] Smithsonian Environm Res Ctr, Edgewater, MD 21037 USA</t>
  </si>
  <si>
    <t>Smithsonian Institution; Smithsonian Environmental Research Center</t>
  </si>
  <si>
    <t>Neale, PJ (corresponding author), Smithsonian Environm Res Ctr, POB 28, Edgewater, MD 21037 USA.</t>
  </si>
  <si>
    <t>nealep@si.edu</t>
  </si>
  <si>
    <t>Sobrino, Cristina/J-3534-2012; Neale, Patrick/A-3683-2012</t>
  </si>
  <si>
    <t>Sobrino, Cristina/0000-0003-0431-1220; Neale, Patrick/0000-0002-4047-8098</t>
  </si>
  <si>
    <t>National Science Foundation [0127037, OPP 0127022, OPP 0125818, 0839011]; Scientific Committee for Antarctic Research; Spanish Ministry of Education and Science; Office of Polar Programs (OPP); Directorate For Geosciences [0839011] Funding Source: National Science Foundation</t>
  </si>
  <si>
    <t>National Science Foundation(National Science Foundation (NSF)); Scientific Committee for Antarctic Research; Spanish Ministry of Education and Science(Spanish Government); Office of Polar Programs (OPP); Directorate For Geosciences(National Science Foundation (NSF)NSF - Directorate for Geosciences (GEO))</t>
  </si>
  <si>
    <t>We gratefully acknowledge the support of the officers and crew of the Research Vessel Icebreaker Nathaniel B. Palmer, the technical support staff from Raytheon Polar Services, and scientists aboard the October-December 2005 Ross Sea cruise (NBP0508). We also thank Brad Herried of the Polar Geospatial Center at the University of Minnesota for creating the map shown in Figure 1. The National Science Foundation is acknowledged for support to the mixing and ultraviolet radiation in the Ross Sea (MIXURS) project (Office of Polar Programs [OPP] 0127037 to P.J.N., OPP 0127022 to W. Jeffrey, and OPP 0125818 to A. E. Gargett) and for model development (Office of Polar Programs-0839011). C. S. was supported by an Asturias Fellowship from the Scientific Committee for Antarctic Research and by the Spanish Ministry of Education and Science. We would also like to thank two anonymous reviewers.</t>
  </si>
  <si>
    <t>0024-3590</t>
  </si>
  <si>
    <t>1939-5590</t>
  </si>
  <si>
    <t>LIMNOL OCEANOGR</t>
  </si>
  <si>
    <t>Limnol. Oceanogr.</t>
  </si>
  <si>
    <t>10.4319/lo.2012.57.6.1602</t>
  </si>
  <si>
    <t>065PE</t>
  </si>
  <si>
    <t>WOS:000313159700002</t>
  </si>
  <si>
    <t>Evans, C; Brussaard, CPD</t>
  </si>
  <si>
    <t>Evans, Claire; Brussaard, Corina P. D.</t>
  </si>
  <si>
    <t>Viral lysis and microzooplankton grazing of phytoplankton throughout the Southern Ocean</t>
  </si>
  <si>
    <t>HETEROTROPHIC BACTERIA; MARINE-PHYTOPLANKTON; IRON REQUIREMENTS; MORTALITY; PLANKTON; RELEASE; VIRUSES; GROWTH; BIOAVAILABILITY; SYNECHOCOCCUS</t>
  </si>
  <si>
    <t>We investigated microzooplankton grazing and viral lysis of the pico- and nanophytoplankton community in the Southern Ocean during the Sensitivity of Sub-Antarctic Zone Waters to Global Change cruise to the Australian sector (January-February 2007) and the Antarctic-XXIV/3 (February-March 2008) expedition to the Greenwich Meridian and the Drake Passage. A dilution assay was employed in concert with flow cytometry at stations that spanned the sub-Antarctic, Polar Frontal, and Antarctic Zones and in the Weddell Gyre. Both viral lysis and microzooplankton grazing played a significant role in controlling cyanobacterial populations, except in the sub-Antarctic west of Tasmania, where their growth was regulated by grazing alone. Three main groups of eukaryotic algae were detected, and these were calculated to have average cell diameters of 0.8, 2.1, and 3.7 mu m. Grazing was significant in the control of their growth at all locations, whereas viral lysis of eukaryotic algae was comparatively minor, as it was detected in only 40% of the experiments. Throughout the surveyed sites no pattern between geographical location and growth rates and/or mortality rates could be established for any of the phytoplankton groups. Estimates of iron regeneration indicated that as a result of its widespread occurrence, microzooplankton grazing is a more consistent source of regenerated iron to the Southern Ocean but that viral lysis can be responsible for significant pulses of iron into the dissolved pool.</t>
  </si>
  <si>
    <t>[Evans, Claire; Brussaard, Corina P. D.] Royal Netherlands Inst Sea Res, Dept Biol Oceanog, Texel, Netherlands</t>
  </si>
  <si>
    <t>Utrecht University; Royal Netherlands Institute for Sea Research (NIOZ)</t>
  </si>
  <si>
    <t>Evans, C (corresponding author), Royal Netherlands Inst Sea Res, Dept Biol Oceanog, Texel, Netherlands.</t>
  </si>
  <si>
    <t>claire.evans@nioz.nl</t>
  </si>
  <si>
    <t>Division for Earth and Life Sciences; Netherlands Organization for Scientific Research</t>
  </si>
  <si>
    <t>Division for Earth and Life Sciences; Netherlands Organization for Scientific Research(Netherlands Organization for Scientific Research (NWO))</t>
  </si>
  <si>
    <t>We thank the captains and crews of R/Vs Aurora Australis and Polarstern and the chief scientists Brian Griffiths and Eberhard Fahrbach. We are grateful to Jan van Ooijen, Mark Rosenberg, and Neale Johnston for physical and nutrient data. We thank Erwin Frijling for help with analysis of samples onboard R/V Polarstern and Joost Brandsma for the preparation of figures. We gratefully acknowledge the comments of two anonymous reviewers, which improved this manuscript. The investigations were supported by the Division for Earth and Life Sciences, with financial aid from the Netherlands Organization for Scientific Research.</t>
  </si>
  <si>
    <t>10.4319/lo.2012.57.6.1826</t>
  </si>
  <si>
    <t>WOS:000313159700019</t>
  </si>
  <si>
    <t>Zender, CS</t>
  </si>
  <si>
    <t>Zender, Charles S.</t>
  </si>
  <si>
    <t>CRYOSCIENCE Snowfall brightens Antarctic future</t>
  </si>
  <si>
    <t>NATURE CLIMATE CHANGE</t>
  </si>
  <si>
    <t>Editorial Material</t>
  </si>
  <si>
    <t>ALBEDO FEEDBACK</t>
  </si>
  <si>
    <t>Univ Calif Irvine, Dept Earth Syst Sci, Irvine, CA 92697 USA</t>
  </si>
  <si>
    <t>University of California System; University of California Irvine</t>
  </si>
  <si>
    <t>Zender, CS (corresponding author), Univ Calif Irvine, Dept Earth Syst Sci, Irvine, CA 92697 USA.</t>
  </si>
  <si>
    <t>zender@uci.edu</t>
  </si>
  <si>
    <t>Zender, Charles S/D-4485-2012</t>
  </si>
  <si>
    <t>Zender, Charles S/0000-0003-0129-8024</t>
  </si>
  <si>
    <t>1758-678X</t>
  </si>
  <si>
    <t>1758-6798</t>
  </si>
  <si>
    <t>NAT CLIM CHANGE</t>
  </si>
  <si>
    <t>Nat. Clim. Chang.</t>
  </si>
  <si>
    <t>10.1038/nclimate1730</t>
  </si>
  <si>
    <t>Environmental Sciences; Environmental Studies; Meteorology &amp; Atmospheric Sciences</t>
  </si>
  <si>
    <t>Science Citation Index Expanded (SCI-EXPANDED); Social Science Citation Index (SSCI)</t>
  </si>
  <si>
    <t>Environmental Sciences &amp; Ecology; Meteorology &amp; Atmospheric Sciences</t>
  </si>
  <si>
    <t>044AD</t>
  </si>
  <si>
    <t>WOS:000311590900007</t>
  </si>
  <si>
    <t>Stibal, M; Sabacká, M; Zársky, J</t>
  </si>
  <si>
    <t>Stibal, Marek; Sabacka, Marie; Zarsky, Jakub</t>
  </si>
  <si>
    <t>Biological processes on glacier and ice sheet surfaces</t>
  </si>
  <si>
    <t>NATURE GEOSCIENCE</t>
  </si>
  <si>
    <t>ORGANIC-MATTER; MICROBIAL COMMUNITIES; CRYOCONITE HOLES; ABLATION ZONE; TIEN-SHAN; NO. 1; GREENLAND; CARBON; DUST; BIOGEOCHEMISTRY</t>
  </si>
  <si>
    <t>Glaciers and ice sheets are melting in response to climate warming. Whereas the physical behaviour of glaciers has been studied intensively, the biological processes associated with glaciers and ice sheets have received less attention. Nevertheless, field observations and laboratory experiments suggest that biological processes that occur on the surface of glaciers and ice sheets - collectively termed supraglacial environments - can affect the physical behaviour of glaciers by changing surface reflectivity. Furthermore, supraglacial cyanobacteria and algae capture carbon dioxide from the atmosphere and convert it into organic matter. Supraglacial microbes break down this material, together with organic matter transported from further afield, and generate carbon dioxide that is released back into the atmosphere. The balance between these two processes will determine whether a glacier is a net sink or source of carbon dioxide. In general, ice sheet interiors seem to function as sinks, whereas ice sheet edges and small glaciers act as a source. Meltwaters flush microbially modified organic matter and pollutants out of the glacier, with potential consequences for downstream ecosystems. We conclude that microbes living on glaciers and ice sheets are an integral part of both the glacial environment and the Earth's ecosystem.</t>
  </si>
  <si>
    <t>[Stibal, Marek] Geol Survey Denmark &amp; Greenland, Dept Geochem, DK-1350 Copenhagen K, Denmark; [Stibal, Marek] Univ Copenhagen, Dept Geog &amp; Geol, Ctr Permafrost, DK-1350 Copenhagen K, Denmark; [Sabacka, Marie] British Antarctic Survey, Cambridge CB3 0ET, England; [Sabacka, Marie] Univ S Bohemia, Ctr Polar Ecol, Ceske Budejovice 37005, Czech Republic; [Zarsky, Jakub] Univ Innsbruck, Inst Ecol, A-6020 Innsbruck, Austria</t>
  </si>
  <si>
    <t>Geological Survey Of Denmark &amp; Greenland; University of Copenhagen; UK Research &amp; Innovation (UKRI); Natural Environment Research Council (NERC); NERC British Antarctic Survey; University of South Bohemia Ceske Budejovice; University of Innsbruck</t>
  </si>
  <si>
    <t>Stibal, M (corresponding author), Geol Survey Denmark &amp; Greenland, Dept Geochem, Oster Voldgade 10, DK-1350 Copenhagen K, Denmark.</t>
  </si>
  <si>
    <t>msti@geus.dk</t>
  </si>
  <si>
    <t>Sabacka, Marie/I-6378-2012; Stibal, Marek/I-3852-2016; Zarsky, Jakub Dan/D-1383-2013</t>
  </si>
  <si>
    <t>Zarsky, Jakub Dan/0000-0001-7072-0327; Stibal, Marek/0000-0002-9998-5086; Sabacka, Marie/0000-0002-0876-2718</t>
  </si>
  <si>
    <t>Danish Research Council [FNU 10-085274]; Marie-Curie ITN NSINK [215503]; University of Innsbruck [2011/2/Bio22 140797]; Natural Environment Research Council [bas0100027, bas0100025] Funding Source: researchfish; NERC [bas0100025, bas0100027] Funding Source: UKRI</t>
  </si>
  <si>
    <t>Danish Research Council(Det Frie Forskningsrad (DFF)); Marie-Curie ITN NSINK; University of Innsbruck; Natural Environment Research Council(UK Research &amp; Innovation (UKRI)Natural Environment Research Council (NERC)); NERC(UK Research &amp; Innovation (UKRI)Natural Environment Research Council (NERC))</t>
  </si>
  <si>
    <t>MS was supported by Danish Research Council grant FNU 10-085274. JZ acknowledges the support from Marie-Curie ITN NSINK Project No. 215503 and a scholarship of the University of Innsbruck (2011/2/Bio22 140797).</t>
  </si>
  <si>
    <t>75 VARICK ST, 9TH FLR, NEW YORK, NY 10013-1917 USA</t>
  </si>
  <si>
    <t>1752-0894</t>
  </si>
  <si>
    <t>1752-0908</t>
  </si>
  <si>
    <t>NAT GEOSCI</t>
  </si>
  <si>
    <t>Nat. Geosci.</t>
  </si>
  <si>
    <t>10.1038/ngeo1611</t>
  </si>
  <si>
    <t>032HZ</t>
  </si>
  <si>
    <t>WOS:000310707900010</t>
  </si>
  <si>
    <t>Villalba, R; Lara, A; Masiokas, MH; Urrutia, R; Luckman, BH; Marshall, GJ; Mundo, IA; Christie, DA; Cook, ER; Neukom, R; Allen, K; Fenwick, P; Boninsegna, JA; Srur, AM; Morales, MS; Araneo, D; Palmer, JG; Cuq, E; Aravena, JC; Holz, A; LeQuesne, C</t>
  </si>
  <si>
    <t>Villalba, Ricardo; Lara, Antonio; Masiokas, Mariano H.; Urrutia, Rocio; Luckman, Brian H.; Marshall, Gareth J.; Mundo, Ignacio A.; Christie, Duncan A.; Cook, Edward R.; Neukom, Raphael; Allen, Kathryn; Fenwick, Pavla; Boninsegna, Jose A.; Srur, Ana M.; Morales, Mariano S.; Araneo, Diego; Palmer, Jonathan G.; Cuq, Emilio; Aravena, Juan C.; Holz, Andres; LeQuesne, Carlos</t>
  </si>
  <si>
    <t>Unusual Southern Hemisphere tree growth patterns induced by changes in the Southern Annular Mode</t>
  </si>
  <si>
    <t>CLIMATE-CHANGE; PART II; RECONSTRUCTIONS; TRENDS; PRECIPITATION; 20TH-CENTURY; VARIABILITY; CIRCULATION; REGION; RECORD</t>
  </si>
  <si>
    <t>Recent changes in the summer climate of the Southern Hemisphere extra-tropics are primarily related to the dominance of the positive phase of the Southern Annular Mode(1,2). This shift in the behaviour of the Southern Annular Mode-essentially a measure of the pressure gradient between Southern Hemisphere mid and high latitudes-has been predominantly induced by polar stratospheric ozone depletion(2-4). The concomitant southward expansion of the dry subtropical belts(5,6) could have consequences for forest growth. Here, we use tree-ring records from over 3,000 trees in South America, Tasmania and New Zealand to identify dominant patterns of tree growth in recent centuries. We show that the foremost patterns of growth between 1950 and 2000 differed significantly from those in the previous 250 years. Specifically, growth was higher than the long-term average in the subalpine forests of Tasmania and New Zealand, but lower in the dry-mesic forests of Patagonia. We further demonstrate that variations in the Southern Annular Mode can explain 12-48% of the tree growth anomalies in the latter half of the twentieth century. Tree-ring-based reconstructions of summer Southern Annular Mode indices suggest that the high frequency of the positive phase since the 1950s is unprecedented in the past 600 years. We propose that changes in the Southern Annular Mode have significantly altered tree growth patterns in the Southern Hemisphere.</t>
  </si>
  <si>
    <t>[Villalba, Ricardo; Masiokas, Mariano H.; Mundo, Ignacio A.; Boninsegna, Jose A.; Srur, Ana M.; Morales, Mariano S.; Araneo, Diego] CCT Mendoza, Inst Argentino Nivol Glaciol &amp; Ciencias Ambiental, CONICET, RA-5500 Mendoza, Argentina; [Lara, Antonio; Urrutia, Rocio; Christie, Duncan A.; Cuq, Emilio; LeQuesne, Carlos] Univ Austral Chile, Lab Dendrocronol &amp; Cambio Global, Fac Ciencias Forestales &amp; Recursos Naturales, Valdivia, Chile; [Luckman, Brian H.] Univ Western Ontario, Dept Geog, London, ON N6A 3K1, Canada; [Marshall, Gareth J.] British Antarctic Survey, Cambridge CB3 0ET, England; [Cook, Edward R.] Columbia Univ, Lamont Doherty Earth Observ, Palisades, NY 10964 USA; [Neukom, Raphael] Univ Bern, Oeschger Ctr Climate Change Res, CH-3012 Bern, Switzerland; [Neukom, Raphael] Swiss Fed Res Inst WSL, CH-8903 Birmensdorf, Switzerland; [Allen, Kathryn] Monash Univ, Clayton, Vic 3800, Australia; [Fenwick, Pavla; Palmer, Jonathan G.] Gondwana Tree Ring Lab, Canterbury 7546, New Zealand; [Aravena, Juan C.] Ctr Estudios Cuaternario, Punta Arenas, Chile; [Holz, Andres] Univ Tasmania, Sch Plant Sci, Hobart, Tas 7001, Australia</t>
  </si>
  <si>
    <t>Consejo Nacional de Investigaciones Cientificas y Tecnicas (CONICET); Universidad Austral de Chile; Western University (University of Western Ontario); UK Research &amp; Innovation (UKRI); Natural Environment Research Council (NERC); NERC British Antarctic Survey; Columbia University; University of Bern; Swiss Federal Institutes of Technology Domain; Swiss Federal Institute for Forest, Snow &amp; Landscape Research; Monash University; University of Tasmania</t>
  </si>
  <si>
    <t>Villalba, R (corresponding author), CCT Mendoza, Inst Argentino Nivol Glaciol &amp; Ciencias Ambiental, CONICET, Casilla Correo 330, RA-5500 Mendoza, Argentina.</t>
  </si>
  <si>
    <t>ricardo@mendoza-conicet.gob.ar</t>
  </si>
  <si>
    <t>Aravena, Juan-Carlos/D-5687-2013; Holz, Andres/D-1826-2014; Palmer, Jonathan/J-7834-2012; Holz, Andres/E-8748-2010; Neukom, Raphael/J-7842-2017; Christie, Duncan A./Q-7114-2016; Allen, Kathryn/AAH-8535-2019</t>
  </si>
  <si>
    <t>Holz, Andres/0000-0002-8587-2603; Palmer, Jonathan/0000-0002-6665-4483; Christie, Duncan A./0000-0003-2540-0986; Allen, Kathryn/0000-0002-8403-4552; Villalba, Ricardo/0000-0001-8183-0310; Urrutia-Jalabert, Rocio/0000-0002-3548-4813; Neukom, Raphael/0000-0001-9392-0997; Srur, Ana M./0000-0001-8533-5296; Masiokas, Mariano/0009-0007-1437-415X; Mundo, Ignacio/0000-0002-7189-6073; Lara, Antonio/0000-0003-4998-4584</t>
  </si>
  <si>
    <t>Inter-American Institute for Global Change Research (IAI) [CRN 2047]; US National Science Foundation [GEO-0452325]; Argentinean Council of Research and Technology (CONICET); Argentinean Agency for Promotion of Science and Technology [PICTR02-186]; FONDECYT from the National Research Fund of Chile [1090479, 1120965]; UK Natural Environment Research Council; Australian Research Council [DP120104320]; Natural Environment Research Council [bas0100023] Funding Source: researchfish; NERC [bas0100023] Funding Source: UKRI</t>
  </si>
  <si>
    <t>Inter-American Institute for Global Change Research (IAI); US National Science Foundation(National Science Foundation (NSF)); Argentinean Council of Research and Technology (CONICET)(Consejo Nacional de Investigaciones Cientificas y Tecnicas (CONICET)); Argentinean Agency for Promotion of Science and Technology; FONDECYT from the National Research Fund of Chile(Comision Nacional de Investigacion Cientifica y Tecnologica (CONICYT)CONICYT FONDECYT); UK Natural Environment Research Council(UK Research &amp; Innovation (UKRI)Natural Environment Research Council (NERC)); Australian Research Council(Australian Research Council); Natural Environment Research Council(UK Research &amp; Innovation (UKRI)Natural Environment Research Council (NERC)); NERC(UK Research &amp; Innovation (UKRI)Natural Environment Research Council (NERC))</t>
  </si>
  <si>
    <t>This work was supported by the Inter-American Institute for Global Change Research (IAI) CRN 2047, which is supported by the US National Science Foundation (Grant GEO-0452325), by the Argentinean Council of Research and Technology (CONICET), the Argentinean Agency for Promotion of Science and Technology (PICTR02-186) and by FONDECYT Grant Nos 1090479 and 1120965 from the National Research Fund of Chile. G.J.M. is supported by the UK Natural Environment Research Council through the British Antarctic Survey research programme Polar Science for Planet Earth. K. A. is supported by Australian Research Council grant DP120104320 to P.Baker. This work benefited from discussions with P. Sheppard and A. Bahamondez.</t>
  </si>
  <si>
    <t>10.1038/NGEO1613</t>
  </si>
  <si>
    <t>WOS:000310707900015</t>
  </si>
  <si>
    <t>Jamieson, SSR; Vieli, A; Livingstone, SJ; Cofaigh, CO; Stokes, C; Hillenbrand, CD; Dowdeswell, JA</t>
  </si>
  <si>
    <t>Jamieson, Stewart S. R.; Vieli, Andreas; Livingstone, Stephen J.; Cofaigh, Colm O.; Stokes, Chris; Hillenbrand, Claus-Dieter; Dowdeswell, Julian A.</t>
  </si>
  <si>
    <t>Ice-stream stability on a reverse bed slope</t>
  </si>
  <si>
    <t>GROUNDING LINE; SHEET; DYNAMICS; GREENLAND; MIGRATION; GLACIERS; RETREAT; SHELF</t>
  </si>
  <si>
    <t>Marine-based ice streams whose beds deepen inland are thought to be inherently unstable(1-3). This instability is of particular concern because significant portions of the marine-based West Antarctic and Greenland ice sheets are losing mass and their retreat could contribute significantly to future sea-level rise(4-7). However, the present understanding of ice-stream stability is limited by observational records that are too short to resolve multi-decadal to millennial-scale behaviour or to validate numerical models(8). Here we present a dynamic numerical simulation of Antarctic ice-stream retreat since the Last Glacial Maximum (LGM), constrained by geophysical data, whose behaviour is consistent with the geomorphological record. We find that retreat of Marguerite Bay Ice Stream following the LGM was highly nonlinear and was interrupted by stabilizations on a reverse-sloping bed, where theory predicts rapid unstable retreat. We demonstrate that these transient stabilizations were caused by enhanced lateral drag as the ice stream narrowed. We conclude that, as well as bed topography, ice-stream width and long-term retreat history are crucial for understanding decadal- to centennial-scale ice-stream behaviour and marine ice-sheet vulnerability.</t>
  </si>
  <si>
    <t>[Jamieson, Stewart S. R.; Vieli, Andreas; Cofaigh, Colm O.; Stokes, Chris] Univ Durham, Dept Geog, Durham DH1 3LE, England; [Livingstone, Stephen J.] Univ Sheffield, Dept Geog, Sheffield S10 2TN, S Yorkshire, England; [Hillenbrand, Claus-Dieter] British Antarctic Survey, Cambridge CB3 0ET, England; [Dowdeswell, Julian A.] Univ Cambridge, Scott Polar Res Inst, Cambridge CB2 1ER, England</t>
  </si>
  <si>
    <t>Durham University; University of Sheffield; UK Research &amp; Innovation (UKRI); Natural Environment Research Council (NERC); NERC British Antarctic Survey; University of Cambridge</t>
  </si>
  <si>
    <t>Jamieson, SSR (corresponding author), Univ Durham, Dept Geog, South Rd, Durham DH1 3LE, England.</t>
  </si>
  <si>
    <t>Stewart.Jamieson@durham.ac.uk</t>
  </si>
  <si>
    <t>Jamieson, Stewart S.R./B-8330-2013; Vieli, Andreas/A-6767-2011; Stokes, Chris/A-1957-2011</t>
  </si>
  <si>
    <t>Jamieson, Stewart S.R./0000-0002-9036-2317; Stokes, Chris/0000-0003-3355-1573; Vieli, Andreas/0000-0002-2870-5921; Dowdeswell, Julian/0000-0003-1369-9482; Livingstone, Stephen/0000-0002-7240-5037</t>
  </si>
  <si>
    <t>Natural Environment Research Council, UK [NE/G015430/1]; NERC [NE/G018677/1, NE/G015430/1, bas0100027] Funding Source: UKRI; Natural Environment Research Council [NE/G018677/1, NE/G015430/1, bas0100027] Funding Source: researchfish</t>
  </si>
  <si>
    <t>Natural Environment Research Council, UK(UK Research &amp; Innovation (UKRI)Natural Environment Research Council (NERC)); NERC(UK Research &amp; Innovation (UKRI)Natural Environment Research Council (NERC)); Natural Environment Research Council(UK Research &amp; Innovation (UKRI)Natural Environment Research Council (NERC))</t>
  </si>
  <si>
    <t>We thank T. Pfeffer, T. Payne and R. Hindmarsh for constructive comments. This project was financially supported by the Natural Environment Research Council, UK, grant no. NE/G015430/1.</t>
  </si>
  <si>
    <t>10.1038/NGEO1600</t>
  </si>
  <si>
    <t>WOS:000310707900016</t>
  </si>
  <si>
    <t>Tripathi, R; Dhuldhaj, UP; Singh, S</t>
  </si>
  <si>
    <t>Tripathi, Ranjana; Dhuldhaj, Umesh P.; Singh, Surendra</t>
  </si>
  <si>
    <t>Short Communication: Effects of temperature on growth, pigment composition and protein content of an Antarctic Cyanobacterium Nostoc commune</t>
  </si>
  <si>
    <t>NUSANTARA BIOSCIENCE</t>
  </si>
  <si>
    <t>Cyanobacterium; low-temperature; growth rate; phycobiliproteins; pigments</t>
  </si>
  <si>
    <t>Tripathi R, Dhuldhaj UP, Singh S. 2012. Short Communication: Effects of temperature on growth, pigment composition and protein content of an Antarctic Cyanobacterium Nostoc commune. Nusantara Bioscience 4: 134-137. Effect of temperature variation on biomass accumulation, pigment composition and protein content were studied for the cyanobacterium Nostoc commune, isolated from Antarctica. Results confirmed the psychrotrophic behavior (optimum growth temperature 25 degrees C) of the cyanobacterium. Low temperature increased the duration of lag phase and exponential growth phase. Maximum increase in biomass was recorded on 24th day at 25 degrees C and on 12th day at 5 degrees C. The downshift from 25 to 5 degrees C had almost negligible effect on chl a content. Maximal protein content was recorded for cultures growing at 5 degrees C on 12th day. The carotenoids/chl a ratio was maximum (2.48) at 5 degrees C on 9th day. It remained almost constant for cultures growing at 5 and 35 degrees C. There was an induction in protein synthesis following downshift in temperature from 25 to 5 degrees C.</t>
  </si>
  <si>
    <t>[Tripathi, Ranjana; Dhuldhaj, Umesh P.; Singh, Surendra] Banaras Hindu Univ, Fac Sci, Ctr Adv Study Bot, Varanasi 221005, Uttar Pradesh, India</t>
  </si>
  <si>
    <t>Banaras Hindu University (BHU)</t>
  </si>
  <si>
    <t>Singh, S (corresponding author), Banaras Hindu Univ, Fac Sci, Ctr Adv Study Bot, Varanasi 221005, Uttar Pradesh, India.</t>
  </si>
  <si>
    <t>surendrasingh.bhu@gmail.com</t>
  </si>
  <si>
    <t>UNIV SEBELAS MARET</t>
  </si>
  <si>
    <t>SURAKARTA</t>
  </si>
  <si>
    <t>IR SUTAMI 36 A, SURAKARTA, 57126, INDONESIA</t>
  </si>
  <si>
    <t>2087-3948</t>
  </si>
  <si>
    <t>2087-3956</t>
  </si>
  <si>
    <t>NUSANT BIOSCI</t>
  </si>
  <si>
    <t>Nusant. Biosci.</t>
  </si>
  <si>
    <t>10.13057/nusbiosci/n040308</t>
  </si>
  <si>
    <t>Emerging Sources Citation Index (ESCI)</t>
  </si>
  <si>
    <t>V4L2L</t>
  </si>
  <si>
    <t>WOS:000219033800008</t>
  </si>
  <si>
    <t>Korczak-Abshire, M; Chwedorzewska, KJ; Wasowicz, P; Bednarek, PT</t>
  </si>
  <si>
    <t>Korczak-Abshire, M.; Chwedorzewska, K. J.; Wasowicz, P.; Bednarek, P. T.</t>
  </si>
  <si>
    <t>Genetic structure of declining chinstrap penguin (Pygoscelis antarcticus) populations from South Shetland Islands (Antarctica)</t>
  </si>
  <si>
    <t>Pygoscelis antarcticus; Genetic structure; Amplified fragment length polymorphisms; South Shetland Islands</t>
  </si>
  <si>
    <t>KING-GEORGE-ISLAND; SEA-ICE; ADELIE; VARIABILITY; AFLP; COMPETITION; DYNAMICS; WHALES; REVEAL; GENTOO</t>
  </si>
  <si>
    <t>Seabirds and their response to climate perturbations are important bioindicators of changes in Antarctic ecosystems. During 30 years of observations of two chinstrap penguin (Pygoscelis antarcticus) colonies, one on King George Island and the other on Penguin Island (South Shetland Islands, Antarctica), the size of the breeding populations decreased by 84 and 41 %, respectively. We applied analyses of amplified fragment length polymorphisms to study the genetic structure of the two populations and to evaluate the influence of the sudden population decrease. Our data indicate that there were only weak genetic differences between the populations, which were not strong enough to support the hypothesis of population differentiation. Weak genetic differences observed between the two populations seem not to be determined by selection processes. We hypothesize that the very low level of between-population genetic structure can be explained by some extent of genetic drift, which is largely compensated by gene flow. Moreover, the two populations seem to remain in a stationary state. Our results support the hypothesis of limited natal philopatry in chinstrap penguins. The observed decrease in population size is probably caused by emigration or a rise in juvenile mortality due to the increasing krill limitation of the marine food web. However, detailed research is required to address this issue.</t>
  </si>
  <si>
    <t>[Korczak-Abshire, M.; Chwedorzewska, K. J.] Polish Acad Sci, Inst Biochem &amp; Biophys, Dept Antarctic Biol, PL-02141 Warsaw, Poland; [Wasowicz, P.] Cardinal Stefan Wyszynski Univ, Fac Biol &amp; Environm Sci, PL-01938 Warsaw, Poland; [Bednarek, P. T.] Natl Res Inst, Plant Breeding &amp; Acclimatizat Inst, PL-05870 Blonie, Poland</t>
  </si>
  <si>
    <t>Polish Academy of Sciences; Institute of Biochemistry &amp; Biophysics - Polish Academy of Sciences; Cardinal Stefan Wyszynski University in Warsaw; Institute of Plant Breeding &amp; Acclimatization</t>
  </si>
  <si>
    <t>Korczak-Abshire, M (corresponding author), Polish Acad Sci, Inst Biochem &amp; Biophys, Dept Antarctic Biol, Ustrzycka 10-12, PL-02141 Warsaw, Poland.</t>
  </si>
  <si>
    <t>korczakm@gmail.com</t>
  </si>
  <si>
    <t>Bednarek, Piotr/A-9523-2009; Wasowicz, Pawel/A-7295-2013; Chwedorzewska, Katarzyna J/A-9480-2008; Chwedorzewska, Katarzyna/M-9721-2019; Korczak-Abshire, Malgorzata/AAA-1563-2020</t>
  </si>
  <si>
    <t>Wasowicz, Pawel/0000-0002-6864-6786; Chwedorzewska, Katarzyna/0000-0001-6860-3666; Korczak-Abshire, Malgorzata/0000-0001-7695-0588; Bednarek, Piotr Tomasz/0000-0002-1553-8378</t>
  </si>
  <si>
    <t>Ministry of Scientific Research and Higher Education [IPY/268/2006]</t>
  </si>
  <si>
    <t>Ministry of Scientific Research and Higher Education</t>
  </si>
  <si>
    <t>The authors wish to thank the members of the 31st Polish Antarctic Expedition on Arctowski Station for logistical support during field season, especially Piotr Angiel M.Sc. who also helped in collecting feather samples. The authors would also like to thank Dr Anna Kidawa for her professional opinion. The authors would also like to thank the anonymous reviewers for their critical comments and valuable suggestions, which helped to improve this manuscript. This research was supported by the Ministry of Scientific Research and Higher Education grant IPY/268/2006.</t>
  </si>
  <si>
    <t>10.1007/s00300-012-1210-7</t>
  </si>
  <si>
    <t>hybrid, Green Submitted</t>
  </si>
  <si>
    <t>WOS:000310207900007</t>
  </si>
  <si>
    <t>Park, JS; Ahn, IY; Lee, EJ</t>
  </si>
  <si>
    <t>Park, Jeong Soo; Ahn, In-Young; Lee, Eun Ju</t>
  </si>
  <si>
    <t>Influence of soil properties on the distribution of Deschampsia antarctica on King George Island, Maritime Antarctica</t>
  </si>
  <si>
    <t>Deschampsia antarctica; Soil properties; Maritime Antarctic; Bayesian inference; Soil nutrients</t>
  </si>
  <si>
    <t>SOUTH SHETLAND ISLANDS; SPECIES RICHNESS; WEST ANTARCTICA; VASCULAR PLANTS; ORGANIC-MATTER; VEGETATION; CHEMISTRY; PATTERNS; LICHENS; STATION</t>
  </si>
  <si>
    <t>The extremely cold and infertile Antarctic is one of the harshest terrestrial ecosystems for the growth of vegetation, except for the grass species Deschampsia antarctica. We examined the main soil variables that determine the distribution of D. antarctica in King George Island by using Bayesian analysis of variance and regression methods. This study compared the density of D. antarctica between 2 sites; the density remained relatively stable at site 1, whereas it severely decreased in site 2 over a period of 3 years. Although site 2 showed better soil conditions for the growth of D. antarctica such as organic matter content, available phosphorus, NO3-N, and extractable cations, its poor drainage and low soil pH may affected the survival of D. antarctica by altering nutrition availability and inhibiting root respiration. Poisson analysis of covariance showed that the early melting of snow was also an important factor in the distribution of D. antarctica. The results also showed that seabirds and mammals might have greatly influenced the distribution of the grass species in King George Island by transferring nutrients from the sea onto land; thus, changing the chemical characteristics of the soil.</t>
  </si>
  <si>
    <t>[Park, Jeong Soo; Lee, Eun Ju] Seoul Natl Univ, Sch Biol Sci, Seoul 151742, South Korea; [Ahn, In-Young] Korea Polar Res Inst, Inchon 406840, South Korea</t>
  </si>
  <si>
    <t>Seoul National University (SNU); Korea Polar Research Institute (KOPRI); Korea Institute of Ocean Science &amp; Technology (KIOST)</t>
  </si>
  <si>
    <t>Lee, EJ (corresponding author), Seoul Natl Univ, Sch Biol Sci, Seoul 151742, South Korea.</t>
  </si>
  <si>
    <t>ejlee@snu.ac.kr</t>
  </si>
  <si>
    <t>Lee, Eun-ju/JAN-8749-2023; lee, wj/JNR-4926-2023</t>
  </si>
  <si>
    <t>Korea Polar Research Institute [PE10040]</t>
  </si>
  <si>
    <t>Korea Polar Research Institute(Korea Polar Research Institute of Marine Research Placement (KOPRI))</t>
  </si>
  <si>
    <t>We are very grateful to all the staff of the King Sejong Station for their cooperation and hospitality. We thank Jeong-Hoon Kim for his valuable comments about the distribution of D. antarctica. We are grateful to Namyi Chae and Bang Yong Lee for providing the weather information. Finally, we thank Dr. Dieter Piepenburg and anonymous referees for their helpful comments. This research was supported by Korea Polar Research Institute (Grant No. PE10040). The authors declare that they have no conflict of interest.</t>
  </si>
  <si>
    <t>10.1007/s00300-012-1213-4</t>
  </si>
  <si>
    <t>WOS:000310207900009</t>
  </si>
  <si>
    <t>Torre, L; Servetto, N; Eöry, ML; Momo, F; Tatian, M; Abele, D; Sahade, R</t>
  </si>
  <si>
    <t>Torre, Luciana; Servetto, Natalia; Leonel Eoery, Matias; Momo, Fernando; Tatian, Marcos; Abele, Doris; Sahade, Ricardo</t>
  </si>
  <si>
    <t>Respiratory responses of three Antarctic ascidians and a sea pen to increased sediment concentrations</t>
  </si>
  <si>
    <t>Molgula pedunculata; Cnemidocarpa verrucosa; Ascidia challengeri; Malacobelemnon daytoni; Glacier melting; Sedimentation</t>
  </si>
  <si>
    <t>KING GEORGE ISLAND; DISSOLVED-OXYGEN; POTTER COVE; REPRODUCTION; FILTRATION</t>
  </si>
  <si>
    <t>Glacial retreat and subglacial bedrock erosion are consequences of rapid regional warming on the West Antarctic Peninsula. Sedimentation of fine-grained eroded particles can impact the physiology of filter-feeding benthic organisms. We investigated the effect of increasing concentrations of sediment on the oxygen consumption of suspension feeding species, the ascidians Molgula pedunculata, Cnemidocarpa verrucosa, Ascidia challengeri, and the pennatulid Malacobelemnon daytoni in Potter Cove (South Shetland Islands, Antarctica). In A. challengeri and C. verrucosa, oxygen consumption increased gradually up to a critical sediment concentration (C (crit)) where species oxygen consumption was maximal (O (max) in mg O-2 g(-1)dm day(-1)) and further addition of sediments decreased respiration. C (crit) was 200 mg L-1 for A. challengeri (O (max) of 0.651 +/- A 0.238) and between 100 and 200 mg L-1 for C. verrucosa (O (max) of 0.898 +/- A 0.582). Oxygen consumption of M. pedunculata increased significantly even at low sediment concentrations (15-50 mg sediment L-1). Contrary to the ascidians, sediment exposure did not affect oxygen consumption of the sea pen. The tiered response to sedimentation in the four species corroborates recent field observations that detected a reduction in the abundance of the sensitive ascidian M. pedunculata from areas strongly affected by glacial sediment discharge, whereas sea pens are increasing in abundance. Our investigation relates consequences (population shifts in filter-feeder communities) to causes (glacial retreat) and is of importance for modelling of climate change effects in Antarctic shallow coastal areas.</t>
  </si>
  <si>
    <t>[Torre, Luciana; Servetto, Natalia; Tatian, Marcos; Sahade, Ricardo] Univ Nacl Cordoba, CONICET, IDEA, Fac Ciencias Exactas Fis &amp; Nat, RA-5000 Cordoba, Argentina; [Leonel Eoery, Matias] Consejo Nacl Invest Cient &amp; Tecn CONICET, Buenos Aires, DF, Argentina; [Momo, Fernando] Univ Nacl Gen Sarmiento, Inst Ciencias, RA-1613 Buenos Aires, DF, Argentina; [Momo, Fernando] Univ Nacl Lujan, INEDES, PIEA, RA-6700 Lujan, Argentina; [Abele, Doris] Alfred Wegener Inst Polar &amp; Marine Res, D-27570 Bremerhaven, Germany</t>
  </si>
  <si>
    <t>National University of Cordoba; Consejo Nacional de Investigaciones Cientificas y Tecnicas (CONICET); Consejo Nacional de Investigaciones Cientificas y Tecnicas (CONICET); Universidad Nacional de Lujan; Helmholtz Association; Alfred Wegener Institute, Helmholtz Centre for Polar &amp; Marine Research</t>
  </si>
  <si>
    <t>Torre, L (corresponding author), Univ Nacl Cordoba, CONICET, IDEA, Fac Ciencias Exactas Fis &amp; Nat, Av Velez Sarsfield 299, RA-5000 Cordoba, Argentina.</t>
  </si>
  <si>
    <t>torreluciana@gmail.com</t>
  </si>
  <si>
    <t>Momo, Fernando R/E-3426-2012; Momo, Fernando/A-5984-2015</t>
  </si>
  <si>
    <t>Momo, Fernando R/0000-0003-0710-1149; Abele, Doris/0000-0002-5766-5017; Torre, Luciana/0000-0002-2090-1258; Tatian, Marcos/0000-0002-9092-9184; Servetto, Natalia/0000-0002-3713-9116; Sahade, Ricardo/0000-0001-5650-8135</t>
  </si>
  <si>
    <t>10.1007/s00300-012-1208-1</t>
  </si>
  <si>
    <t>WOS:000310207900013</t>
  </si>
  <si>
    <t>Parnikoza, I; Dykyy, I; Ivanets, V; Kozeretska, I; Kunakh, V; Rozhok, A; Ochyra, R; Convey, P</t>
  </si>
  <si>
    <t>Parnikoza, I.; Dykyy, I.; Ivanets, V.; Kozeretska, I.; Kunakh, V.; Rozhok, A.; Ochyra, R.; Convey, P.</t>
  </si>
  <si>
    <t>Use of Deschampsia antarctica for nest building by the kelp gull in the Argentine Islands area (maritime Antarctica) and its possible role in plant dispersal</t>
  </si>
  <si>
    <t>Deschampsia antarctica; Maritime Antarctic; Nesting material; Grass; Moss; Plant colonisation</t>
  </si>
  <si>
    <t>VASCULAR PLANTS; CLIMATE-CHANGE</t>
  </si>
  <si>
    <t>During the last 50 years, the western coast of the Antarctic Peninsula and adjacent archipelagos, also known as the maritime Antarctic, has experienced notable climate warming. As a result, expansion of the local distributions of the two native species of vascular plants, Deschampsia antarctica Desv. and Colobanthus quitensis (Kunth.) Bartl., over previously unoccupied ground has been noted. Birds have been suggested to be partially responsible for this spread. The focus of the present study was to document the use of vascular plants in nest building by the kelp gull (Larus dominicanus) in the Argentine Islands region. During the 2009/2010 season, samples from kelp gull nests were collected and analyzed. Besides nests, material lost by birds during transfer was also studied. We demonstrate that, in the Argentine Islands region, Deschampsia antarctica and some bryophytes contribute the majority of nest building material for the kelp gull. Other materials, including lichens, gull feathers, and limpet shells, are used less frequently. The plants can reestablish upon transfer via vegetative or generative means. It thus seems that the kelp gull may potentially serve as a dispersal agent for Deschampsia antarctica.</t>
  </si>
  <si>
    <t>[Parnikoza, I.; Kunakh, V.] NAS Ukraine, Inst Mol Biol &amp; Genet, UA-03680 Kiev, Ukraine; [Dykyy, I.] Ivan Franko Natl Univ Lviv, UA-79002 Lvov, Ukraine; [Ivanets, V.] Natl Univ Kyiv Mohyla Acad, UA-04070 Kiev 70, Ukraine; [Kozeretska, I.; Rozhok, A.] Taras Shevchenko Natl Univ Kyiv, UA-01601 Kiev, Ukraine; [Ochyra, R.] Polish Acad Sci, Inst Bot, PL-31512 Krakow, Poland; [Convey, P.] British Antarctic Survey, Cambridge CB3 0ET, England</t>
  </si>
  <si>
    <t>National Academy of Sciences Ukraine; Institute of Molecular Biology &amp; Genetics of NASU; Ministry of Education &amp; Science of Ukraine; Ivan Franko National University Lviv; Ministry of Education &amp; Science of Ukraine; National University of Kyiv Mohyla Academy; Ministry of Education &amp; Science of Ukraine; Taras Shevchenko National University of Kyiv; Polish Academy of Sciences; UK Research &amp; Innovation (UKRI); Natural Environment Research Council (NERC); NERC British Antarctic Survey</t>
  </si>
  <si>
    <t>Parnikoza, I (corresponding author), NAS Ukraine, Inst Mol Biol &amp; Genet, Zabolotnogo Str 150, UA-03680 Kiev, Ukraine.</t>
  </si>
  <si>
    <t>Parnikoza@gmail.com</t>
  </si>
  <si>
    <t>Ivan, Parnikoza/O-2781-2019; Convey, Peter/AAV-5728-2020; Kunakh, Viktor A./HKV-4993-2023; Parnikoza, Ivan/I-2398-2016; Kozeretska, Iryna/F-1383-2010</t>
  </si>
  <si>
    <t>Ivan, Parnikoza/0000-0002-0490-8134; Convey, Peter/0000-0001-8497-9903; Ochyra, Ryszard/0000-0002-2541-0722; Kunakh, Viktor/0000-0002-9418-3172; Kozeretska, Iryna/0000-0002-6485-1408</t>
  </si>
  <si>
    <t>National Antarctic Scientific Center of the State Agency for Science, Innovation and Informatization of Ukraine [H/3-2011]; Institute of Molecular Biology and Genetics NAS of Ukraine [H/3-2011]; Natural Environment Research Council [bas0100025] Funding Source: researchfish; NERC [bas0100025] Funding Source: UKRI</t>
  </si>
  <si>
    <t>National Antarctic Scientific Center of the State Agency for Science, Innovation and Informatization of Ukraine; Institute of Molecular Biology and Genetics NAS of Ukraine; Natural Environment Research Council(UK Research &amp; Innovation (UKRI)Natural Environment Research Council (NERC)); NERC(UK Research &amp; Innovation (UKRI)Natural Environment Research Council (NERC))</t>
  </si>
  <si>
    <t>We express our gratitude to the National Antarctic Scientific Center of the State Agency for Science, Innovation, and Informatization of Ukraine for assistance in this project. This study was done under the contract between the National Antarctic Scientific Center of the State Agency for Science, Innovation and Informatization of Ukraine and the Institute of Molecular Biology and Genetics NAS of Ukraine # H/3-2011 Development of a bioindicator system of climate change in coastal Antarctica based on the dynamics of terrestrial plant cenoses (2011-2012), as well as a joint project between the NAS of Ukraine and Polisch Academy of Scienses: Ecological and genetic basis of plants adaptation to extreme environments (2012-2014).</t>
  </si>
  <si>
    <t>10.1007/s00300-012-1212-5</t>
  </si>
  <si>
    <t>WOS:000310207900015</t>
  </si>
  <si>
    <t>James, BS; McIntyre, T; Tosh, CA; Bornemann, H; Plötz, J; Bester, MN</t>
  </si>
  <si>
    <t>James, B. S.; McIntyre, T.; Tosh, C. A.; Bornemann, H.; Ploetz, J.; Bester, M. N.</t>
  </si>
  <si>
    <t>Inter-population differences in diving behaviour of adult male southern elephant seals (Mirounga leonina)</t>
  </si>
  <si>
    <t>Southern elephant seals; Dive behaviour; Adult males; Inter-population variation; Mixed-effects modelling; King George Island; Marion Island</t>
  </si>
  <si>
    <t>FORAGING STRATEGIES; MOVEMENTS; ZONES</t>
  </si>
  <si>
    <t>Access to different environments may lead to inter-population behavioural changes within a species that allow populations to exploit their immediate environments. Elephant seals from Marion Island (MI) and King George Island (KGI) (Isla 25 de Mayo) forage in different oceanic environments and evidently employ different foraging strategies. This study elucidates some of the factors influencing the diving behaviour of male southern elephant seals from these populations tracked between 1999 and 2002. Mixed-effects models were used to determine the influence of bathymetry, population of origin, body length (as a proxy for size) and individual variation on the diving behaviour of adult male elephant seals from the two populations. Males from KGI and MI showed differences in all dive parameters. MI males dived deeper and longer (median: 652.0 m and 34.00 min) than KGI males (median: 359.1 m and 25.50 min). KGI males appeared to forage both benthically and pelagically while MI males in this study rarely reached depths close to the seafloor and appeared to forage pelagically. Model outputs indicate that males from the two populations showed substantial differences in their dive depths, even when foraging in areas of similar water depth. Whereas dive depths were not significantly influenced by the size of the animals, size played a significant role in dive durations, though this was also influenced by the population that elephant seals originated from. This study provides some support for inter-population differences in dive behaviour of male southern elephant seals.</t>
  </si>
  <si>
    <t>[James, B. S.; McIntyre, T.; Tosh, C. A.; Bester, M. N.] Univ Pretoria, Dept Zool &amp; Entomol, Mammal Res Inst, ZA-0028 Hatfield, South Africa; [Bornemann, H.; Ploetz, J.] Alfred Wegener Inst Polar &amp; Marine Res, D-27515 Bremerhaven, Germany</t>
  </si>
  <si>
    <t>University of Pretoria; Helmholtz Association; Alfred Wegener Institute, Helmholtz Centre for Polar &amp; Marine Research</t>
  </si>
  <si>
    <t>James, BS (corresponding author), Univ Pretoria, Dept Zool &amp; Entomol, Mammal Res Inst, Private Bag X20, ZA-0028 Hatfield, South Africa.</t>
  </si>
  <si>
    <t>bsjames@zoology.up.ac.za</t>
  </si>
  <si>
    <t>McIntyre, Trevor/E-6846-2010; Bester, Marthán N/E-5387-2010; Tosh, Cheryl/D-5623-2016</t>
  </si>
  <si>
    <t>McIntyre, Trevor/0000-0001-8395-7550; Tosh, Cheryl/0000-0003-0243-5422; James, Bridget/0000-0002-0974-8619</t>
  </si>
  <si>
    <t>Alfred Wegener Institute for Polar and Marine Research (Germany); Instituto Antartico Argentino within the Direccion National del Antarticio; Department of Science and Technology through the National Research Foundation (South Africa); South African National Antarctic Programme</t>
  </si>
  <si>
    <t>This article is dedicated to the memory of late Alejandro Carlini who facilitated the elephant seal research at King George Island, through a co-operation agreement between the Alfred Wegener Institute for Polar and Marine Research (Germany) and the Instituto Antartico Argentino. A number of field assistants are thanked for their help in the deployment of satellite tags, both at King George Island and Marion Island. The Alfred Wegener Institute for Polar and Marine Research (Germany), the Instituto Antartico Argentino within the Direccion National del Antarticio, and the Department of Science and Technology through the National Research Foundation (South Africa) and the South African National Antarctic Programme provided financial and logistical support.</t>
  </si>
  <si>
    <t>10.1007/s00300-012-1214-3</t>
  </si>
  <si>
    <t>WOS:000310207900016</t>
  </si>
  <si>
    <t>Sohrabinia, M; Rack, W; Zawar-Reza, P</t>
  </si>
  <si>
    <t>Sohrabinia, Mohammad; Rack, Wolfgang; Zawar-Reza, Peyman</t>
  </si>
  <si>
    <t>Analysis of MODIS LST Compared with WRF Model and in situ Data over the Waimakariri River Basin, Canterbury, New Zealand</t>
  </si>
  <si>
    <t>REMOTE SENSING</t>
  </si>
  <si>
    <t>MODIS; land surface temperature; LST; WRF; mesoscale model; in situ data; iButtons; Waimakariri</t>
  </si>
  <si>
    <t>LAND-SURFACE TEMPERATURE; SPLIT-WINDOW ALGORITHM; VEGETATION FRACTION; SKIN TEMPERATURE; VALIDATION; PRODUCTS; STATE</t>
  </si>
  <si>
    <t>In this study we examine the relationship between remotely sensed, in situ and modelled land surface temperature (LST) over a heterogeneous land-cover (LC) enclosed in alpine terrain. This relationship can help to understand to what extent the remotely sensed data can be used to improve model simulations of land surface parameters such as LST in mountainous areas. LST from the MODerate resolution Imaging Spectro-radiometer (MODIS), the modelled surface skin temperature by the Weather Research and Forecasting (WRF) mesoscale numerical model and the in situ measurements of surface temperature are used in the analysis. The test-site is located in a mountain valley in the Southern Alps of New Zealand. Geospatial analysis in GIS is used to relate pixels, grid-cells and points from the MODIS LST, model simulations and the in situ data, respectively. Differences between LST from MODIS, the WRF model and the in situ data are presented with respect to surface LC at different times of day. Initial results from regression analysis of the three datasets showed a goodness of fit R-2 coefficient of 0.77 for the model simulations and 0.35 for the MODIS LST. These values improved significantly when time-lags were considered and the few outliers were removed, giving R-2 values of 0.80 for the model and 0.73 for the MODIS LST. These results show that the WRF model correlates better with the in situ measurements over various LC types in this region compared with the MODIS LST. Longer time-series, however, are required to draw more robust conclusions about the applicability of the MODIS LST product for improving WRF simulations over alpine complex terrain.</t>
  </si>
  <si>
    <t>[Sohrabinia, Mohammad; Zawar-Reza, Peyman] Univ Canterbury, Dept Geog, Atmospher Res Ctr, Christchurch 1, New Zealand; [Rack, Wolfgang] Univ Canterbury, Ctr Antarctic Studies &amp; Res, Gateway Antarctica, Christchurch 1, New Zealand</t>
  </si>
  <si>
    <t>Sohrabinia, M (corresponding author), Univ Canterbury, Dept Geog, Atmospher Res Ctr, Christchurch 1, New Zealand.</t>
  </si>
  <si>
    <t>sohrabinia.m@gmail.com; wolfgang.rack@canterbury.ac.nz; peyman.zawar-reza@canterbury.ac.nz</t>
  </si>
  <si>
    <t>Rack, Wolfgang/U-8898-2017</t>
  </si>
  <si>
    <t>Rack, Wolfgang/0000-0003-2447-377X</t>
  </si>
  <si>
    <t>University of Canterbury (UC) in New Zealand</t>
  </si>
  <si>
    <t>This research is funded by the University of Canterbury (UC) in New Zealand. We acknowledge free access to the MODIS LST product provided by the US NASA. Warehouse Inventory Search Tool (WIST) and Reverb were used to download the LST product. LC satellite imagery data were obtained from US Geological Survey (USGS) publicly available web resources via Earth Explorer. The authors wish to acknowledge Rob Agnew from the New Zealand Institute for Plant &amp; Food Research for his iButton data-loggers. We also express our thanks to Justin Harrison for his help and expert advice on the field work. We appreciate the valuable comments from four anonymous reviewers, which significantly improved this manuscript.</t>
  </si>
  <si>
    <t>MDPI</t>
  </si>
  <si>
    <t>BASEL</t>
  </si>
  <si>
    <t>ST ALBAN-ANLAGE 66, CH-4052 BASEL, SWITZERLAND</t>
  </si>
  <si>
    <t>2072-4292</t>
  </si>
  <si>
    <t>REMOTE SENS-BASEL</t>
  </si>
  <si>
    <t>Remote Sens.</t>
  </si>
  <si>
    <t>10.3390/rs4113501</t>
  </si>
  <si>
    <t>Environmental Sciences; Geosciences, Multidisciplinary; Remote Sensing; Imaging Science &amp; Photographic Technology</t>
  </si>
  <si>
    <t>Environmental Sciences &amp; Ecology; Geology; Remote Sensing; Imaging Science &amp; Photographic Technology</t>
  </si>
  <si>
    <t>075VG</t>
  </si>
  <si>
    <t>gold, Green Submitted</t>
  </si>
  <si>
    <t>WOS:000313914500013</t>
  </si>
  <si>
    <t>Selbmann, L; Isola, D; Fenice, M; Zucconi, L; Sterflinger, K; Onofri, S</t>
  </si>
  <si>
    <t>Selbmann, Laura; Isola, Daniela; Fenice, Massimiliano; Zucconi, Laura; Sterflinger, Katja; Onofri, Silvano</t>
  </si>
  <si>
    <t>Potential extinction of Antarctic endemic fungal species as a consequence of global warming</t>
  </si>
  <si>
    <t>Antarctica; Climate change; Extreme conditions; Fungi; Mycoparasites</t>
  </si>
  <si>
    <t>MCMURDO DRY VALLEYS; CLIMATE-CHANGE; BLACK FUNGI; CRYPTOENDOLITHIC COMMUNITIES; LECANICILLIUM-MUSCARIUM; MICROCOLONIAL FUNGI; VICTORIA LAND; TEMPERATURE; ASSOCIATIONS; DIVERSITY</t>
  </si>
  <si>
    <t>Cryomyces spp. are fungi adapted to the harsh conditions of the McMurdo Dry Valleys in the Antarctic. The structure of their cell wall is one of the main factors for their uncommon ability to survive external stressors. The cells are, in fact, embedded in a thick and strongly melanised cell wall encrusted with black rigid plaques giving a supplementary protection and making them practically impregnable and refractory even to commercial enzymes including chitinases and glucanases. The Antarctic fungus Lecanicillium muscarium CCFEE 5003, able to produce an arsenal of lytic enzymes, including chitinases and glucanases, is known for its ability to degrade the cell walls of different food spoiling and opportunistic fungi as well as plant pathogenic Oomycota. Active cells of Cryomyces spp. were cultivated in dual culture with the mycoparasitic fungus both in liquid and solid media. Light microscope observations revealed that the cell walls of Cryomyces were heavily decayed. This resulted in the release of protoplasts. Hyphae penetration was evident with both scanning and transmission electron microscope observations. Due to its ecological amplitude (i.e. temperature growth range 0-28 degrees C), the parasitic fungus could easily expand its area of distribution as a consequence of global warming by invading new areas towards the interior of the continent. The establishment of interactions with organisms living at present in border ecosystems may lead to extinction of extremely specialized and poorly competitive entities. (C) 2012 Elsevier B.V. All rights reserved.</t>
  </si>
  <si>
    <t>[Selbmann, Laura; Isola, Daniela; Fenice, Massimiliano; Zucconi, Laura; Onofri, Silvano] Univ Tuscia, Dept Ecol &amp; Biol Sci DEB, I-01100 Viterbo, Italy; [Sterflinger, Katja] Univ Nat Resources &amp; Life Sci, Austrian Ctr Biol Resources &amp; Appl Mycol ACBR, Dept Biotechnol, A-1190 Vienna, Austria</t>
  </si>
  <si>
    <t>Tuscia University; BOKU University</t>
  </si>
  <si>
    <t>Selbmann, L (corresponding author), Univ Tuscia, DEB, I-01100 Viterbo, Italy.</t>
  </si>
  <si>
    <t>selbmann@unitus.it</t>
  </si>
  <si>
    <t>Isola, Daniela/AAX-5814-2020; Zucconi, L./U-9781-2018; Selbmann, Laura/L-3056-2013; Fenice, Massimiliano/L-9195-2014</t>
  </si>
  <si>
    <t>Isola, Daniela/0000-0002-5069-6056; Zucconi, L./0000-0001-9793-2303; Selbmann, Laura/0000-0002-8967-3329; Sterflinger, Katja/0000-0002-0296-6728; ONOFRI, Silvano/0000-0001-8872-1440; Fenice, Massimiliano/0000-0001-8504-0885</t>
  </si>
  <si>
    <t>PNRA (Italian National Program for Antarctic Research); Italian National Antarctic Museum Felice Ippolito</t>
  </si>
  <si>
    <t>The authors thank the PNRA (Italian National Program for Antarctic Research) for funding logistical and technical support and the Italian National Antarctic Museum Felice Ippolito for funding CCFEE (Culture Collection of Fungi from Extreme Environments).</t>
  </si>
  <si>
    <t>10.1016/j.scitotenv.2012.08.027</t>
  </si>
  <si>
    <t>065NN</t>
  </si>
  <si>
    <t>WOS:000313155300017</t>
  </si>
  <si>
    <t>Rojo, C; Herrera, G; Rodrigo, MA; Ortíz-Llorente, MJ; Carrillo, P</t>
  </si>
  <si>
    <t>Rojo, Carmen; Herrera, Guillermo; Rodrigo, Maria A.; Jose Ortiz-Llorente, Maria; Carrillo, Presentacion</t>
  </si>
  <si>
    <t>Mixotrophic phytoplankton is enhanced by UV radiation in a low altitude, P-limited Mediterranean lake</t>
  </si>
  <si>
    <t>HYDROBIOLOGIA</t>
  </si>
  <si>
    <t>16th workshop of the International-Association-for-Phytoplankton-Taxonomy-and-Ecology (IAP)</t>
  </si>
  <si>
    <t>AUG 21-28, 2011</t>
  </si>
  <si>
    <t>Trento, ITALY</t>
  </si>
  <si>
    <t>UVR damage; Ecosystem vulnerability; Ruidera Lakes Natural Park; Autotrophic picophytoplankton; Mesocosm-experiments; Stoichiometry</t>
  </si>
  <si>
    <t>FRESH-WATER ECOSYSTEMS; ULTRAVIOLET-RADIATION; HETEROTROPHIC PICOPLANKTON; AUTOTROPHIC PICOPLANKTON; ANTARCTIC CYANOBACTERIA; TAXONOMIC COMPOSITION; ALGAL CONTROL; DNA-DAMAGE; PHOSPHORUS; PICOPHYTOPLANKTON</t>
  </si>
  <si>
    <t>UV radiation promotes harmful effects on phytoplankton populations, but it is influenced by the degree of sensitivity of different populations to the ultraviolet:photosynthetically active radiation ratio (UVR:PAR), part of which is P-dependent. Given the expected increase of UV radiation along with global change, one may ask if phytoplankton populations are able to adapt to the expectedly higher UVR:PAR ratio. If so, how would phytoplankton communities be affected? The main goal of this study is to answer these questions. Field and laboratory experiments were carried out with phytoplankton populations of an oligotrophic, low altitude lake in Central Spain. No changes were observed in abundance of phytoplankton fractions after UVR removal in the lake. However, autotrophic picoplankton underwent lower growth and contribution to total phytoplankton biomass when UVR increased. Phytoplankton biomass under enhanced UVR was one-third lower than the biomass reached under only PAR. UV-related growth changes were species-specific and linked to cell size and metabolism. An UVR increase would then promote phytoplankton assemblages who resulted from a trade-off between competitive advantages of picoplankton in a P-limited system and selected larger algae. Under these circumstances, the mixotrophic character of these larger species happened to be an evolutionary advantage.</t>
  </si>
  <si>
    <t>[Rojo, Carmen; Rodrigo, Maria A.] Univ Valencia, Integrat Ecol Grp, Inst Cavanilles Biodivers &amp; Evolutionary Biol, Paterna 46980, Spain; [Herrera, Guillermo; Carrillo, Presentacion] Univ Granada, Funct Ecol Grp, Inst Water, E-18071 Granada, Spain; [Jose Ortiz-Llorente, Maria] CSIC, Natl Museum Nat Hist, Aquat Ecol Grp, E-28006 Madrid, Spain</t>
  </si>
  <si>
    <t>University of Valencia; University of Granada; Consejo Superior de Investigaciones Cientificas (CSIC)</t>
  </si>
  <si>
    <t>Rojo, C (corresponding author), Univ Valencia, Integrat Ecol Grp, Inst Cavanilles Biodivers &amp; Evolutionary Biol, C Catedrat Jose Beltran 2, Paterna 46980, Spain.</t>
  </si>
  <si>
    <t>carmen.rojo@uv.es</t>
  </si>
  <si>
    <t>Rodrigo, Maria/K-9079-2014; Rojo, Carmen/L-5358-2014; Carrillo, Presentacion/I-1601-2015</t>
  </si>
  <si>
    <t>Rodrigo, Maria/0000-0003-4106-0643; Rojo, Carmen/0000-0003-1034-0175; Carrillo, Presentacion/0000-0003-3794-4294</t>
  </si>
  <si>
    <t>Spanish Ministry of the Environment [CGL2011-23681]; Ministry of the Science and Innovation [CGL2009-10292]; 'Consejeria de Innovacion, Ciencia y Empresa' of the 'Junta de Andalucia' [P07-CVI-02598]</t>
  </si>
  <si>
    <t>Spanish Ministry of the Environment(Spanish Government); Ministry of the Science and Innovation; 'Consejeria de Innovacion, Ciencia y Empresa' of the 'Junta de Andalucia'</t>
  </si>
  <si>
    <t>The authors would like to thank the Spanish Ministry of the Environment and Ministry of the Science and Innovation for projects CGL2011-23681 and CGL2009-10292, respectively. This research was also supported by the 'Consejeria de Innovacion, Ciencia y Empresa' of the 'Junta de Andalucia' (Project P07-CVI-02598). We also thank Clara Andres and Andrea Campos (ICBIBE, University of Valencia, Spain) for their careful assistance in laboratory work. Dr. Mario Sendra (Department of Biostatistics, University of Valencia, Spain) proved the suitability of the statistics used. The English used in the manuscript has been corrected by a native English reviewer of scientific texts.</t>
  </si>
  <si>
    <t>0018-8158</t>
  </si>
  <si>
    <t>1573-5117</t>
  </si>
  <si>
    <t>Hydrobiologia</t>
  </si>
  <si>
    <t>10.1007/s10750-012-1214-x</t>
  </si>
  <si>
    <t>013ZV</t>
  </si>
  <si>
    <t>WOS:000309345700008</t>
  </si>
  <si>
    <t>Oliver, ECJ; Sheng, JY; Thompson, KR; Blanco, JRU</t>
  </si>
  <si>
    <t>Oliver, Eric C. J.; Sheng, Jinyu; Thompson, Keith R.; Blanco, Jorge R. Urrego</t>
  </si>
  <si>
    <t>Extreme surface and near-bottom currents in the northwest Atlantic</t>
  </si>
  <si>
    <t>NATURAL HAZARDS</t>
  </si>
  <si>
    <t>Extreme current speeds; Extremal analysis; Northwest Atlantic; Ocean circulation model; Monte Carlo methods</t>
  </si>
  <si>
    <t>OCEAN CIRCULATION MODELS; OPEN BOUNDARY-CONDITIONS; WIND SPEEDS; SEA-LEVELS</t>
  </si>
  <si>
    <t>This study presents a methodology for estimating extreme current speeds from numerical model results using extremal analysis techniques. This method is used to estimate the extreme near-surface and near-bottom current speeds of the northwest Atlantic Ocean with 50-year return periods from 17 years of model output. The non-tidal currents produced by a three-dimensional ocean circulation model for the 1988-2004 period were first used to estimate and map the 17-year return period extreme current speeds at the surface and near the bottom. Extremal analysis techniques (i.e., fitting the annual maxima to the Type I probability distribution) are used to estimate and map the 50-year extreme current speeds. Tidal currents are dominant in some parts of the northwest Atlantic, and a Monte Carlo-based methodology is developed to take into account the fact that large non-tidal extrema may occur at different tidal phases. The inclusion of tidal currents in this way modifies the estimated 50-year extreme current speeds, and this is illustrated along several representative transects and depth profiles. Seasonal variations are examined by calculating the extreme current speeds for fall-winter and spring-summer. Finally, the distribution of extreme currents is interpreted taking into account (1) variability about the time-mean current speeds, (2) wind-driven Ekman currents, and (3) flow along isobaths.</t>
  </si>
  <si>
    <t>[Oliver, Eric C. J.; Sheng, Jinyu; Thompson, Keith R.; Blanco, Jorge R. Urrego] Dalhousie Univ, Dept Oceanog, Halifax, NS, Canada</t>
  </si>
  <si>
    <t>Dalhousie University</t>
  </si>
  <si>
    <t>Oliver, ECJ (corresponding author), Univ Tasmania, Inst Marine &amp; Antarctic Studies, Hobart, Tas, Australia.</t>
  </si>
  <si>
    <t>eric.oliver@utas.edu.au</t>
  </si>
  <si>
    <t>Oliver, Eric/G-5118-2014</t>
  </si>
  <si>
    <t>Oliver, Eric/0000-0002-4006-2826</t>
  </si>
  <si>
    <t>Lloyd's Register Educational Trust (The LRET)</t>
  </si>
  <si>
    <t>The authors would like to thank Kyoko Ohashi for providing the code used to generate tidal current predictions. The work was also supported by The Lloyd's Register Educational Trust (The LRET), which is an independent charity working to achieve advances in transportation, science, engineering and technology education, training, and research worldwide for the benefit of all. The authors would also like to thank the anonymous reviewers for their constructive comments.</t>
  </si>
  <si>
    <t>0921-030X</t>
  </si>
  <si>
    <t>NAT HAZARDS</t>
  </si>
  <si>
    <t>Nat. Hazards</t>
  </si>
  <si>
    <t>10.1007/s11069-012-0303-5</t>
  </si>
  <si>
    <t>Geosciences, Multidisciplinary; Meteorology &amp; Atmospheric Sciences; Water Resources</t>
  </si>
  <si>
    <t>Geology; Meteorology &amp; Atmospheric Sciences; Water Resources</t>
  </si>
  <si>
    <t>014EK</t>
  </si>
  <si>
    <t>WOS:000309357700025</t>
  </si>
  <si>
    <t>Kennedy, F; McMinn, A; Martin, A</t>
  </si>
  <si>
    <t>Kennedy, Fraser; McMinn, Andrew; Martin, Andrew</t>
  </si>
  <si>
    <t>Effect of temperature on the photosynthetic efficiency and morphotype of Phaeocystis antarctica</t>
  </si>
  <si>
    <t>JOURNAL OF EXPERIMENTAL MARINE BIOLOGY AND ECOLOGY</t>
  </si>
  <si>
    <t>Mesocosm; Phaeocystis antarctica; Sea ice; Temperature</t>
  </si>
  <si>
    <t>RAPID LIGHT CURVES; SEA-ICE ALGAE; ECOLOGICAL INVESTIGATIONS; QUANTUM YIELD; MCMURDO SOUND; BLOOMS; MICROALGAE; POUCHETII; PRYMNESIOPHYCEAE; PHOTOPHYSIOLOGY</t>
  </si>
  <si>
    <t>One of the only non-diatom species to dominate sea-ice assemblages is the haptophyte Phaeocystis antarctica. Here, the photosynthetic efficiency and morphotype expression of P. antarctica in response to freezing and melting in an artificial sea-ice habitat is investigated. Maximum quantum yield of photosystem II (F-v/F-m) was significantly different with respect to both light (light and dark, Two-way ANOVA, p &lt; 0.001) and depth within the ice (Two-way ANOVA, p &lt; 0.001). There was a decline in maximum quantum yield (F-v/F-m) in cells at each level within the ice, but the decline was greater in the coldest part of the ice (i.e. close to the surface) than at the ice/water interface. Following the initiation of a melt cycle, Fv/Fm increased in both treatments, from 0.48 +/- 0.05 to 0.57 +/- 0.05 on day 10, and 0.38 +/- 0.06 to 0.44 +/- 0.07 on day 10, in the light and dark treatments respectively. The ice matrix induced solitary cell formation while melting induced colony formation. This change in morphology is not thought to reflect either temperature or nutrients but the physical presence of ice acting as a trigger for morphological change. This study utilised a novel ice tank technology to replicate sea-ice habitat and document the response of P. antarctica to freeze/thaw dynamics. (c) 2012 Elsevier B.V. All rights reserved.</t>
  </si>
  <si>
    <t>[Kennedy, Fraser; McMinn, Andrew; Martin, Andrew] Univ Tasmania, Inst Marine &amp; Antarctic Studies, Hobart, Tas 7001, Australia</t>
  </si>
  <si>
    <t>University of Tasmania</t>
  </si>
  <si>
    <t>McMinn, A (corresponding author), Univ Tasmania, Inst Marine &amp; Antarctic Studies, Private Bag 129, Hobart, Tas 7001, Australia.</t>
  </si>
  <si>
    <t>Andrew.McMinn@utas.edu.au</t>
  </si>
  <si>
    <t>Kennedy, Fraser/M-5145-2019; Martin, Andrew/F-5688-2013; McMinn, Andrew/A-9910-2008</t>
  </si>
  <si>
    <t>Kennedy, Fraser/0000-0003-1796-0764; Martin, Andrew/0000-0001-8260-5529</t>
  </si>
  <si>
    <t>Australian Antarctic Science grant</t>
  </si>
  <si>
    <t>We would like to acknowledge financial assistance from an Australian Antarctic Science grant and laboratory assistance from Helen Bond. [SS]</t>
  </si>
  <si>
    <t>0022-0981</t>
  </si>
  <si>
    <t>1879-1697</t>
  </si>
  <si>
    <t>J EXP MAR BIOL ECOL</t>
  </si>
  <si>
    <t>J. Exp. Mar. Biol. Ecol.</t>
  </si>
  <si>
    <t>10.1016/j.jembe.2012.06.016</t>
  </si>
  <si>
    <t>Ecology; Marine &amp; Freshwater Biology</t>
  </si>
  <si>
    <t>Environmental Sciences &amp; Ecology; Marine &amp; Freshwater Biology</t>
  </si>
  <si>
    <t>999BA</t>
  </si>
  <si>
    <t>WOS:000308282900002</t>
  </si>
  <si>
    <t>Lv, TF; Ma, W; Xin, G; Wang, R; Xu, J; Liu, DM; Liu, FJ; Pan, DC</t>
  </si>
  <si>
    <t>Lv, Tengfei; Ma, Wei; Xin, Gang; Wang, Ren; Xu, Jun; Liu, Dongmei; Liu, Fujun; Pan, Decong</t>
  </si>
  <si>
    <t>Physicochemical characterization and sorption behavior of Mg-Ca-Al (NO3) hydrotalcite-like compounds toward removal of fluoride from protein solutions</t>
  </si>
  <si>
    <t>JOURNAL OF HAZARDOUS MATERIALS</t>
  </si>
  <si>
    <t>Sorption; Fluoride; Protein solution; Mg-Ca-Al (NO3) HTlcs; Antarctic krill processing wastewater</t>
  </si>
  <si>
    <t>LAYERED DOUBLE HYDROXIDES; BOVINE SERUM-ALBUMIN; AQUEOUS-SOLUTION; ANTARCTIC KRILL; ADSORPTION; KINETICS; HYDROCALUMITE; SEPARATION; PHOSPHATE; EXCHANGER</t>
  </si>
  <si>
    <t>The present study explores the potential of Mg-Ca-Al (NO3) hydrotalcite-like compounds (MgCaAlNO3-HTlcs) for the removal of fluoride from protein solutions. In this study, the Mg3-xCaxAlNO3-HTlcs (x = 0-3, x is the mol.% of Ca) were synthesized and characterized by SEM, XRD, FTIR, BET, ICP-AES and pHzpc analysis. The sorption experiments were conducted in protein systems of bovine serum albumin (BSA) and lysozyme (LSZ). The batch experiment results showed that the NO3-HTlc with Mg/Ca/Al molar ratio of 2.5/0.5/1 had remarkable fluoride sorption ability with maximum sorption capacities of 82.35 mg/g and 72.69 mg/g at pH 5.0 and 40 degrees C in BSA and LSZ system, respectively. Moreover, the loss of BSA of 0.71% was low and there was no loss of LSZ. It was evident that the Mg2.5Ca0.5AlNO3-HTlc could selectively adsorb fluoride from protein solutions. The equilibrium sorption data fitted well to the Langmuir model and the kinetic data conformed to the pseudo-second-order model. Thermodynamic parameters (Delta G degrees, Delta H degrees and Delta S degrees) were evaluated and revealed that the sorption process was spontaneous and endothermic in nature. Furthermore, the results from Antarctic krill processing wastewater study confirmed the feasibility and practicality of the Mg2.5Ca0.5AlNO3-HTlc for fluoride removal in fluoride bearing protein system. (C) 2012 Elsevier B.V. All rights reserved.</t>
  </si>
  <si>
    <t>[Lv, Tengfei; Ma, Wei; Xin, Gang; Wang, Ren; Xu, Jun] Dalian Univ Technol, Dept Chem, Dalian 116023, Peoples R China; [Liu, Dongmei; Liu, Fujun; Pan, Decong] Dalian Ocean Fishery Grp Corp, Dalian 116023, Peoples R China</t>
  </si>
  <si>
    <t>Dalian University of Technology</t>
  </si>
  <si>
    <t>Ma, W (corresponding author), Dalian Univ Technol, Dept Chem, Dalian 116023, Peoples R China.</t>
  </si>
  <si>
    <t>lvtengfei725@163.com; chmawv@yahoo.com</t>
  </si>
  <si>
    <t>liu, dongsheng/IWM-1597-2023; liu, dong/GRJ-9115-2022</t>
  </si>
  <si>
    <t>National High Technology Research and Development Program (863Program) of China [2011AA090801]</t>
  </si>
  <si>
    <t>National High Technology Research and Development Program (863Program) of China(National High Technology Research and Development Program of China)</t>
  </si>
  <si>
    <t>Financial supports from the National High Technology Research and Development Program (863Program) of China (2011AA090801) are gratefully acknowledged.</t>
  </si>
  <si>
    <t>0304-3894</t>
  </si>
  <si>
    <t>1873-3336</t>
  </si>
  <si>
    <t>J HAZARD MATER</t>
  </si>
  <si>
    <t>J. Hazard. Mater.</t>
  </si>
  <si>
    <t>OCT 30</t>
  </si>
  <si>
    <t>10.1016/j.jhazmat.2012.08.014</t>
  </si>
  <si>
    <t>026EM</t>
  </si>
  <si>
    <t>WOS:000310257100014</t>
  </si>
  <si>
    <t>Alonso-Sáez, L; Waller, AS; Mende, DR; Bakker, K; Farnelid, H; Yager, PL; Lovejoy, C; Tremblay, JÉ; Potvin, M; Heinrich, F; Estrada, M; Riemann, L; Bork, P; Pedrós-Alió, C; Bertilsson, S</t>
  </si>
  <si>
    <t>Alonso-Saez, Laura; Waller, Alison S.; Mende, Daniel R.; Bakker, Kevin; Farnelid, Hanna; Yager, Patricia L.; Lovejoy, Connie; Tremblay, Jean-Eric; Potvin, Marianne; Heinrich, Friederike; Estrada, Marta; Riemann, Lasse; Bork, Peer; Pedros-Alio, Carlos; Bertilsson, Stefan</t>
  </si>
  <si>
    <t>Role for urea in nitrification by polar marine Archaea</t>
  </si>
  <si>
    <t>PROCEEDINGS OF THE NATIONAL ACADEMY OF SCIENCES OF THE UNITED STATES OF AMERICA</t>
  </si>
  <si>
    <t>amoA; ureC; Beaufort Sea; Ross Sea; Amundsen Sea</t>
  </si>
  <si>
    <t>AMMONIA-OXIDIZING ARCHAEA; SUMMER BACTERIOPLANKTON; PLANKTONIC ARCHAEA; GENOMIC ANALYSIS; ARCTIC-OCEAN; BACTERIA; AUTOTROPHY; ASSEMBLAGES; DIVERSITY; WATERS</t>
  </si>
  <si>
    <t>Despite the high abundance of Archaea in the global ocean, their metabolism and biogeochemical roles remain largely unresolved. We investigated the population dynamics and metabolic activity of Thaumarchaeota in polar environments, where these microorganisms are particularly abundant and exhibit seasonal growth. Thaumarchaeota were more abundant in deep Arctic and Antarctic waters and grew throughout the winter at surface and deeper Arctic halocline waters. However, in situ single-cell activity measurements revealed a low activity of this group in the uptake of both leucine and bicarbonate (&lt;5% Thaumarchaeota cells active), which is inconsistent with known heterotrophic and autotrophic thaumarchaeal lifestyles. These results suggested the existence of alternative sources of carbon and energy. Our analysis of an environmental metagenome from the Arctic winter revealed that Thaumarchaeota had pathways for ammonia oxidation and, unexpectedly, an abundance of genes involved in urea transport and degradation. Quantitative PCR analysis confirmed that most polar Thaumarchaeota had the potential to oxidize ammonia, and a large fraction of them had urease genes, enabling the use of urea to fuel nitrification. Thaumarchaeota from Arctic deep waters had a higher abundance of urease genes than those near the surface suggesting genetic differences between closely related archaeal populations. In situ measurements of urea uptake and concentration in Arctic waters showed that small-sized prokaryotes incorporated the carbon from urea, and the availability of urea was often higher than that of ammonium. Therefore, the degradation of urea may be a relevant pathway for Thaumarchaeota and other microorganisms exposed to the low-energy conditions of dark polar waters.</t>
  </si>
  <si>
    <t>[Alonso-Saez, Laura; Heinrich, Friederike; Bertilsson, Stefan] Uppsala Univ, Dept Ecol &amp; Genet, S-75236 Uppsala, Sweden; [Alonso-Saez, Laura] Ctr Oceanog Gijon, Inst Espanol Oceanog, Gijon 33212, Spain; [Waller, Alison S.; Mende, Daniel R.; Bork, Peer] European Mol Biol Lab, D-69117 Heidelberg, Germany; [Bakker, Kevin] Univ Michigan, Dept Ecol &amp; Evolutionary Biol, Ann Arbor, MI 48109 USA; [Farnelid, Hanna] Linnaeus Univ, Dept Nat Sci, S-39182 Kalmar, Sweden; [Yager, Patricia L.] Univ Georgia, Sch Marine Programs, Athens, GA 30602 USA; [Lovejoy, Connie; Tremblay, Jean-Eric; Potvin, Marianne] Univ Laval, Dept Biol, Quebec City, PQ G1V 0A6, Canada; [Estrada, Marta; Pedros-Alio, Carlos] CSIC, Dept Biol Marina &amp; Oceanog, Inst Ciencies Mar, Barcelona 08003, Spain; [Riemann, Lasse] Univ Copenhagen, Marine Biol Sect, DK-3000 Helsingor, Denmark</t>
  </si>
  <si>
    <t>Uppsala University; Spanish Institute of Oceanography; European Molecular Biology Laboratory (EMBL); University of Michigan System; University of Michigan; Linnaeus University; University System of Georgia; University of Georgia; Laval University; Consejo Superior de Investigaciones Cientificas (CSIC); CSIC - Centro Mediterraneo de Investigaciones Marinas y Ambientales (CMIMA); CSIC - Instituto de Ciencias del Mar (ICM); University of Copenhagen</t>
  </si>
  <si>
    <t>Alonso-Sáez, L (corresponding author), Uppsala Univ, Dept Ecol &amp; Genet, S-75236 Uppsala, Sweden.</t>
  </si>
  <si>
    <t>laura.alonso@gi.ieo.es</t>
  </si>
  <si>
    <t>Estrada, Marta/L-6207-2014; Alonso-Saez, Laura/M-2744-2014; Bakker, Kevin/J-3702-2013; Mende, Daniel R/I-3662-2019; Bork, Peer/F-1813-2013; Lovejoy, Connie/A-3756-2008; Riemann, Lasse/J-7091-2014; Yager, Patricia/K-8020-2014; Pedros-Alio, Carlos/H-1222-2011</t>
  </si>
  <si>
    <t>Estrada, Marta/0000-0001-5769-9498; Bakker, Kevin/0000-0002-7084-9291; Mende, Daniel R/0000-0001-6831-4557; Bork, Peer/0000-0002-2627-833X; Lovejoy, Connie/0000-0001-8027-2281; Riemann, Lasse/0000-0001-9207-2543; Yager, Patricia/0000-0002-8462-6427; Pedros-Alio, Carlos/0000-0003-1009-4277; Alonso-Saez, Laura/0000-0003-1757-4767</t>
  </si>
  <si>
    <t>Canadian International Polar Year Federal Program Office; Natural Sciences and Engineering Research Council (NSERC) Canada; Spanish Ministry of Science and Innovation Grant Boreal [CLG2007-28872-E/ANT]; Marie Curie Fellowship [PIEFGA-2008-221121]; National Science Foundation [ANT-0741409, ANT-08361440]; Swedish Research Council Environment, Agricultural Sciences [217-2006-342]</t>
  </si>
  <si>
    <t>Canadian International Polar Year Federal Program Office; Natural Sciences and Engineering Research Council (NSERC) Canada(Natural Sciences and Engineering Research Council of Canada (NSERC)); Spanish Ministry of Science and Innovation Grant Boreal; Marie Curie Fellowship(European Union (EU)); National Science Foundation(National Science Foundation (NSF)); Swedish Research Council Environment, Agricultural Sciences(Swedish Research Council Formas)</t>
  </si>
  <si>
    <t>We thank the captains and crew of the icebreakers Oden and CCGS Amundsen and the Swedish Research Polar secretariat for logistic support; Dan Nguyen, Roxane Maranger, and other members of the Circumpolar Flaw Lead (CFL) cruise for collecting samples; A. Niemi, B. Philippe, C. J. Mundy, A. Sallon, C. Michel, and M. Gosselin for chlorophyll data; J. Gagnon for nutrient data; P. Guillot and Y. Gratton for conductivity-temperature-depth (CTD) data; and the European Molecular Biology Laboratory Information Technology core facility and Y. Yuan for managing the high-performance computing resources. 454 pyrosequencing was supported by the K&amp;A Wallemberg foundation. This work is a contribution to the International Polar Year-CFL system study (2007/2008) supported through grants from the Canadian International Polar Year Federal Program Office and the Natural Sciences and Engineering Research Council (NSERC) Canada. Spanish participation was funded by the Spanish Ministry of Science and Innovation Grant Boreal CLG2007-28872-E/ANT (to C.P.-A), and laboratory work was supported by the Swedish Research Council (to S.B.). L.A.-S. was supported by Marie Curie Fellowship PIEFGA-2008-221121 and a Juan de la Cierva contract from the Spanish Ministry of Science and Innovation. We acknowledge support by the National Science Foundation Antarctic Organisms and Ecosystems Program Grants ANT-0741409 and ANT-08361440 (to K.B. and P.Y.); Swedish Research Council Environment, Agricultural Sciences, and Spatial Planning Grant 217-2006-342 (to L.R and H.F.); and NSERC of Canada (A.S.W., C.L., and J-E.T.).</t>
  </si>
  <si>
    <t>NATL ACAD SCIENCES</t>
  </si>
  <si>
    <t>2101 CONSTITUTION AVE NW, WASHINGTON, DC 20418 USA</t>
  </si>
  <si>
    <t>0027-8424</t>
  </si>
  <si>
    <t>P NATL ACAD SCI USA</t>
  </si>
  <si>
    <t>Proc. Natl. Acad. Sci. U. S. A.</t>
  </si>
  <si>
    <t>10.1073/pnas.1201914109</t>
  </si>
  <si>
    <t>038BJ</t>
  </si>
  <si>
    <t>WOS:000311149900065</t>
  </si>
  <si>
    <t>Marsh, L; Copley, JT; Huvenne, VAI; Linse, K; Reid, WDK; Rogers, AD; Sweeting, CJ; Tyler, PA</t>
  </si>
  <si>
    <t>Marsh, Leigh; Copley, Jonathan T.; Huvenne, Veerle A. I.; Linse, Katrin; Reid, William D. K.; Rogers, Alex D.; Sweeting, Christopher J.; Tyler, Paul A.</t>
  </si>
  <si>
    <t>Microdistribution of Faunal Assemblages at Deep-Sea Hydrothermal Vents in the Southern Ocean</t>
  </si>
  <si>
    <t>MID-ATLANTIC RIDGE; FUCA RIDGE; COMMUNITY STRUCTURE; MUSSEL COMMUNITIES; EPIBIOTIC BACTERIA; THERMAL TOLERANCES; HABITAT SELECTION; MASSIVE SULFIDES; DECADAL-SCALE; BIOGEOGRAPHY</t>
  </si>
  <si>
    <t>Chemosynthetic primary production by microbes supports abundant faunal assemblages at deep-sea hydrothermal vents, with zonation of invertebrate species typically occurring along physico-chemical gradients. Recently discovered vent fields on the East Scotia Ridge (ESR) in the Southern Ocean represent a new province of vent biogeography, but the spatial dynamics of their distinct fauna have yet to be elucidated. This study determines patterns of faunal zonation, species associations, and relationships between faunal microdistribution and hydrothermal activity in a vent field at a depth of 2,400 m on the ESR. Remotely operated vehicle (ROV) dives obtained high-definition imagery of three chimney structures with varying levels of hydrothermal activity, and a mosaic image of &gt; 250 m(2) of seafloor co-registered with temperature measurements. Analysis of faunal microdistribution within the mosaiced seafloor reveals a consistent pattern of faunal zonation with increasing distance from vent sources and peak temperatures. Assemblages closest to vent sources are visibly dominated by a new species of anomuran crab, Kiwa n. sp. (abundance &gt; 700 individuals m(-2)), followed by a peltospiroid gastropod (&gt; 1,500 individuals m(-2)), eolepadid barnacle (&gt; 1,500 individuals m(-2)), and carnivorous actinostolid anemone (&gt; 30 individuals m(-2)). Peripheral fauna are not dominated by a single taxon, but include predatory and scavenger taxa such as stichasterid seastars, pycnogonids and octopus. Variation in faunal microdistribution on chimneys with differing levels of activity suggests a possible successional sequence for vent fauna in this new biogeographic province. An increase in delta S-34 values of primary consumers with distance from vent sources, and variation in their delta C-13 values also indicate possible zonation of nutritional modes of the vent fauna. By using ROV videography to obtain a high-resolution representation of a vent environment over a greater extent than previous studies, these results provide a baseline for determining temporal change and investigations of processes structuring faunal assemblages at Southern Ocean vents.</t>
  </si>
  <si>
    <t>[Marsh, Leigh; Copley, Jonathan T.; Tyler, Paul A.] Univ Southampton, Natl Oceanog Ctr, Southampton, Hants, England; [Huvenne, Veerle A. I.] Natl Oceanog Ctr Southampton, Nat Environm Res Council, Southampton, Hants, England; [Linse, Katrin] British Antarctic Survey, Cambridge CB3 0ET, England; [Reid, William D. K.; Sweeting, Christopher J.] Newcastle Univ, Sch Marine Sci &amp; Technol, Newcastle Upon Tyne NE1 7RU, Tyne &amp; Wear, England; [Rogers, Alex D.] Univ Oxford, Dept Zool, Oxford OX1 3PS, England</t>
  </si>
  <si>
    <t>University of Southampton; NERC National Oceanography Centre; University of Southampton; NERC National Oceanography Centre; UK Research &amp; Innovation (UKRI); Natural Environment Research Council (NERC); NERC British Antarctic Survey; Newcastle University - UK; University of Oxford</t>
  </si>
  <si>
    <t>Marsh, L (corresponding author), Univ Southampton, Natl Oceanog Ctr, Southampton, Hants, England.</t>
  </si>
  <si>
    <t>leigh.marsh@noc.soton.ac.uk</t>
  </si>
  <si>
    <t>Marsh, Leigh/AAT-5597-2020; Copley, Jon/I-7076-2012; Marsh, Leigh/J-6068-2013; Reid, William/J-8528-2013</t>
  </si>
  <si>
    <t>Marsh, Leigh/0000-0002-4613-1538; Copley, Jon/0000-0003-3333-4325; Marsh, Leigh/0000-0002-4613-1538; Linse, Katrin/0000-0003-3477-3047; Huvenne, Veerle A.I./0000-0001-7135-6360; Reid, William/0000-0003-0190-0425; Rogers, Alex David/0000-0002-4864-2980</t>
  </si>
  <si>
    <t>Natural Environment Research Council NERC Consortium Grant [NE/DO1249X/1]; Census of Marine Life; Sloan Foundation; NERC PhD studentships [NE/D01429X/1, NE/F010664/1]; Natural Environment Research Council [NE/D010470/2, noc010011, NE/D01249X/1, noc010004, bas0100026, noc010009, NE/D013437/1] Funding Source: researchfish; NERC [bas0100026, NE/D013437/1, noc010004, noc010011, NE/D010470/2, NE/D01249X/1, noc010009] Funding Source: UKRI</t>
  </si>
  <si>
    <t>Natural Environment Research Council NERC Consortium Grant; Census of Marine Life; Sloan Foundation(Alfred P. Sloan Foundation); NERC PhD studentships; Natural Environment Research Council(UK Research &amp; Innovation (UKRI)Natural Environment Research Council (NERC)); NERC(UK Research &amp; Innovation (UKRI)Natural Environment Research Council (NERC))</t>
  </si>
  <si>
    <t>The ChEsSo research programme was funded by a Natural Environment Research Council NERC Consortium Grant (NE/DO1249X/1) and supported by the Census of Marine Life and the Sloan Foundation, all of which are gratefully acknowledged. The authors also acknowledge NERC PhD studentships NE/D01429X/1(LM) and NE/F010664/1 (WDKR). The funders had no role in study design, data collection and analysis, decision to publish, or preparation of the manuscript.</t>
  </si>
  <si>
    <t>OCT 29</t>
  </si>
  <si>
    <t>e48348</t>
  </si>
  <si>
    <t>10.1371/journal.pone.0048348</t>
  </si>
  <si>
    <t>032HH</t>
  </si>
  <si>
    <t>Green Accepted, gold, Green Published, Green Submitted</t>
  </si>
  <si>
    <t>WOS:000310705300064</t>
  </si>
  <si>
    <t>Gillies, JA; Nickling, WG; Tilson, M; Furtak-Cole, E</t>
  </si>
  <si>
    <t>Gillies, John A.; Nickling, William G.; Tilson, Michael; Furtak-Cole, Eden</t>
  </si>
  <si>
    <t>Wind-formed gravel bed forms, Wright Valley, Antarctica</t>
  </si>
  <si>
    <t>GRAIN-SIZE; AEOLIAN MEGARIPPLES; SAND TRANSPORT; MASS FLUX; MU M; RIPPLES; PARTICLES; DEPOSITS; MODEL; LAKE</t>
  </si>
  <si>
    <t>Bed forms composed of gravel size particles (approximate to 50% of particles &gt;4 mm) are observed in the Wright Valley of the McMurdo Dry Valley system in Antarctica. These bed forms are characterized by a very asymmetrical shape with a mean aspect ratio of 0.025 (standard deviation 0.005), mean wavelength of 2.7 m (+/- 0.49 m), and a mean height of 0.06 m (+/- 0.01 m). Particle size analysis of the bed form sediments shows bimodality with a peak near 9 mm and another between 0.5 mm and 0.25 mm. Time-integrated sediment trap samples of horizontal saltation and creep flux indicate the flux of particles &gt;= 4 mm during the two-year monitoring period was extremely low. Measurements of the horizontal displacement of tracer particles (14 mm, 12 mm, 10 mm, 8 mm, and 6 mm diameter) placed onto the bed forms corroborate the low particle flux measurements and limited movement of particles. The bed forms share form and grain size characteristics with both ripples and mega-ripples, showing poor sorting of particles across a single wavelength except for a slight coarsening at the crest similar to ripples, but their sinuosity suggest that transverse instabilities affect their formation similar to mega-ripples. Based on the data for the prevailing environmental conditions it can be argued that the Wright Valley form is an expression of gravel particles moved solely by highly intermittent creep processes. This also argues for the need for a very long period of time for their evolution, on the order of centuries.</t>
  </si>
  <si>
    <t>[Gillies, John A.; Furtak-Cole, Eden] Desert Res Inst, Div Atmospher Sci, Reno, NV 89512 USA; [Nickling, William G.; Tilson, Michael] Univ Guelph, Dept Geog, Wind Eros Lab, Guelph, ON N1G 2W1, Canada</t>
  </si>
  <si>
    <t>Nevada System of Higher Education (NSHE); Desert Research Institute NSHE; University of Guelph</t>
  </si>
  <si>
    <t>Gillies, JA (corresponding author), Desert Res Inst, Div Atmospher Sci, 2215 Raggio Pkwy, Reno, NV 89512 USA.</t>
  </si>
  <si>
    <t>Jack.Gillies@dri.edu</t>
  </si>
  <si>
    <t>Furtak-Cole, Eden/0000-0003-0367-4062</t>
  </si>
  <si>
    <t>U.S. National Science Foundation's Office of Polar Programs [ANT-063621]; National Sciences and Engineering Council, Canada</t>
  </si>
  <si>
    <t>U.S. National Science Foundation's Office of Polar Programs(National Science Foundation (NSF)); National Sciences and Engineering Council, Canada</t>
  </si>
  <si>
    <t>This research was supported by the U.S. National Science Foundation's Office of Polar Programs, Grant ANT-063621 to J. A. Gillies. W. G. Nickling would also like to acknowledge support to him from the National Sciences and Engineering Council, Canada. We are also grateful for the outstanding logistical support provided by the United States Antarctic Program. We would also like to thank Ms. Becky Peace (BFC, USAP) for her invaluable assistance in the field, Dr. Joanna Nield (Department of Geography and Environment, University of Southampton) for fruitful discussions, and finally Mr. Mario Finoro (Department of Geography, University of Guelph) for his outstanding technical assistance in helping to create the instruments that withstood the Antarctic weather. We would also like to thank the reviewers, the Editor, and the Associate Editor for their helpful insights and suggestions that greatly improved this paper.</t>
  </si>
  <si>
    <t>OCT 27</t>
  </si>
  <si>
    <t>F04017</t>
  </si>
  <si>
    <t>10.1029/2012JF002378</t>
  </si>
  <si>
    <t>027HI</t>
  </si>
  <si>
    <t>WOS:000310342700003</t>
  </si>
  <si>
    <t>Jevrejeva, S; Moore, JC; Grinsted, A</t>
  </si>
  <si>
    <t>Jevrejeva, S.; Moore, J. C.; Grinsted, A.</t>
  </si>
  <si>
    <t>Potential for bias in 21st century semiempirical sea level projections</t>
  </si>
  <si>
    <t>JOURNAL OF GEOPHYSICAL RESEARCH-ATMOSPHERES</t>
  </si>
  <si>
    <t>GREENLAND ICE-SHEET; MASS-BALANCE; CLIMATE-CHANGE; SATELLITE ALTIMETRY; GLACIER; DYNAMICS; FUTURE; ANTARCTICA; GENERATION; SCENARIOS</t>
  </si>
  <si>
    <t>We examine the limitations of a semiempirical model characterized by a sea level projection of 73 cm with RCP4.5 scenario by 2100. Calibrating the model with data to 1990 and then simulating the period 1993-2009 produces sea level in close agreement with acceleration in sea level rise observed by satellite altimetry. Nonradiative forcing contributors, such as long-term adjustment of Greenland and Antarctica ice sheets since Last Glacial Maximum, abyssal ocean warming, and terrestrial water storage, may bias model calibration which, if corrected for, tend to reduce median sea level projections at 2100 by 2-10 cm, though this is within the confidence interval. We apply the semiempirical approach to simulate individual contributions from thermal expansion and small glacier melting. Steric sea level projections agree within 3 cm of output from process-based climate models. In contrast, semiempirical simulation of melting from glaciers is 26 cm, which is twice large as estimates from some process-based models; however, all process models lack simulation of calving, which likely accounts for 50% of small glacier mass loss worldwide. Furthermore, we suggest that changes in surface mass balance and dynamics of Greenland ice sheet made contributions to the sea level rise in the early 20th century and therefore are included within the semiempirical model calibration period and hence are included in semiempirical sea level projections by 2100. Antarctic response is probably absent from semiempirical models, which will lead to a underestimate in sea level rise if, as is probable, Antarctica loses mass by 2100.</t>
  </si>
  <si>
    <t>[Jevrejeva, S.] Natl Oceanog Ctr, Liverpool L3 5DA, Merseyside, England; [Jevrejeva, S.; Moore, J. C.; Grinsted, A.] Beijing Normal Univ, State Key Lab Earth Surface Processes &amp; Resource, Coll Global Change &amp; Earth Syst Sci, Beijing, Peoples R China; [Moore, J. C.] Univ Lapland, Arct Ctr, Rovaniemi, Finland; [Moore, J. C.] Uppsala Univ, Dept Earth Sci, Uppsala, Sweden; [Grinsted, A.] Univ Copenhagen, Ctr Ice &amp; Climate, Niels Bohr Inst, Copenhagen, Denmark</t>
  </si>
  <si>
    <t>NERC National Oceanography Centre; Beijing Normal University; University of Lapland; Uppsala University; University of Copenhagen; Niels Bohr Institute</t>
  </si>
  <si>
    <t>Jevrejeva, S (corresponding author), Natl Oceanog Ctr, Liverpool L3 5DA, Merseyside, England.</t>
  </si>
  <si>
    <t>sveta@noc.ac.uk</t>
  </si>
  <si>
    <t>Grinsted, Aslak/J-9273-2012; Moore, John C/B-2868-2013</t>
  </si>
  <si>
    <t>Grinsted, Aslak/0000-0003-1634-6009; Moore, John C/0000-0001-8271-5787</t>
  </si>
  <si>
    <t>China's National Key Science Program for Global Change Research [2010CB950504, 2010CB951401, 2012CB957704]; NSFC [41076125]; NERC consortium [NE/1008365/1]; Nordic Top-level Research Initiative; NERC [noc010002, NE/I009906/1] Funding Source: UKRI; Natural Environment Research Council [noc010012, NE/I009906/1, noc010002] Funding Source: researchfish</t>
  </si>
  <si>
    <t>China's National Key Science Program for Global Change Research; NSFC(National Natural Science Foundation of China (NSFC)); NERC consortium(UK Research &amp; Innovation (UKRI)Natural Environment Research Council (NERC)); Nordic Top-level Research Initiative; NERC(UK Research &amp; Innovation (UKRI)Natural Environment Research Council (NERC)); Natural Environment Research Council(UK Research &amp; Innovation (UKRI)Natural Environment Research Council (NERC))</t>
  </si>
  <si>
    <t>Work was supported by China's National Key Science Program for Global Change Research (2010CB950504, 2010CB951401, and 2012CB957704), NSFC 41076125, NERC consortium Using Inter-glacials to assess future sea level scenarios (NE/1008365/1), and is publication 13 of the Nordic Centre of Excellence SVALI, Stability and Variations of Arctic Land Ice funded by the Nordic Top-level Research Initiative. We are grateful to three anonymous reviewers for helpful comments.</t>
  </si>
  <si>
    <t>2169-897X</t>
  </si>
  <si>
    <t>2169-8996</t>
  </si>
  <si>
    <t>J GEOPHYS RES-ATMOS</t>
  </si>
  <si>
    <t>J. Geophys. Res.-Atmos.</t>
  </si>
  <si>
    <t>D20116</t>
  </si>
  <si>
    <t>10.1029/2012JD017704</t>
  </si>
  <si>
    <t>027HS</t>
  </si>
  <si>
    <t>WOS:000310343700002</t>
  </si>
  <si>
    <t>Smith, DE; Hunt, N; Firth, CR; Jordan, JT; Fretwell, PT; Harman, M; Murdy, J; Orford, JD; Burnside, NG</t>
  </si>
  <si>
    <t>Smith, D. E.; Hunt, N.; Firth, C. R.; Jordan, J. T.; Fretwell, P. T.; Harman, M.; Murdy, J.; Orford, J. D.; Burnside, N. G.</t>
  </si>
  <si>
    <t>Patterns of Holocene relative sea level change in the North of Britain and Ireland</t>
  </si>
  <si>
    <t>Shoreline; Relative sea level; Glacio-isostasy; Gaussian Trend Surface Analysis</t>
  </si>
  <si>
    <t>LAST GLACIAL MAXIMUM; POSTGLACIAL ISOSTATIC-ADJUSTMENT; SCOTTISH INNER HEBRIDES; BRITISH-ISLES; UNITED-KINGDOM; IRISH SEA; MAINLAND SCOTLAND; FORTH-VALLEY; COASTAL EVOLUTION; CRUSTAL MOVEMENTS</t>
  </si>
  <si>
    <t>Temporal and spatial patterns of relative sea level (RSL) change in the North of Britain and Ireland during the Holocene are examined. Four episodes, each defined by marked changes in the RSL trend, are identified. Each episode is marked by a rise to a culminating shoreline followed by a fall. Episode HRSL-1 dates from the Younger Dryas to early in the Holocene; HRSL-2 to HRSL-4 occurred later in the Holocene. There is extensive evidence for each episode, and on this basis the spatial distribution of the altitude data for three culminating shorelines and a shoreline formed at the time of the Holocene Storegga Slide tsunami (ca 8110 +/- 100 cal. BP) is analysed. Ordinary Kriging is used to determine the general pattern, following which Gaussian Trend Surface Analysis is employed. Recognising that empirical measurements of RSL change can be unevenly distributed spatially, a new approach is introduced which enables the developing pattern to be identified. The patterns for the most widely occurring shorelines were analysed and found to be similar and common centre and axis models were developed for all shorelines. The analyses described provide models of the spatial pattern of Holocene RSL change in the area between ca 8100 cal. BP and ca 1000 cal. BP based on 2262 high resolution shoreline altitude measurements. These models fit the data closely, no shoreline altitude measurement lying more than -1.70 m or +1.82 m from the predicted value. The models disclose a similar pattern to a recently published Glacial Isostatic Adjustment model for present RSL change across the area, indicating that the overall spatial pattern of RSL change may not have varied greatly during the last ca 8000 years. (C) 2012 Elsevier Ltd. All rights reserved.</t>
  </si>
  <si>
    <t>[Smith, D. E.] Univ Oxford, Ctr Environm, Oxford OX1 3QY, England; [Hunt, N.] Coventry Univ, Dept Math Sci, Coventry CV1 5FB, W Midlands, England; [Firth, C. R.; Burnside, N. G.] Brighton Univ, Sch Environm, Brighton BN2 4GJ, E Sussex, England; [Jordan, J. T.] Coventry Univ, Dept Geog Environm &amp; Disaster Management, Coventry CV1 5FB, W Midlands, England; [Fretwell, P. T.] British Antarctic Survey, Cambridge CB3 0ET, England; [Harman, M.; Murdy, J.; Orford, J. D.] Queens Univ Belfast, Sch Geog Archaeol &amp; Palaeoecol, Belfast BT7 1NN, Antrim, North Ireland</t>
  </si>
  <si>
    <t>University of Oxford; Coventry University; University of Brighton; Coventry University; UK Research &amp; Innovation (UKRI); Natural Environment Research Council (NERC); NERC British Antarctic Survey; Queens University Belfast</t>
  </si>
  <si>
    <t>Smith, DE (corresponding author), Univ Oxford, Ctr Environm, S Parks Rd, Oxford OX1 3QY, England.</t>
  </si>
  <si>
    <t>david.smith@ouce.ox.ac.uk</t>
  </si>
  <si>
    <t>Jordan, Jason/0000-0001-6150-7022; Firth, Callum/0000-0002-9698-1338; Burnside, Niall/0000-0002-0416-1608</t>
  </si>
  <si>
    <t>Northern Ireland Environment Agency; Leverhulme Trust; European Commission; NERC [bas010013] Funding Source: UKRI; Natural Environment Research Council [bas010013] Funding Source: researchfish</t>
  </si>
  <si>
    <t>Northern Ireland Environment Agency; Leverhulme Trust(Leverhulme Trust); European Commission(European Union (EU)European Commission Joint Research Centre); NERC(UK Research &amp; Innovation (UKRI)Natural Environment Research Council (NERC)); Natural Environment Research Council(UK Research &amp; Innovation (UKRI)Natural Environment Research Council (NERC))</t>
  </si>
  <si>
    <t>Thanks are due to the former Environment and Heritage Service, Northern Ireland (now the Northern Ireland Environment Agency), to the Leverhulme Trust and to the European Commission, who funded different stages of this work. Thanks are also due to Brian Sissons and Michael Tooley who provided unpublished information which has been used in the analyses presented. Michael Tooley read an early version of the manuscript of this paper and is thanked for his observations. The authors are grateful for the advice they received from Lorraine Barry on matters relating to the comparability of the British and Irish grid systems. The cartography for this paper was based on work by Maura Pringle, of Queen's University Belfast and drawn by Stuart Gill, of SCG Cartographics (Figs. 1, 2, 4, 6-8), Niall Burnside (Fig. 5) and Jason Jordan (Figs. 3 and 9). Clive Brooks provided pollen stratigraphic information in connection with Beta-153059 (Table 6, above). Phil Teasdale and Sue Dawson are thanked for help in sampling for the new radiocarbon dates obtained. Thanks are due to the two referees, who provided information and constructive comments which are greatly appreciated. This paper is dedicated to Ian Peterson, deceased, who originally conceived of the use of Gaussian Trend Surface Analysis in shoreline studies.</t>
  </si>
  <si>
    <t>OCT 26</t>
  </si>
  <si>
    <t>10.1016/j.quascirev.2012.02.007</t>
  </si>
  <si>
    <t>035LL</t>
  </si>
  <si>
    <t>WOS:000310948100006</t>
  </si>
  <si>
    <t>Whitten, KM; Makriyannis, A; Vadivel, SK</t>
  </si>
  <si>
    <t>Whitten, Kyle M.; Makriyannis, Alexandros; Vadivel, Subramanian K.</t>
  </si>
  <si>
    <t>Enzymatic synthesis of N-acylethanolamines: direct method for the aminolysis of esters</t>
  </si>
  <si>
    <t>TETRAHEDRON LETTERS</t>
  </si>
  <si>
    <t>N-Acylethanolamines; Candida antarctica; Endogenous ligand; Amidation; Biocatalysis</t>
  </si>
  <si>
    <t>CANNABINOID RECEPTORS; METABOLIC STABILITY; FATTY-ACIDS; AMIDE; AFFINITY; ANALOGS; CB1</t>
  </si>
  <si>
    <t>Immobilized Candida antarctic (Novozyme 435) catalyzed synthesis of N-acylethanolamines is described. Treatment of methyl esters with lipase and amines yielded the desired amides within 2-24 h with yields ranging from 41% to 98%. (C) 2012 Elsevier Ltd. All rights reserved.</t>
  </si>
  <si>
    <t>[Whitten, Kyle M.; Makriyannis, Alexandros; Vadivel, Subramanian K.] Northeastern Univ, Dept Chem &amp; Chem Biol, Ctr Drug Discovery, Boston, MA 02115 USA</t>
  </si>
  <si>
    <t>Northeastern University</t>
  </si>
  <si>
    <t>Vadivel, SK (corresponding author), Northeastern Univ, Dept Chem &amp; Chem Biol, Ctr Drug Discovery, 116 Mugar Hall,360 Huntington Ave, Boston, MA 02115 USA.</t>
  </si>
  <si>
    <t>s.vadivel@neu.edu</t>
  </si>
  <si>
    <t>Makriyannis, Alexandros/GRF-1518-2022</t>
  </si>
  <si>
    <t>Makriyannis, Alexandros/0000-0003-3272-3687</t>
  </si>
  <si>
    <t>NIDA [R03 DA029184-02]</t>
  </si>
  <si>
    <t>NIDA(United States Department of Health &amp; Human ServicesNational Institutes of Health (NIH) - USANIH National Institute on Drug Abuse (NIDA))</t>
  </si>
  <si>
    <t>One of the authors (S.K.V.) acknowledges the financial support for this research from NIDA (R03 DA029184-02).</t>
  </si>
  <si>
    <t>0040-4039</t>
  </si>
  <si>
    <t>TETRAHEDRON LETT</t>
  </si>
  <si>
    <t>Tetrahedron Lett.</t>
  </si>
  <si>
    <t>OCT 24</t>
  </si>
  <si>
    <t>10.1016/j.tetlet.2012.08.042</t>
  </si>
  <si>
    <t>Science Citation Index Expanded (SCI-EXPANDED); Index Chemicus (IC); Current Chemical Reactions (CCR-EXPANDED)</t>
  </si>
  <si>
    <t>017VB</t>
  </si>
  <si>
    <t>WOS:000309618000008</t>
  </si>
  <si>
    <t>Carscallen, WMA; Romanuk, TN</t>
  </si>
  <si>
    <t>Carscallen, W. Mather A.; Romanuk, Tamara N.</t>
  </si>
  <si>
    <t>Structure and robustness to species loss in Arctic and Antarctic ice-shelf meta-ecosystem webs</t>
  </si>
  <si>
    <t>Climate change; Nitrogen isotope; Polar ecosystems; Secondary extinctions; Food web topology; Trophic position</t>
  </si>
  <si>
    <t>COMPLEX FOOD WEBS; NETWORK STRUCTURE; MARINE PREDATORS; TROPHIC LEVELS; CLIMATE-CHANGE; DEMERSAL FISH; WEDDELL SEA; MODEL; DIET; DELTA-N-15</t>
  </si>
  <si>
    <t>While changes in the structure and dynamics of food-webs associated with sea-ice in polar regions will be among the most pronounced ecosystem-level changes on the planet that will occur with warming temperatures, little is known about how the loss of sea-ice will affect energy flow in polar food webs or whether Arctic and Antarctic sea-ice associated food-webs will respond similarly to species loss. Sea-ice ecosystems are unique from a global warming perspective as increasing temperature will result in the reduction of actual habitat substrate in addition to the air and water warming that will affect most other ecosystems. Over the next century sea-ice declines are predicted to range from 3-67% in the northern hemisphere and 8-64% in the southern hemisphere. We assembled meta-ecosystem food webs for Arctic and Antarctic sea-ice ecosystems for terrestrial and marine species that are dependent on the sea-ice to compare their topological structure and structural robustness to species loss. While the Arctic and Antarctic webs generally showed similar topology, a number of differences between the webs were identified including higher trophic species richness in the Antarctic, a right shifted trophic position distribution, and greater generality. Arctic webs had higher looping, clustering, and diet discontinuity suggesting the presence of stronger sub-webs and compartmentalization. Both the Arctic and Antarctic webs showed low robustness to the loss of low trophic position species and highly connected species, with 50% species loss occurring after the removal of similar to 8% of species. The Arctic web was 33% less robust to deletions when ordered from lowest to highest trophic position than the Antarctic web. Our results suggest that food webs in the Arctic webs may be more sensitive to species loss as might occur due to sea-ice declines than Antarctic food webs. (C) 2012 Elsevier B.V. All rights reserved.</t>
  </si>
  <si>
    <t>[Carscallen, W. Mather A.; Romanuk, Tamara N.] Dalhousie Univ, Dept Biol, Halifax, NS B3H 4J1, Canada</t>
  </si>
  <si>
    <t>Romanuk, TN (corresponding author), Dalhousie Univ, Dept Biol, 1355 Oxford St, Halifax, NS B3H 4J1, Canada.</t>
  </si>
  <si>
    <t>romanuk@dal.ca</t>
  </si>
  <si>
    <t>Romanuk, t N/C-6493-2008</t>
  </si>
  <si>
    <t>10.1016/j.ecolmodel.2012.03.027</t>
  </si>
  <si>
    <t>014KM</t>
  </si>
  <si>
    <t>WOS:000309374600021</t>
  </si>
  <si>
    <t>Ghiglione, JF; Galand, PE; Pommier, T; Pedrós-Alió, C; Maas, EW; Bakker, K; Bertilson, S; Kirchman, DL; Lovejoy, C; Yager, PL; Murray, AE</t>
  </si>
  <si>
    <t>Ghiglione, Jean-Francois; Galand, Pierre E.; Pommier, Thomas; Pedros-Alio, Carlos; Maas, Elizabeth W.; Bakker, Kevin; Bertilson, Stefan; Kirchman, David L.; Lovejoy, Connie; Yager, Patricia L.; Murray, Alison E.</t>
  </si>
  <si>
    <t>Pole-to-pole biogeography of surface and deep marine bacterial communities</t>
  </si>
  <si>
    <t>bipolar; biodiversity; next-generation sequencing; microbial ecology</t>
  </si>
  <si>
    <t>ARCHAEAL ASSEMBLAGES; ARCTIC-OCEAN; SEA-ICE; DIVERSITY; ECOLOGY</t>
  </si>
  <si>
    <t>The Antarctic and Arctic regions offer a unique opportunity to test factors shaping biogeography of marine microbial communities because these regions are geographically far apart, yet share similar selection pressures. Here, we report a comprehensive comparison of bacterioplankton diversity between polar oceans, using standardized methods for pyrosequencing the V6 region of the small subunit ribosomal (SSU) rRNA gene. Bacterial communities from lower latitude oceans were included, providing a global perspective. A clear difference between Southern and Arctic Ocean surface communities was evident, with 78% of operational taxonomic units (OTUs) unique to the Southern Ocean and 70% unique to the Arctic Ocean. Although polar ocean bacterial communities were more similar to each other than to lower latitude pelagic communities, analyses of depths, seasons, and coastal vs. open waters, the Southern and Arctic Ocean bacterioplankton communities consistently clustered separately from each other. Coastal surface Southern and Arctic Ocean communities were more dissimilar from their respective open ocean communities. In contrast, deep ocean communities differed less between poles and lower latitude deep waters and displayed different diversity patterns compared with the surface. In addition, estimated diversity (Chao1) for surface and deep communities did not correlate significantly with latitude or temperature. Our results suggest differences in environmental conditions at the poles and different selection mechanisms controlling surface and deep ocean community structure and diversity. Surface bacterioplankton may be subjected to more short-term, variable conditions, whereas deep communities appear to be structured by longer water-mass residence time and connectivity through ocean circulation.</t>
  </si>
  <si>
    <t>[Murray, Alison E.] Desert Res Inst, Div Earth &amp; Ecosyst Sci, Reno, NV 89512 USA; [Ghiglione, Jean-Francois; Galand, Pierre E.] Univ Paris 06, Lab Ecogeochim Environm Benth LECOB, Lab Oceanog Microbienne LOMIC, Observ Oceanol,UMR 8222,UMR 7621, F-66650 Banyuls Sur Mer, France; [Ghiglione, Jean-Francois] CNRS, UMR 7621, LOMIC, Observ Oceanol, F-66650 Banyuls Sur Mer, France; [Galand, Pierre E.] CNRS, UMR 8222, LECOB, Observ Oceanol, F-66650 Banyuls Sur Mer, France; [Pommier, Thomas] Univ Lyon 1, CNRS, INRA, Ecol Microbienne Lyon,USC 1364,UMR 5557, F-69622 Villeurbanne, France; [Pedros-Alio, Carlos] Inst Ciencies Mar CSIC, Dept Biol Marina &amp; Oceanog, E-08003 Barcelona, Spain; [Maas, Elizabeth W.] Natl Inst Water &amp; Atmospher Res, Wellington 6241, New Zealand; [Bakker, Kevin; Yager, Patricia L.] Univ Georgia, Sch Marine Programs, Athens, GA 30602 USA; [Bakker, Kevin] Univ Michigan, Ecol &amp; Evolutionary Biol Dept, Ann Arbor, MI 48109 USA; [Bertilson, Stefan] Uppsala Univ, Dept Ecol &amp; Genet, SE-75239 Uppsala, Sweden; [Kirchman, David L.] Univ Delaware, Sch Marine Sci &amp; Policy, Lewes, DE 19958 USA; [Lovejoy, Connie] Univ Laval, IBIS, Dept Biol, Quebec City, PQ G1V 0A6, Canada</t>
  </si>
  <si>
    <t>Nevada System of Higher Education (NSHE); Desert Research Institute NSHE; Centre National de la Recherche Scientifique (CNRS); CNRS - Institute of Ecology &amp; Environment (INEE); Sorbonne Universite; CNRS - National Institute for Earth Sciences &amp; Astronomy (INSU); Centre National de la Recherche Scientifique (CNRS); CNRS - National Institute for Earth Sciences &amp; Astronomy (INSU); Sorbonne Universite; Sorbonne Universite; Centre National de la Recherche Scientifique (CNRS); CNRS - Institute of Ecology &amp; Environment (INEE); INRAE; VetAgro Sup; Centre National de la Recherche Scientifique (CNRS); Universite Claude Bernard Lyon 1; Consejo Superior de Investigaciones Cientificas (CSIC); CSIC - Centro Mediterraneo de Investigaciones Marinas y Ambientales (CMIMA); CSIC - Instituto de Ciencias del Mar (ICM); National Institute of Water &amp; Atmospheric Research (NIWA) - New Zealand; University System of Georgia; University of Georgia; University of Michigan System; University of Michigan; Uppsala University; University of Delaware; Laval University</t>
  </si>
  <si>
    <t>Murray, AE (corresponding author), Desert Res Inst, Div Earth &amp; Ecosyst Sci, Reno, NV 89512 USA.</t>
  </si>
  <si>
    <t>Alison.Murray@dri.edu</t>
  </si>
  <si>
    <t>Pommier, Thomas/AAR-1115-2021; Galand, Pierre E/A-1429-2014; Ghiglione, Jean-Francois JF/A-7540-2011; Bakker, Kevin/J-3702-2013; Yager, Patricia/K-8020-2014; Lovejoy, Connie/A-3756-2008; Pedros-Alio, Carlos/H-1222-2011</t>
  </si>
  <si>
    <t>Pommier, Thomas/0000-0003-2986-5326; Bakker, Kevin/0000-0002-7084-9291; Yager, Patricia/0000-0002-8462-6427; Lovejoy, Connie/0000-0001-8027-2281; Pedros-Alio, Carlos/0000-0003-1009-4277; Galand, Pierre E./0000-0002-2238-3247</t>
  </si>
  <si>
    <t>Sloan Foundation; W.M. Keck Foundation award; Institut Francais pour la Recherche et la Technologie Polaires; Spanish Ministry of Education and Science; New Zealand International Polar Year-Census of Antarctic Marine Life Project [So001IPY, IPY2007-01]; Natural Sciences and Engineering Council (NSERC) of Canada; National Science Foundation [OPP-0124733, ANT-0632389, ANT-0741409]; Swedish Polar Research Secretariat</t>
  </si>
  <si>
    <t>Sloan Foundation(Alfred P. Sloan Foundation); W.M. Keck Foundation award(W.M. Keck Foundation); Institut Francais pour la Recherche et la Technologie Polaires; Spanish Ministry of Education and Science(Spanish Government); New Zealand International Polar Year-Census of Antarctic Marine Life Project; Natural Sciences and Engineering Council (NSERC) of Canada(Natural Sciences and Engineering Research Council of Canada (NSERC)); National Science Foundation(National Science Foundation (NSF)); Swedish Polar Research Secretariat</t>
  </si>
  <si>
    <t>We thank the members of field teams, shipboard crews, and logistics support personnel from all national polar programs involved in sample collection, without whom this study would not have been possible. The Census of Antarctic Marine Life, funded by the Sloan Foundation, facilitated this collaboration. Pyrosequencing was provided by the International Census of Marine Microbes (ICoMM) with financial support from a W.M. Keck Foundation award to the Marine Biological Laboratory in Woods Hole. Funding to support sample collection was provided by the Institut Francais pour la Recherche et la Technologie Polaires (J.-F.G.); the Spanish Ministry of Education and Science (C.P.-A.); the New Zealand International Polar Year-Census of Antarctic Marine Life Project [Phases 1 (So001IPY) and 2 (IPY2007-01); to E.W.M.); the Natural Sciences and Engineering Council (NSERC) of Canada (C.L.); National Science Foundation Grants OPP-0124733 (to D.L.K.), ANT-0632389 (to A.E.M.), and ANT-0741409 (to P.L.Y.); and the Swedish Polar Research Secretariat (S.B.).</t>
  </si>
  <si>
    <t>OCT 23</t>
  </si>
  <si>
    <t>10.1073/pnas.1208160109</t>
  </si>
  <si>
    <t>038AO</t>
  </si>
  <si>
    <t>WOS:000311147800065</t>
  </si>
  <si>
    <t>Zattin, M; Andreucci, B; Thomson, SN; Reiners, PW; Talarico, FM</t>
  </si>
  <si>
    <t>Zattin, Massimiliano; Andreucci, Benedetta; Thomson, Stuart N.; Reiners, Peter W.; Talarico, Franco M.</t>
  </si>
  <si>
    <t>New constraints on the provenance of the ANDRILL AND-2A succession (western Ross Sea, Antarctica) from apatite triple dating</t>
  </si>
  <si>
    <t>GEOCHEMISTRY GEOPHYSICS GEOSYSTEMS</t>
  </si>
  <si>
    <t>(U-Th)/He dating; Andrill; Antarctica; U-Pb dating; apatite triple dating; fission-track dating</t>
  </si>
  <si>
    <t>SOUTHERN VICTORIA-LAND; CENTRAL TRANSANTARCTIC MOUNTAINS; DRY VALLEYS AREA; ICE-SHEET; LATE OLIGOCENE; MCMURDO SOUND; GLACIER AREA; AEROMAGNETIC ANOMALIES; DRILL CORE; EVOLUTION</t>
  </si>
  <si>
    <t>Apatite triple dating (fission track, U-Pb and U-Th/He techniques) has been applied to detrital grains from the sedimentary core drilled during the ANDRILL 2A project, which documents the Miocene history of the Victoria Land Basin (western Ross Sea). High-temperature cooling ages show two main clusters (about 30 and 500 Ma) whereas most of low-temperature data are late Oligocene-Early Miocene in age. These latter data are related to the exhumation of the Transantarctic Mountains south of the Discovery Accommodation Zone. Comparison between low-temperature ages suggests that the Transantarctic Mountains have been in a phase of post-orogenic decay since at least 30 Ma. The Oligocene U-Pb data demonstrate the presence of a volcanic event well before the McMurdo volcanic group, whose onset is commonly places at 19 Ma. The location of the volcanic centers is unknown, but they could be below the Ross Ice Shelf south of drilling site. As a whole, these data indicate a major flow of sediments from south to north with only minor contributions from nearby outlet glaciers of the East Antarctic Ice Sheet.</t>
  </si>
  <si>
    <t>[Zattin, Massimiliano; Andreucci, Benedetta] Univ Padua, Dept Geosci, IT-35131 Padua, Italy; [Thomson, Stuart N.; Reiners, Peter W.] Univ Arizona, Dept Geosci, Tucson, AZ 85721 USA; [Talarico, Franco M.] Univ Siena, Dept Earth Sci, IT-53100 Siena, Italy</t>
  </si>
  <si>
    <t>University of Padua; University of Arizona; University of Siena</t>
  </si>
  <si>
    <t>Zattin, M (corresponding author), Univ Padua, Dept Geosci, Via G Gradenigo 6, IT-35131 Padua, Italy.</t>
  </si>
  <si>
    <t>massimiliano.zattin@unipd.it; benedetta.andreucci@studenti.unipd.it; thomson@email.arizona.edu; reiners@email.arizona.edu; talarico@unisi.it</t>
  </si>
  <si>
    <t>Thomson, Stuart N/A-1222-2009; Thomson, Stuart N/IZE-4354-2023; Zattin, Massimiliano/A-8943-2012; talarico, franco/G-9472-2012</t>
  </si>
  <si>
    <t>Thomson, Stuart N/0000-0003-4331-5654; Zattin, Massimiliano/0000-0002-2265-3921; talarico, franco/0000-0002-7254-4301; Angelini, Corrado/0000-0002-9554-8794</t>
  </si>
  <si>
    <t>Fondazione Cassa di Risparmio di Padova e Rovigo (Bando Progetti di Eccellenza); PRIN (Talarico); Division Of Earth Sciences; Directorate For Geosciences [0732380] Funding Source: National Science Foundation</t>
  </si>
  <si>
    <t>Fondazione Cassa di Risparmio di Padova e Rovigo (Bando Progetti di Eccellenza); PRIN (Talarico)(Ministry of Education, Universities and Research (MIUR)); Division Of Earth Sciences; Directorate For Geosciences(National Science Foundation (NSF)NSF - Directorate for Geosciences (GEO))</t>
  </si>
  <si>
    <t>Yvonne Cook is thanked for providing apatite separates. Mark Pecha and Nicky Geisler are thanked for supervision during U-Pb analysis at the Arizona LaserChron Center. The article greatly benefited from thorough and constructive reviews by Cornelia Spiegel and Maria Laura Balestrieri. This work has been supported by Fondazione Cassa di Risparmio di Padova e Rovigo (Bando Progetti di Eccellenza 2009/2010; Zattin) and PRIN 2008 (Talarico). The ANDRILL (Antarctic geologic drilling) Program is a multinational collaboration between the Antarctic programs of Germany, Italy, New Zealand, and the United States.</t>
  </si>
  <si>
    <t>1525-2027</t>
  </si>
  <si>
    <t>GEOCHEM GEOPHY GEOSY</t>
  </si>
  <si>
    <t>Geochem. Geophys. Geosyst.</t>
  </si>
  <si>
    <t>OCT 20</t>
  </si>
  <si>
    <t>Q10016</t>
  </si>
  <si>
    <t>10.1029/2012GC004357</t>
  </si>
  <si>
    <t>023XO</t>
  </si>
  <si>
    <t>WOS:000310071200001</t>
  </si>
  <si>
    <t>Meredith, NP; Horne, RB; Sicard-Piet, A; Boscher, D; Yearby, KH; Li, W; Thorne, RM</t>
  </si>
  <si>
    <t>Meredith, Nigel P.; Horne, Richard B.; Sicard-Piet, Angelica; Boscher, Daniel; Yearby, Keith H.; Li, Wen; Thorne, Richard M.</t>
  </si>
  <si>
    <t>Global model of lower band and upper band chorus from multiple satellite observations</t>
  </si>
  <si>
    <t>PLASMASPHERIC HISS; ELF/VLF CHORUS; ACCELERATION; ELECTRONS; WAVES; FIELD; MAGNETOSPHERE; INSTRUMENT; MAGNETOMETER; PERFORMANCE</t>
  </si>
  <si>
    <t>Gyroresonant wave particle interactions with whistler mode chorus play a fundamental role in the dynamics of the Earth's radiation belts and inner magnetosphere, affecting both the acceleration and loss of radiation belt electrons. Knowledge of the variability of chorus wave power as a function of both spatial location and geomagnetic activity, required for the computation of pitch angle and energy diffusion rates, is thus a critical input for global radiation belt models. Here we present a global model of lower band (0.1f(ce) &lt; f &lt; 0.5f(ce)) and upper band (0.5f(ce) &lt; f &lt; f(ce)) chorus, where f(ce) is the local electron gyrofrequency, using data from five satellites, extending the coverage and improving the statistics of existing models. From the plasmapause out to L* = 10 the chorus emissions are found to be largely substorm dependent with the largest intensities being seen during active conditions. Equatorial lower band chorus is strongest during active conditions with peak intensities of the order 2000 pT(2) in the region 4 &lt; L* &lt; 9 between 2300 and 1200 MLT. Equatorial upper band chorus is both weaker and less extensive with peak intensities of the order a few hundred pT(2) during active conditions between 2300 and 1100 MLT from L* = 3 to L* = 7. Moving away from the equator midlatitude chorus is strongest in the lower band during active conditions with peak intensities of the order 2000 pT(2) in the region 4 &lt; L* &lt; 9 but is restricted to the dayside between 0700 and 1400 MLT.</t>
  </si>
  <si>
    <t>[Meredith, Nigel P.; Horne, Richard B.] British Antarctic Survey, Nat Environm Res Council, Cambridge CB3 0ET, England; [Sicard-Piet, Angelica; Boscher, Daniel] Off Natl Etud &amp; Rech Airospatiales, Toulouse, France; [Yearby, Keith H.] Univ Sheffield, Dept Automat Control &amp; Syst Engn, Sheffield, S Yorkshire, England; [Li, Wen; Thorne, Richard M.] Univ Calif Los Angeles, Dept Atmospher &amp; Ocean Sci, Los Angeles, CA USA</t>
  </si>
  <si>
    <t>UK Research &amp; Innovation (UKRI); Natural Environment Research Council (NERC); NERC British Antarctic Survey; University of Sheffield; University of California System; University of California Los Angeles</t>
  </si>
  <si>
    <t>Meredith, NP (corresponding author), British Antarctic Survey, Nat Environm Res Council, Madingley Rd, Cambridge CB3 0ET, England.</t>
  </si>
  <si>
    <t>nmer@bas.ac.uk</t>
  </si>
  <si>
    <t>Meredith, Nigel P/C-5806-2018; Li, Wen/F-3722-2011; Horne, Richard B/U-3764-2019</t>
  </si>
  <si>
    <t>Horne, Richard B/0000-0002-0412-6407; Meredith, Nigel/0000-0001-5032-3463; Sicard, Angelica/0000-0001-7810-1432</t>
  </si>
  <si>
    <t>NASA [NAS5-02099, NNX11AR64G, NNX11AD75G]; German Ministry for Economy and Technology; German Center for Aviation and Space (DLR) [50 OC 0302]; European Union Seventh Framework Programme (FP7) [262468]; Natural Environment Research Council; NERC [bas0100023] Funding Source: UKRI; Natural Environment Research Council [bas0100023] Funding Source: researchfish</t>
  </si>
  <si>
    <t>NASA(National Aeronautics &amp; Space Administration (NASA)); German Ministry for Economy and Technology; German Center for Aviation and Space (DLR)(Helmholtz AssociationGerman Aerospace Centre (DLR)); European Union Seventh Framework Programme (FP7)(European Union (EU));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</si>
  <si>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acknowledge Roger Anderson for provision of the CRRES plasma wave data. We also acknowledge the CDAWeb and CLUSTER Active Archive Web sites for the provision of the wave data of DE1 and CLUSTER, respectively. We thank LPCEE laboratory (Orleans, France) for their help in the analysis of the wave data. We thank NASA contract NAS5-02099 and V. Angelopoulos for use of data from THEMIS Mission. Specifically, we thank O. Le Contel and A. Roux for use of SCM data; J. W. Bonnell and F. S. Mozer for use of EFI data; and K. H. Glassmeier, U. Auster, and W. Baumjohann for the use of FGM data provided under the lead of the Technical University of Braunschweig and with financial support through the German Ministry for Economy and Technology and the German Center for Aviation and Space (DLR) under contract 50 OC 0302. We also thank the NSSDC Omniweb for the provision of the geomagnetic activity indices used in this report. R.M.T. and W.L. would like to acknowledge support from NASA grants NNX11AR64G and NNX11AD75G. The research leading to these results has received funding from the European Union Seventh Framework Programme (FP7/2007-2013) under grant agreement 262468 and the Natural Environment Research Council.</t>
  </si>
  <si>
    <t>A10225</t>
  </si>
  <si>
    <t>10.1029/2012JA017978</t>
  </si>
  <si>
    <t>024CI</t>
  </si>
  <si>
    <t>WOS:000310084900001</t>
  </si>
  <si>
    <t>Bitz, CM; Polvani, LM</t>
  </si>
  <si>
    <t>Bitz, C. M.; Polvani, L. M.</t>
  </si>
  <si>
    <t>Antarctic climate response to stratospheric ozone depletion in a fine resolution ocean climate model</t>
  </si>
  <si>
    <t>SOUTHERN; CIRCULATION</t>
  </si>
  <si>
    <t>We investigate the impact of stratospheric ozone depletion on Antarctic climate, paying particular attention to the question of whether eddy parameterizations in the ocean fundamentally alter the results. This is accomplished by contrasting two versions of the Community Climate System Model (version 3.5), one at 0.1 degrees ocean and sea ice resolution and the other at 1 degrees with parameterized ocean eddies. At both resolutions, pairs of integrations are performed: one with high (1960) and one with low (2000) ozone levels. We find that the effect of ozone depletion is to warm the surface and the ocean to a depth of 1000 m and to significantly reduce the sea ice extent. While the ocean warming is somewhat weaker when the eddies are resolved, the total loss of sea ice area is roughly the same in the fine and coarse resolution cases. Citation: Bitz, C. M., and L. M. Polvani (2012), Antarctic climate response to stratospheric ozone depletion in a fine resolution ocean climate model, Geophys. Res. Lett., 39, L20705, doi:10.1029/2012GL053393.</t>
  </si>
  <si>
    <t>[Bitz, C. M.] Univ Washington, Dept Atmospher Sci, Seattle, WA 98195 USA; [Polvani, L. M.] Columbia Univ, Dept Appl Phys &amp; Appl Math, New York, NY USA; [Polvani, L. M.] Columbia Univ, Dept Earth &amp; Environm Sci, New York, NY USA; [Polvani, L. M.] Columbia Univ, Lamont Doherty Earth Observ, Earth Inst, Palisades, NY USA</t>
  </si>
  <si>
    <t>University of Washington; University of Washington Seattle; Columbia University; Columbia University; Columbia University</t>
  </si>
  <si>
    <t>Bitz, CM (corresponding author), Univ Washington, Dept Atmospher Sci, MS 351640, Seattle, WA 98195 USA.</t>
  </si>
  <si>
    <t>bitz@uw.edu</t>
  </si>
  <si>
    <t>Bitz, Cecilia M/S-8423-2016; Polvani, Lorenzo M/E-5949-2011</t>
  </si>
  <si>
    <t>Bitz, Cecilia/0000-0002-9477-7499</t>
  </si>
  <si>
    <t>National Science Foundation [ARC-0938204]; Columbia University; Kraken at the National Institute for Computational Science through XSEDE [TG-ATM100052, TG-ATM090041]; NSF; CCSM PetaApps team; Office of Polar Programs (OPP); Directorate For Geosciences [0938204, 0944063] Funding Source: National Science Foundation</t>
  </si>
  <si>
    <t>National Science Foundation(National Science Foundation (NSF)); Columbia University; Kraken at the National Institute for Computational Science through XSEDE; NSF(National Science Foundation (NSF)); CCSM PetaApps team; Office of Polar Programs (OPP); Directorate For Geosciences(National Science Foundation (NSF)NSF - Directorate for Geosciences (GEO))</t>
  </si>
  <si>
    <t>We gratefully acknowledge support from the National Science Foundation through grant ARC-0938204 (C.M.B.) and a grant to Columbia University (L.M.P.). Computing was performed on Kraken at the National Institute for Computational Science through XSEDE allocations TG-ATM100052 and TG-ATM090041. XSEDE computing is supported by NSF. We thank the NSF funded CCSM PetaApps team for allowing us to use their control integrations and for sharing their code to run the model at fine resolution. We thank Peter Gent for comments on the manuscript.</t>
  </si>
  <si>
    <t>OCT 19</t>
  </si>
  <si>
    <t>L20705</t>
  </si>
  <si>
    <t>10.1029/2012GL053393</t>
  </si>
  <si>
    <t>024AH</t>
  </si>
  <si>
    <t>WOS:000310079200005</t>
  </si>
  <si>
    <t>Cressey, D</t>
  </si>
  <si>
    <t>Cressey, Daniel</t>
  </si>
  <si>
    <t>Antarctic seas in the balance</t>
  </si>
  <si>
    <t>OCT 18</t>
  </si>
  <si>
    <t>10.1038/490324a</t>
  </si>
  <si>
    <t>021XI</t>
  </si>
  <si>
    <t>WOS:000309918500011</t>
  </si>
  <si>
    <t>Hao, QZ; Wang, L; Oldfield, F; Peng, SZ; Qin, L; Song, Y; Xu, B; Qiao, YS; Bloemendal, J; Guo, ZT</t>
  </si>
  <si>
    <t>Hao, Qingzhen; Wang, Luo; Oldfield, Frank; Peng, Shuzhen; Qin, Li; Song, Yang; Xu, Bing; Qiao, Yansong; Bloemendal, Jan; Guo, Zhengtang</t>
  </si>
  <si>
    <t>Delayed build-up of Arctic ice sheets during 400,000-year minima in insolation variability</t>
  </si>
  <si>
    <t>CHINESE LOESS; CLIMATE VARIABILITY; ANTARCTIC CLIMATE; GRAIN-SIZE; VOLUME; TEMPERATURE; GREENLAND; RECORD</t>
  </si>
  <si>
    <t>Knowledge of the past variability of climate at high northern latitudes during astronomical analogues of the present interglacial(1) may help to inform our understanding of future climate change. Unfortunately, long-term continuous records of ice-sheet variability in the Northern Hemisphere only are scarce because records of benthic O-18 content represent an integrated signal of changes in ice volume in both polar regions(2). However, variations in Northern Hemisphere ice sheets influence the Siberian High(3) (an atmospheric pressure system), so variations in the East Asian winter monsoon (EAWM)-as recorded in the aeolian dust deposits on the Chinese Loess Plateau-can serve as a useful proxy of Arctic climate variability before the ice-core record begins. Here we present an EAWM proxy record using grain-size variations in two parallel loess sections representative of sequences across the whole of the Chinese Loess Plateau over the past 900,000 years. The results show that during periods of low eccentricity and precessional variability at approximately 400,000-year intervals, the grain-size-inferred intensity of the EAWM remains weak for up to 20,000 years after the end of the interglacial episode of high summer monsoon activity and strong pedogenesis. In contrast, there is a rapid increase in the EAWM after the end of most other interglacials. We conclude that, for both the 400,000-year interglacials, the weak EAWM winds maintain a mild, non-glacial climate at high northern latitudes for much longer than expected from the conventional loess and marine oxygen isotope records. During these times, the less-severe summer insolation minima at 65 degrees N (ref. 4) would have suppressed ice and snow accumulation, leading to a weak Siberian High and, consequently, weak EAWM winds.</t>
  </si>
  <si>
    <t>[Hao, Qingzhen; Wang, Luo; Song, Yang; Xu, Bing; Guo, Zhengtang] Chinese Acad Sci, Inst Geol &amp; Geophys, Key Lab Cenozo Geol &amp; Environm, Beijing 100029, Peoples R China; [Oldfield, Frank; Bloemendal, Jan] Univ Liverpool, Sch Environm Sci, Liverpool L69 7ZT, Merseyside, England; [Peng, Shuzhen] Taishan Univ, Key Lab Tourism &amp; Resources Environm Univ Shandon, Tai An 271021, Shandong, Peoples R China; [Qin, Li] China Three Gorges Museum, Chongqing Three Gorges Inst Paleoanthropol, Chongqing 400015, Peoples R China; [Song, Yang] Chinese Acad Sci, Grad Univ, Beijing 100049, Peoples R China; [Qiao, Yansong] Chinese Acad Geol Sci, Inst Geomech, Beijing 100081, Peoples R China</t>
  </si>
  <si>
    <t>Chinese Academy of Sciences; Institute of Geology &amp; Geophysics, CAS; University of Liverpool; Taishan University; Chongqing Three Gorges University; Chinese Academy of Sciences; University of Chinese Academy of Sciences, CAS; China Geological Survey; Institute of Geomechanics, Chinese Academy of Geological Sciences; Chinese Academy of Geological Sciences</t>
  </si>
  <si>
    <t>Hao, QZ (corresponding author), Chinese Acad Sci, Inst Geol &amp; Geophys, Key Lab Cenozo Geol &amp; Environm, POB 9825, Beijing 100029, Peoples R China.</t>
  </si>
  <si>
    <t>haoqz@mail.iggcas.ac.cn; oldfield.f@gmail.com</t>
  </si>
  <si>
    <t>Guo, Zhengtang/B-6854-2008; Hao, Qingzhen/KCK-8974-2024; Song, Yang/AAU-8660-2021; Wang, Luo/A-1430-2009</t>
  </si>
  <si>
    <t>Guo, Zhengtang/0000-0003-2259-9715; Hao, Qingzhen/0000-0002-6281-5817; Qin, Li/0000-0002-8957-6705; Wang, Luo/0000-0003-2217-8478; Yang, Song/0000-0003-1728-687X</t>
  </si>
  <si>
    <t>National Natural Science Foundation of China [41172323]; Ministry of Science and Technology [2010CB950204]; Ministry of Land and Resources [201211077]; Chinese Academy of Sciences</t>
  </si>
  <si>
    <t>National Natural Science Foundation of China(National Natural Science Foundation of China (NSFC)); Ministry of Science and Technology(Spanish Government); Ministry of Land and Resources; Chinese Academy of Sciences(Chinese Academy of Sciences)</t>
  </si>
  <si>
    <t>This work was supported by the National Natural Science Foundation of China (grant 41172323), Ministry of Science and Technology (grant 2010CB950204), Ministry of Land and Resources (grant 201211077), and the Chinese Academy of Sciences.</t>
  </si>
  <si>
    <t>1476-4687</t>
  </si>
  <si>
    <t>10.1038/nature11493</t>
  </si>
  <si>
    <t>WOS:000309918500044</t>
  </si>
  <si>
    <t>Strobel, A; Bennecke, S; Leo, E; Mintenbeck, K; Pörtner, HO; Mark, FC</t>
  </si>
  <si>
    <t>Strobel, Anneli; Bennecke, Swaantje; Leo, Elettra; Mintenbeck, Katja; Poertner, Hans O.; Mark, Felix C.</t>
  </si>
  <si>
    <t>Metabolic shifts in the Antarctic fish Notothenia rossii in response to rising temperature and PCO2</t>
  </si>
  <si>
    <t>FRONTIERS IN ZOOLOGY</t>
  </si>
  <si>
    <t>Notothenioid; Oxygen consumption; Routine metabolic rate; Extracellular pH (pH(e)); Intracellular pH (pH(i)); Mitochondrial respiration; Acclimation; Acid-base</t>
  </si>
  <si>
    <t>ACID-BASE REGULATION; INVERTEBRATE SIPUNCULUS-NUDUS; LIMITED THERMAL TOLERANCE; DEPENDENT PH REGULATION; ENVIRONMENTAL HYPERCAPNIA; CARBON-DIOXIDE; CLIMATE-CHANGE; IN-VIVO; PAGOTHENIA-BORCHGREVINKI; MITOCHONDRIAL-FUNCTION</t>
  </si>
  <si>
    <t>Introduction: Ongoing ocean warming and acidification increasingly affect marine ecosystems, in particular around the Antarctic Peninsula. Yet little is known about the capability of Antarctic notothenioid fish to cope with rising temperature in acidifying seawater. While the whole animal level is expected to be more sensitive towards hypercapnia and temperature, the basis of thermal tolerance is set at the cellular level, with a putative key role for mitochondria. This study therefore investigates the physiological responses of the Antarctic Notothenia rossii after long-term acclimation to increased temperatures (7 degrees C) and elevated PCO2 (0.2 kPa CO2) at different levels of physiological organisation. Results: For an integrated picture, we analysed the acclimation capacities of N. rossii by measuring routine metabolic rate (RMR), mitochondrial capacities (state III respiration) as well as intra- and extracellular acid-base status during acute thermal challenges and after long-term acclimation to changing temperature and hypercapnia. RMR was partially compensated during warm-acclimation (decreased below the rate observed after acute warming), while elevated PCO2 had no effect on cold or warm acclimated RMR. Mitochondrial state III respiration was unaffected by temperature acclimation but depressed in cold and warm hypercapnia-acclimated fish. In both cold- and warm-exposed N. rossii, hypercapnia acclimation resulted in a shift of extracellular pH (pH(e)) towards more alkaline values. A similar overcompensation was visible in muscle intracellular pH (pH(i)). pH(i) in liver displayed a slight acidosis after warm normo- or hypercapnia acclimation, nevertheless, long-term exposure to higher PCO2 was compensated for by intracellular bicarbonate accumulation. Conclusion: The partial warm compensation in whole animal metabolic rate indicates beginning limitations in tissue oxygen supply after warm-acclimation of N. rossii. Compensatory mechanisms of the reduced mitochondrial capacities under chronic hypercapnia may include a new metabolic equilibrium to meet the elevated energy demand for acid-base regulation. New set points of acid-base regulation under hypercapnia, visible at the systemic and intracellular level, indicate that N. rossii can at least in part acclimate to ocean warming and acidification. It remains open whether the reduced capacities of mitochondrial energy metabolism are adaptive or would impair population fitness over longer timescales under chronically elevated temperature and PCO2.</t>
  </si>
  <si>
    <t>[Strobel, Anneli; Bennecke, Swaantje; Leo, Elettra; Mintenbeck, Katja; Poertner, Hans O.; Mark, Felix C.] Alfred Wegener Inst Polar &amp; Marine Res, D-27570 Bremerhaven, Germany; [Leo, Elettra] Univ Trieste, Dept Life Sci, Trieste, Italy</t>
  </si>
  <si>
    <t>Helmholtz Association; Alfred Wegener Institute, Helmholtz Centre for Polar &amp; Marine Research; University of Trieste</t>
  </si>
  <si>
    <t>Strobel, A (corresponding author), Alfred Wegener Inst Polar &amp; Marine Res, Handelshafen 12, D-27570 Bremerhaven, Germany.</t>
  </si>
  <si>
    <t>anneli.strobel@awi.de</t>
  </si>
  <si>
    <t>Pörtner, Hans-O./ISU-9397-2023; Pörtner, Hans-O./K-9429-2016; Mark, Felix Christopher/P-4759-2016; Strobel, Anneli/S-5853-2016</t>
  </si>
  <si>
    <t>Pörtner, Hans-O./0000-0001-6535-6575; Mark, Felix Christopher/0000-0002-5586-6704; Mintenbeck, Katja/0000-0002-3239-6308</t>
  </si>
  <si>
    <t>Deutsche Forschungsgemeinschaft DFG [PO 278/13-1]; ERASMUS scholarship</t>
  </si>
  <si>
    <t>Deutsche Forschungsgemeinschaft DFG(German Research Foundation (DFG)); ERASMUS scholarship</t>
  </si>
  <si>
    <t>This work was supported by the Deutsche Forschungsgemeinschaft DFG grant PO 278/13-1 to AS, HOP and FCM, and a ERASMUS scholarship to EL. We wish to thank the crew of the Jubany Base (Carlini) on King George Island for their valuable technical support.</t>
  </si>
  <si>
    <t>BMC</t>
  </si>
  <si>
    <t>CAMPUS, 4 CRINAN ST, LONDON N1 9XW, ENGLAND</t>
  </si>
  <si>
    <t>1742-9994</t>
  </si>
  <si>
    <t>FRONT ZOOL</t>
  </si>
  <si>
    <t>Front. Zool.</t>
  </si>
  <si>
    <t>10.1186/1742-9994-9-28</t>
  </si>
  <si>
    <t>067YB</t>
  </si>
  <si>
    <t>Green Published, gold</t>
  </si>
  <si>
    <t>WOS:000313330200001</t>
  </si>
  <si>
    <t>Kanao, M; Hansen, SE; Kamiyama, K; Wiens, D; Higashi, T; Nyblade, AA; Watanabe, A</t>
  </si>
  <si>
    <t>Kanao, Masaki; Hansen, Samantha E.; Kamiyama, Kokichi; Wiens, Douglas; Higashi, Toshihiro; Nyblade, Andrew A.; Watanabe, Atsushi</t>
  </si>
  <si>
    <t>Crustal structure from the Lutzow-Holm Bay to the inland plateau of East Antarctica, based on onshore gravity surveys and broadband seismic deployments</t>
  </si>
  <si>
    <t>TECTONOPHYSICS</t>
  </si>
  <si>
    <t>Crustal structure; Land gravity survey; Broadband seismic deployments; Lutzow-Holm Bay; Dome-F; Gamburtsev Mountains</t>
  </si>
  <si>
    <t>TECTONIC IMPLICATIONS; CONTINENTAL-CRUST; MIZUHO PLATEAU; ICE-SHEET; MANTLE; LITHOSPHERE; MOUNTAINS; GONDWANA; VELOCITY; BENEATH</t>
  </si>
  <si>
    <t>Onshore gravity measurements were conducted over the inland traverse routes from Syowa Station (69.0S, 39.6E; SYO) to Dome-F (77.4 degrees S, 39.6 degrees E) by the Japanese Antarctic Research Expeditions (1992, 1997, and 1998). The crustal density structure between Lutzow-Holm Bay (LHB) and the inland plateau was inferred from Bouguer gravity anomalies along these routes by assuming an initial model of the P-wave structure derived from seismic refraction surveys in the LHB. A decrease in the Bouguer anomalies down to -200 mGal toward the inland plateau indicate that the crust thickens from 38-40 km at LHB to 48-50 km beneath Dome-F. During the International Polar Year in 2007-2008, the GAmburtsev Mountain SEISmic experiment (GAMSEIS) deployed many broadband stations over the large highland on the ice sheet from the crest of the Gambursev Subglacial Mountains (GSM) to the vicinity of Dome-F. S-wave receiver functions and Rayleigh phase velocities determined using the GAMSEIS data indicate that the cratonic crust surrounding the GSM is 40-47 km thick. These thickness estimates agree with those beneath Dome-F from the JARE's gravity surveys and are also consistent with average Pre-Cambrian terrains. Beneath the GSM, the crustal thickness increases to 55-58 km and has been interpreted as providing isostatic compensation for the high mountain elevations. Accordingly, a long-distance crustal model extending over 3000 km from LHB to Dome-F and to the GSM was compiled, providing significant information for future studies of the tectonic evolution of the Antarctic craton. (C) 2012 Elsevier B.V. All rights reserved.</t>
  </si>
  <si>
    <t>[Kanao, Masaki; Kamiyama, Kokichi] Res Org Informat &amp; Syst, Natl Inst Polar Res, Tachikawa, Tokyo 1908518, Japan; [Hansen, Samantha E.] Univ Alabama, Dept Geol Sci, Tuscaloosa, AL 35487 USA; [Wiens, Douglas] Washington Univ, Dept Earth &amp; Planetary Sci, St Louis, MO 63130 USA; [Higashi, Toshihiro] Kyoto Univ, Grad Sch Sci, Dept Geophys, Sakyo Ku, Kyoto 6068502, Japan; [Nyblade, Andrew A.] Penn State Univ, Dept Geosci, University Pk, PA 16802 USA; [Watanabe, Atsushi] Univ Tokyo, Earthquake Res Inst, Bunkyo Ku, Tokyo 1130032, Japan</t>
  </si>
  <si>
    <t>Research Organization of Information &amp; Systems (ROIS); National Institute of Polar Research (NIPR) - Japan; University of Alabama System; University of Alabama Tuscaloosa; Washington University (WUSTL); Kyoto University; Pennsylvania Commonwealth System of Higher Education (PCSHE); Pennsylvania State University; Pennsylvania State University - University Park; University of Tokyo</t>
  </si>
  <si>
    <t>Kanao, M (corresponding author), Res Org Informat &amp; Syst, Natl Inst Polar Res, 10-3 Midori Cho, Tachikawa, Tokyo 1908518, Japan.</t>
  </si>
  <si>
    <t>kanao@nipr.ac.jp; shansen@geo.ua.edu; kamiyama@nipr.ac.jp; doug@wustl.edu; toshihig@nike.eonet.ne.jp; aan2@psu.edu; atsushi@eri.u-tokyo.ac.jp</t>
  </si>
  <si>
    <t>Wiens, Douglas/J-9259-2016</t>
  </si>
  <si>
    <t>Wiens, Douglas/0000-0002-5169-4386</t>
  </si>
  <si>
    <t>Office of Polar Programs (OPP); Directorate For Geosciences [0838973] Funding Source: National Science Foundation</t>
  </si>
  <si>
    <t>Office of Polar Programs (OPP); Directorate For Geosciences(National Science Foundation (NSF)NSF - Directorate for Geosciences (GEO))</t>
  </si>
  <si>
    <t>0040-1951</t>
  </si>
  <si>
    <t>1879-3266</t>
  </si>
  <si>
    <t>Tectonophysics</t>
  </si>
  <si>
    <t>OCT 17</t>
  </si>
  <si>
    <t>10.1016/j.tecto.2012.01.014</t>
  </si>
  <si>
    <t>028DE</t>
  </si>
  <si>
    <t>WOS:000310402200009</t>
  </si>
  <si>
    <t>Jaud, T; Dragon, AC; Garcia, JV; Guinet, C</t>
  </si>
  <si>
    <t>Jaud, Thomas; Dragon, Anne-Cecile; Garcia, Jade Vacquie; Guinet, Christophe</t>
  </si>
  <si>
    <t>Relationship between Chlorophyll a Concentration, Light Attenuation and Diving Depth of the Southern Elephant Seal Mirounga leonina</t>
  </si>
  <si>
    <t>OCEANOGRAPHIC CONDITIONS; FORAGING STRATEGIES; KERGUELEN ISLANDS; CASE-1 WATERS; OCEAN; BEHAVIOR; TEMPERATURE; MOVEMENTS; PREDATOR; MODELS</t>
  </si>
  <si>
    <t>Recently, a number of Antarctic marine environmental studies have used oceanographic parameters collected from instrumented top predators for ecological and physical information. Phytoplankton concentration is generally quantified through active measurement of chlorophyll fluorescence. In this study, light absorption coefficient (K-0.75) was used as an indicator of phytoplankton concentration. This measurement, easy to obtain and requiring low electric power, allows for assessing of the fine scale horizontal structuring of phytoplankton. As part of this study, Southern elephant seals (SES) were simultaneously equipped with a fluorometer and a light logger. Along the SES tracks, variations in K-0.75 were strongly correlated with chlorophyll, a concentration measured by the fluorometer within the euphotic layer. With regards to SES foraging behaviour, bottom depth of the seal's dive was highly dependent on light intensity at 150 m, indicating that the vertical distribution of SES's prey such as myctophids is tightly related to light level. Therefore, change in phytoplankton concentration may not only have a direct effect on SES's prey abundance but may also determine their vertical accessibility with likely consequences on SES foraging efficiency.</t>
  </si>
  <si>
    <t>[Jaud, Thomas; Dragon, Anne-Cecile; Garcia, Jade Vacquie; Guinet, Christophe] Ctr Biol Chize, Marine Predator Dept, Villiers En Bois, France</t>
  </si>
  <si>
    <t>Jaud, T (corresponding author), Ctr Biol Chize, Marine Predator Dept, Villiers En Bois, France.</t>
  </si>
  <si>
    <t>jaud.thomas@gmail.com</t>
  </si>
  <si>
    <t>Guinet, Christophe/AAR-8457-2020</t>
  </si>
  <si>
    <t>VACQUIE GARCIA, Jade/0000-0002-3126-3423</t>
  </si>
  <si>
    <t>Centre National d'Etudes Spatiale; Total Foundation; Agence Nationale de la Recherche though the Program ANR-VMC- IPSOS SEAL</t>
  </si>
  <si>
    <t>Centre National d'Etudes Spatiale; Total Foundation(Total SA); Agence Nationale de la Recherche though the Program ANR-VMC- IPSOS SEAL(Agence Nationale de la Recherche (ANR))</t>
  </si>
  <si>
    <t>Funding came from the Centre National d'Etudes Spatiale, the Total Foundation and the Agence Nationale de la Recherche though the Program ANR-VMC- IPSOS SEAL. The funders had no role in study design, data collection and analysis, decision to publish, or preparation of the manuscript.</t>
  </si>
  <si>
    <t>e47444</t>
  </si>
  <si>
    <t>10.1371/journal.pone.0047444</t>
  </si>
  <si>
    <t>038AF</t>
  </si>
  <si>
    <t>WOS:000311146900062</t>
  </si>
  <si>
    <t>Smith, KL; Polvani, LM; Marsh, DR</t>
  </si>
  <si>
    <t>Smith, Karen L.; Polvani, Lorenzo M.; Marsh, Daniel R.</t>
  </si>
  <si>
    <t>Mitigation of 21st century Antarctic sea ice loss by stratospheric ozone recovery</t>
  </si>
  <si>
    <t>SOUTHERN ANNULAR MODE; VARIABILITY; ATMOSPHERE</t>
  </si>
  <si>
    <t>We investigate the effect of stratospheric ozone recovery on Antarctic sea ice in the next half-century, by comparing two ensembles of integrations of the Whole Atmosphere Community Climate Model, from 2001 to 2065. One ensemble is performed by specifying all forcings as per the Representative Concentration Pathway 4.5; the second ensemble is identical in all respects, except for the surface concentrations of ozone depleting substances, which are held fixed at year 2000 levels, thus preventing stratospheric ozone recovery. Sea ice extent declines in both ensembles, as a consequence of increasing greenhouse gas concentrations. However, we find that sea ice loss is similar to 33% greater for the ensemble in which stratospheric ozone recovery does not take place, and that this effect is statistically significant. Our results, which confirm a previous study dealing with ozone depletion, suggest that ozone recovery will substantially mitigate Antarctic sea ice loss in the coming decades. Citation: Smith, K. L., L. M. Polvani, and D. R. Marsh (2012), Mitigation of 21st century Antarctic sea ice loss by stratospheric ozone recovery, Geophys. Res. Lett., 39, L20701, doi:10.1029/2012GL053325.</t>
  </si>
  <si>
    <t>[Smith, Karen L.; Polvani, Lorenzo M.] Columbia Univ, Earth Inst, Lamont Doherty Earth Observ, Palisades, NY 10964 USA; [Polvani, Lorenzo M.] Columbia Univ, Dept Appl Phys &amp; Appl Math, New York, NY USA; [Polvani, Lorenzo M.] Columbia Univ, Dept Earth &amp; Environm Sci, New York, NY USA; [Marsh, Daniel R.] Natl Ctr Atmospher Res, Div Atmospher Chem, Boulder, CO 80307 USA</t>
  </si>
  <si>
    <t>Columbia University; Columbia University; Columbia University; National Center Atmospheric Research (NCAR) - USA</t>
  </si>
  <si>
    <t>Smith, KL (corresponding author), Columbia Univ, Earth Inst, Lamont Doherty Earth Observ, 301F Oceanog,61 Rte 9W,POB 1000, Palisades, NY 10964 USA.</t>
  </si>
  <si>
    <t>ksmith@ldeo.columbia.edu</t>
  </si>
  <si>
    <t>Polvani, Lorenzo M/E-5949-2011; Marsh, Daniel/A-8406-2008</t>
  </si>
  <si>
    <t>Marsh, Daniel/0000-0001-6699-494X; Smith, Karen/0000-0002-4652-6310</t>
  </si>
  <si>
    <t>US National Science Foundation (NSF); US NSF; Directorate For Geosciences; Office of Polar Programs (OPP) [0944063] Funding Source: National Science Foundation</t>
  </si>
  <si>
    <t>US National Science Foundation (NSF)(National Science Foundation (NSF)); US NSF(National Science Foundation (NSF)); Directorate For Geosciences; Office of Polar Programs (OPP)(National Science Foundation (NSF)NSF - Directorate for Geosciences (GEO))</t>
  </si>
  <si>
    <t>This work was funded, in part, by a grant from the US National Science Foundation (NSF) to Columbia University. All model integrations were performed at the National Center of Atmospheric Research (NCAR), which is sponsored by the US NSF. We would like to thank Mike Mills and Doug Kinnison, at NCAR, for their assistance with the model integrations. L.M.P. is particularly grateful to Marilyn Raphael and Cecilia Bitz for illuminating conversations and thoughtful comments on early drafts of this manuscript.</t>
  </si>
  <si>
    <t>OCT 16</t>
  </si>
  <si>
    <t>L20701</t>
  </si>
  <si>
    <t>10.1029/2012GL053325</t>
  </si>
  <si>
    <t>023ZX</t>
  </si>
  <si>
    <t>WOS:000310078000001</t>
  </si>
  <si>
    <t>Juliá, C; Rahn, DA; Rutllant, JA</t>
  </si>
  <si>
    <t>Julia, Cristobal; Rahn, David A.; Rutllant, Jose A.</t>
  </si>
  <si>
    <t>Assessing the Influence of the MJO on Strong Precipitation Events in Subtropical, Semi-Arid North-Central Chile (30°S)</t>
  </si>
  <si>
    <t>MADDEN-JULIAN OSCILLATION; POTENTIAL PREDICTABILITY; ANTARCTIC OSCILLATION; SOUTHERN-HEMISPHERE; AUSTRAL SUMMER; FORECAST SKILL; ENSO; RAINFALL; WINTER; PREDICTION</t>
  </si>
  <si>
    <t>Annual precipitation in subtropical, semiarid north-central Chile (30 degrees S) during rainy years comprises a few (3-5) strong events in the fall and winter, which are presumably modulated by the Madden-Julian oscillation (MJO). Precipitation From 1979-2009 was recorded daily at three stations along the Elqui Valley. The relationship between the MJO and precipitation is investigated from two perspectives: 1) examining a MJO index (MJOI) based on the actual precipitation events and 2) examining the likelihood of precipitation based on a favorable MJOI. About 80% of the strong precipitation events at the coast in La Serena are related to an active MJO near the central equatorial Pacific. These events are often typified by broad, slow moving synoptic systems in phase with the MJO propagation. Blocking in the far southeast Pacific is associated with precipitation 75% of the time, while deep troughs make up the rest. A relationship between a MJOI and strong rainfall suggests that, though it could be used as a potential diagnostic. the number of cases where there is a favorable MJOI hut no precipitation (i.e., false alarms) limits its utility. Additional criteria such as the Southern Oscillation (SO) and Antarctic Oscillation (AAO) phases were used to reject false alarms. Rejecting cases with positive values of the SO index reduced the number of false alarms from 70% to 58%, leaving about two false alarms for every correctly diagnosed event. The AAO index could not discriminate between false alarms and real cases. While a favorable MJOI increases the likelihood of precipitation in the Elqui Valley, false alarms remain problematic.</t>
  </si>
  <si>
    <t>[Rahn, David A.; Rutllant, Jose A.] Univ Chile, Dept Geofis, Fac Ciencias Fis &amp; Matemat, Santiago, Chile; [Julia, Cristobal; Rutllant, Jose A.] Ctr Estudios Avanzados Zonas Aridas, La Serena, Chile</t>
  </si>
  <si>
    <t>Rahn, DA (corresponding author), Univ Chile, Dept Geofis, Fac Ciencias Fis &amp; Matemat, Blanco Encalada 2002, Santiago, Chile.</t>
  </si>
  <si>
    <t>darahn@gmail.com</t>
  </si>
  <si>
    <t>Rutllant, Jose A/C-6382-2015</t>
  </si>
  <si>
    <t>Rahn, David/0000-0003-3685-1176</t>
  </si>
  <si>
    <t>FONDECYT [3110100]</t>
  </si>
  <si>
    <t>FONDECYT(Comision Nacional de Investigacion Cientifica y Tecnologica (CONICYT)CONICYT FONDECYT)</t>
  </si>
  <si>
    <t>We thank CEAZA and INIA for their support. DR is supported by FONDECYT 3110100. We are grateful for precipitation data that was provided by the Direccion General de Aguas de Chile. We also thank the three anonymous reviewers for their constructive criticism that improved the final version.</t>
  </si>
  <si>
    <t>OCT 15</t>
  </si>
  <si>
    <t>10.1175/JCLI-D-11-00679.1</t>
  </si>
  <si>
    <t>022GB</t>
  </si>
  <si>
    <t>WOS:000309944500008</t>
  </si>
  <si>
    <t>Remy, F; Flament, T; Blarel, F; Benveniste, J</t>
  </si>
  <si>
    <t>Remy, F.; Flament, T.; Blarel, F.; Benveniste, J.</t>
  </si>
  <si>
    <t>Radar altimetry measurements over antarctic ice sheet: A focus on antenna polarization and change in backscatter problems</t>
  </si>
  <si>
    <t>ADVANCES IN SPACE RESEARCH</t>
  </si>
  <si>
    <t>Antarctica ice sheet; Altimetry; Mass balance; EnviSat; CryoSat; AltiKa</t>
  </si>
  <si>
    <t>SATELLITE-RADAR; SURFACE-PROPERTIES; ELEVATION CHANGE; GREENLAND; FLUCTUATIONS</t>
  </si>
  <si>
    <t>In this paper, we investigate the impact of the error due to the penetration of the altimetric wave within the snowpack. The phenomenon has two different impacts. The first one, due to temporal change in snow characteristics, affects the ice sheet volume trend as derived from altimetric series. The second one, because of both the anisotropy of the ice sheet surface properties and of the linear antenna polarization, introduces a difference in measurements at crossover points. These two phenomena are the cause of what are probably the most critical limitations to the interpretation of long-term altimetric series in term of mass balance and to the comparison between or data fusion of different missions. Moreover, they will lead to the largest error when comparing data from EnviSat with data from CryoSat, because of the different orbits, or with data from AltiKa, because of the different radar frequencies. We show that waveform distortions due to snow characteristics fluctuation are complex. In the central part of the East Antarctica, the height and the leading edge width fluctuations vary together while elsewhere, height fluctuations may occur with no variations in the waveform shape, mostly during winter. As a consequence, these induced errors cannot be corrected with solely the help of the backscatter: waveform shape parameters are also needed. They are however not enough to fully correct these two errors. We propose an empirical correction for these effects. We show that crossover differences may be significantly reduced to up 22 cm. In terms of volume change, the estimation may vary up to 4 cm/yr at cross-overs depending on the correction used and is reduced in average to 2.3 cm/yr with our correction. The difference between the height trends estimated with both corrections is weak in average but may locally reach 5 cm/yr with a clear geographical pattern. (C) 2012 COSPAR. Published by Elsevier Ltd. All rights reserved.</t>
  </si>
  <si>
    <t>[Remy, F.; Flament, T.; Blarel, F.] LEGOS CNES CNRS IRD UPS, F-31400 Toulouse, France; [Benveniste, J.] ESA, I-00044 Frascati, Roma, Italy</t>
  </si>
  <si>
    <t>Universite de Toulouse; Universite Toulouse III - Paul Sabatier; Centre National de la Recherche Scientifique (CNRS); Institut de Recherche pour le Developpement (IRD); Laboratoire d'Etudes en Geophysique et oceanographie spatiales</t>
  </si>
  <si>
    <t>Remy, F (corresponding author), LEGOS CNES CNRS IRD UPS, 14 Ave E Belin, F-31400 Toulouse, France.</t>
  </si>
  <si>
    <t>Frederique.Remy@legos.obs-mip.fr</t>
  </si>
  <si>
    <t>Benveniste, Jérôme/JWP-2537-2024</t>
  </si>
  <si>
    <t>Flament, Thomas/0000-0001-9702-302X; Blarel, Fabien/0000-0002-4744-0471</t>
  </si>
  <si>
    <t>0273-1177</t>
  </si>
  <si>
    <t>ADV SPACE RES</t>
  </si>
  <si>
    <t>Adv. Space Res.</t>
  </si>
  <si>
    <t>10.1016/j.asr.2012.04.003</t>
  </si>
  <si>
    <t>Engineering, Aerospace; Astronomy &amp; Astrophysics; Geosciences, Multidisciplinary; Meteorology &amp; Atmospheric Sciences</t>
  </si>
  <si>
    <t>Engineering; Astronomy &amp; Astrophysics; Geology; Meteorology &amp; Atmospheric Sciences</t>
  </si>
  <si>
    <t>010LG</t>
  </si>
  <si>
    <t>WOS:000309095300002</t>
  </si>
  <si>
    <t>Morrow, R; Le Traon, PY</t>
  </si>
  <si>
    <t>Morrow, Rosemary; Le Traon, Pierre-Yves</t>
  </si>
  <si>
    <t>Recent advances in observing mesoscale ocean dynamics with satellite altimetry</t>
  </si>
  <si>
    <t>Satellite altimetry; Mesoscale eddies; Ocean circulation</t>
  </si>
  <si>
    <t>ANTARCTIC CIRCUMPOLAR CURRENT; TOPEX/POSEIDON-JASON-1 TANDEM MISSION; NORTH-ATLANTIC OCEAN; EDDY KINETIC-ENERGY; MAPPING CAPABILITIES; KUROSHIO EXTENSION; SOUTHERN-OCEAN; EDDIES; PACIFIC; VARIABILITY</t>
  </si>
  <si>
    <t>The paper provides a review of recent results on mesoscale ocean dynamics derived from satellite altimetry. Since 1992, we have had an unprecedented 18 year high-resolution monitoring of the ocean mesoscale field. Altimetry is often used in mesoscale studies in synergy with other remote sensing techniques and in situ data. This global, high-resolution data set has allowed oceanographers to quantify the previously unknown seasonal and interannual variations in eddy kinetic energy and eddy heat and salt transports, and investigate their causes. Eddy tracking techniques have allowed us to monitor their propagation pathways, to bring to light the meridional divergence of cyclones and anticyclones, and to question the role of Rossby waves versus non-linear eddies in the mid to high latitude bands. Altimetry has also revealed the presence of zonal fronts and jets everywhere in the ocean, and brought to light how mesoscale eddies can impact back onto the atmospheric circulation. Finally, altimetry, in synergy with other observations and high-resolution numerical models, has helped reveal the complexity of the sub-mesoscale features, associated with stirring and mixing around the mesoscale eddies, of great importance for the vertical exchange of oceanic tracers. Altimetry has revealed the complexity of the mesoscale system ... the scientific community is now working to understand the interplay between these mesoscale eddies, the ocean interior and its impact on the overlying atmosphere. (C) 2011 COSPAR. Published by Elsevier Ltd. All rights reserved.</t>
  </si>
  <si>
    <t>[Morrow, Rosemary] CTOH LEGOS, F-31401 Toulouse 9, France; [Le Traon, Pierre-Yves] Mercator Ocean, F-31520 Ramonville St Agne, France; [Le Traon, Pierre-Yves] IFREMER, F-31520 Ramonville St Agne, France</t>
  </si>
  <si>
    <t>Universite de Toulouse; Universite Toulouse III - Paul Sabatier; Centre National de la Recherche Scientifique (CNRS); Institut de Recherche pour le Developpement (IRD); Laboratoire d'Etudes en Geophysique et oceanographie spatiales; Ifremer</t>
  </si>
  <si>
    <t>Morrow, R (corresponding author), CTOH LEGOS, 18 Av E Belin, F-31401 Toulouse 9, France.</t>
  </si>
  <si>
    <t>rosemary.morrow@legos.obs-mip.fr</t>
  </si>
  <si>
    <t>Le Traon, Pierre Yves/G-9342-2016</t>
  </si>
  <si>
    <t>Le Traon, Pierre Yves/0000-0002-5484-3439</t>
  </si>
  <si>
    <t>INSU; Universite Toulouse III; CNES TOSCA program</t>
  </si>
  <si>
    <t>INSU(Centre National de la Recherche Scientifique (CNRS)); Universite Toulouse III; CNES TOSCA program(Centre National D'etudes Spatiales)</t>
  </si>
  <si>
    <t>The authors would like to acknowledge the outstanding work by the Ocean Surface Topography Science team, which brings together both scientific and technical teams, working to improve altimetric data and products. Much of the data analysed by the different authors was made available by CNES/AVISO, and via the DUACS project. RM and the CTOH receive finance from INSU, the Universite Toulouse III, and the CNES TOSCA program.</t>
  </si>
  <si>
    <t>1879-1948</t>
  </si>
  <si>
    <t>10.1016/j.asr.2011.09.033</t>
  </si>
  <si>
    <t>WOS:000309095300006</t>
  </si>
  <si>
    <t>Studer, AS; Martínez-Garcia, A; Jaccard, SL; Girault, FE; Sigman, DM; Haug, GH</t>
  </si>
  <si>
    <t>Studer, Anja S.; Martinez-Garcia, Alfredo; Jaccard, Samuel L.; Girault, France E.; Sigman, Daniel M.; Haug, Gerald H.</t>
  </si>
  <si>
    <t>Enhanced stratification and seasonality in the Subarctic Pacific upon Northern Hemisphere Glaciation-New evidence from diatom-bound nitrogen isotopes, alkenones and archaeal tetraethers</t>
  </si>
  <si>
    <t>subarctic Pacific stratification; Plio-Pleistocene transition; Northern Hemisphere Glaciation; nutrient status; diatom-bound nitrogen isotopes; sea surface temperature reconstructions</t>
  </si>
  <si>
    <t>TERRESTRIAL ORGANIC-MATTER; ATMOSPHERIC CO2; SOUTHERN-OCEAN; PHYTOPLANKTON GROWTH; NUTRIENT UTILIZATION; MEMBRANE-LIPIDS; POLAR OCEAN; IRON; NITRATE; MARINE</t>
  </si>
  <si>
    <t>Coincident with the intensification of Northern Hemisphere Glaciation (WIG) around 2.73 million years (Ma) ago, sediment cores from both the open subarctic North Pacific and the Antarctic indicate a rapid decline in diatom opal accumulation flux to the seabed, representing one of the most abrupt and dramatic changes in the marine sediment record associated with the development of Pleistocene glacial cycles. In the North Pacific, bulk sediment nitrogen isotope data and alkenone-derived sea surface temperature (SST) estimates suggest that the productivity decline was driven by reduced exchange between surface and deep water, due to weaker wind-driven upwelling and/or a strengthening of the halocline (i.e. stratification). In this study of the 2.73 Ma transition at Ocean Drilling Program (ODP) Site 882 in the western subarctic North Pacific, diatom-bound nitrogen isotopes (delta N-15(db)), alkenone mass accumulation rate, and alkenone- and archaeal tetraether-based SST reconstructions support the stratification hypothesis, indicating perennially lower export production, generally higher nitrate consumption, and greater inter-seasonal variation in SST after the 2.73 Ma transition. In addition, the delta N-15(db) of large and small size fractions of Coscinodiscus spp. suggest that these diatoms grew mostly during the spring bloom during the late Pliocene, switching to their current fall-to-winter growth period at the 2.73 Ma transition; this view is consistent with their decline in dominance and provides further evidence for increased stratification (reduced vertical exchange) in the North Pacific after 2.73 Ma. The delta N-15(db) data indicate that, over the similar to 100 kyr period after the 2.73 Ma transition studied here, nitrate consumption did not reach late Pleistocene ice age levels and that nitrate consumption in post-2.73 Ma warm stages was similar to that before the transition, even though productivity was greatly reduced. We tentatively attribute this to relatively weak dust-borne iron inputs in the early post-2.73 Ma period. (C) 2012 Elsevier B.V. All rights reserved.</t>
  </si>
  <si>
    <t>[Studer, Anja S.; Martinez-Garcia, Alfredo; Jaccard, Samuel L.; Girault, France E.; Haug, Gerald H.] ETH, Inst Geol, Dept Earth Sci, CH-8092 Zurich, Switzerland; [Sigman, Daniel M.] Princeton Univ, Dept Geosci, Princeton, NJ 08544 USA; [Haug, Gerald H.] Univ Potsdam, Inst Geosci, DFG Leibniz Ctr Surface Proc &amp; Climate Studies, Potsdam, Germany</t>
  </si>
  <si>
    <t>Swiss Federal Institutes of Technology Domain; ETH Zurich; Princeton University; University of Potsdam</t>
  </si>
  <si>
    <t>Studer, AS (corresponding author), ETH, Inst Geol, Dept Earth Sci, Sonneggstr 5, CH-8092 Zurich, Switzerland.</t>
  </si>
  <si>
    <t>anja.studer@erdw.ethz.ch</t>
  </si>
  <si>
    <t>Studer, Anja S/JVZ-4104-2024; Sigman, Daniel M./A-2649-2008; Jaccard, Samuel/G-3447-2014; Sigman, Daniel M./IYJ-2613-2023; Jaccard, Samuel/IZP-9669-2023; Martinez-Garcia, Alfredo/A-6244-2010</t>
  </si>
  <si>
    <t>Studer, Anja S/0000-0001-7354-8497; Sigman, Daniel M./0000-0002-7923-1973; Jaccard, Samuel/0000-0002-5793-0896; Martinez-Garcia, Alfredo/0000-0002-7206-5079</t>
  </si>
  <si>
    <t>U.S. National Science Foundation (NSF); Swiss National Science Foundation; US NSF [ANT-0453680, OCE-0447570, OPP-0612198, OCE-0992345]; MacArthur Foundation</t>
  </si>
  <si>
    <t>U.S. National Science Foundation (NSF)(National Science Foundation (NSF)); Swiss National Science Foundation(Swiss National Science Foundation (SNSF)); US NSF(National Science Foundation (NSF)); MacArthur Foundation</t>
  </si>
  <si>
    <t>This research used samples provided by the Ocean Drilling Program (ODP). ODP is sponsored by the U.S. National Science Foundation (NSF) and participating countries under the management of Joint Oceanographic Institutions. This work was supported by the Swiss National Science Foundation, the US NSF (through Grants ANT-0453680, OCE-0447570, OPP-0612198, and OCE-0992345 to DMS), and the MacArthur Foundation. M.A. Weigand and S. Oleynik aided with analyses, and B.G. Brunelle and H. Ren provided technical advice. We thank an anonymous reviewer and the editor for their comments, which improved the manuscript.</t>
  </si>
  <si>
    <t>10.1016/j.epsl.2012.07.029</t>
  </si>
  <si>
    <t>026DV</t>
  </si>
  <si>
    <t>WOS:000310255300008</t>
  </si>
  <si>
    <t>Dufour, CO; Le Sommer, J; Zika, JD; Gehlen, M; Orr, JC; Mathiot, P; Barnier, B</t>
  </si>
  <si>
    <t>Dufour, C. O.; Le Sommer, J.; Zika, J. D.; Gehlen, M.; Orr, J. C.; Mathiot, P.; Barnier, B.</t>
  </si>
  <si>
    <t>Standing and Transient Eddies in the Response of the Southern Ocean Meridional Overturning to the Southern Annular Mode</t>
  </si>
  <si>
    <t>ANTARCTIC CIRCUMPOLAR CURRENT; HEMISPHERE WINDS; DRAKE PASSAGE; SEA-ICE; CIRCULATION; TRANSPORT; VARIABILITY; SIMULATION; ATMOSPHERE; TRENDS</t>
  </si>
  <si>
    <t>To refine the understanding of how the Southern Ocean responds to recent intensification of the southern annular mode (SAM), a regional ocean model at two eddy-permitting resolutions was forced with two synthetic interannual forcings. The first forcing corresponds to homogeneously intensified winds, while the second concerns their poleward intensification, consistent with positive phases of the SAM. Resulting wind-driven responses differ greatly between the nearly insensitive Antarctic Circumpolar Current (ACC) and the more sensitive meridional overturning circulation (MOC). As expected, eddies mitigate the response of the ACC and MOC to poleward-intensified winds. However, transient eddies do not necessarily play an increasing role in meridional transport with increasing resolution. As winds and resolution increase, meridional transport from standing eddies becomes more efficient at balancing wind-enhanced overturning. These results question the current paradigms on the role of eddies and present new challenges for eddy flux parameterization. Results also indicate that spatial patterns of wind anomalies are at least as important as the overall change in intensity in influencing the Southern Ocean's dynamic response to wind events. Poleward-intensified wind anomalies from the positive trend in the SAM are far more efficient in accelerating the ACC than homogeneous wind anomalies.</t>
  </si>
  <si>
    <t>[Dufour, C. O.; Le Sommer, J.; Zika, J. D.; Barnier, B.] Univ Grenoble, CNRS, Lab Ecoulements Geophys &amp; Ind, F-38041 Grenoble 9, France; [Dufour, C. O.; Gehlen, M.; Orr, J. C.] UVSQ, CNRS, CEA, Lab Sci Climat &amp; Environm, Gif Sur Yvette, France; [Mathiot, P.] Earth &amp; Life Inst, Georges Lemaitre Ctr Earth &amp; Climate Res, Louvain, Belgium</t>
  </si>
  <si>
    <t>Communaute Universite Grenoble Alpes; Institut National Polytechnique de Grenoble; Universite Grenoble Alpes (UGA); Centre National de la Recherche Scientifique (CNRS); Universite Paris Saclay; CEA; Centre National de la Recherche Scientifique (CNRS); Universite Paris Cite</t>
  </si>
  <si>
    <t>Dufour, CO (corresponding author), Univ Grenoble, CNRS, Lab Ecoulements Geophys &amp; Ind, BP53, F-38041 Grenoble 9, France.</t>
  </si>
  <si>
    <t>carolina.dufour@hmg.inpg.fr</t>
  </si>
  <si>
    <t>Dufour, Carolina/GZA-9986-2022; Barnier, Bernard/F-2400-2016; Le Sommer, Julien/ABG-8801-2021; Orr, James C/C-5221-2009</t>
  </si>
  <si>
    <t>Dufour, Carolina/0000-0002-1441-3880; Le Sommer, Julien/0000-0002-6882-2938; Gehlen, Marion/0000-0002-9688-0692; Zika, Jan/0000-0003-3462-3559; Orr, James/0000-0002-8707-7080; Mathiot, Pierre/0000-0002-2001-0762</t>
  </si>
  <si>
    <t>CEA (Commissariat a l'Energie Atomique); CNRS (Centre National de la Recherche Scientifique); Agence Nationale de la Recherche [ANR-08-JCJC-0777-01]; INSU/LEFE; NERC [NE/I020415/1] Funding Source: UKRI; Natural Environment Research Council [NE/I020415/1] Funding Source: researchfish</t>
  </si>
  <si>
    <t>CEA (Commissariat a l'Energie Atomique)(French Atomic Energy Commission); CNRS (Centre National de la Recherche Scientifique)(Centre National de la Recherche Scientifique (CNRS)); Agence Nationale de la Recherche(Agence Nationale de la Recherche (ANR)); INSU/LEFE; NERC(UK Research &amp; Innovation (UKRI)Natural Environment Research Council (NERC)); Natural Environment Research Council(UK Research &amp; Innovation (UKRI)Natural Environment Research Council (NERC))</t>
  </si>
  <si>
    <t>We thank J.-M. Molines for his modeling support. For this project, C. O. Dufour is supported by the CEA (Commissariat a l'Energie Atomique). J. Le Sommer and B. Barnier are supported by the CNRS (Centre National de la Recherche Scientifique). J. D. Zika is supported by the SouthernCross project of the Agence Nationale de la Recherche (Contract ANR-08-JCJC-0777-01). We hereby acknowledge the Centre National d'Etudes Spatiales (CNES) for its constant support to the DRAKKAR project. INSU/LEFE program is also acknowledged for its support to CO2Sud and DRAKKAR projects. Simulations were carried out at the CNRS IDRIS super computer facility in Orsay, France, and at the CINES super computer facility in Montpellier, France.</t>
  </si>
  <si>
    <t>45 BEACON ST, BOSTON, MA 02108-3693, UNITED STATES</t>
  </si>
  <si>
    <t>10.1175/JCLI-D-11-00309.1</t>
  </si>
  <si>
    <t>WOS:000309944500005</t>
  </si>
  <si>
    <t>Bracegirdle, TJ; Marshall, GJ</t>
  </si>
  <si>
    <t>Bracegirdle, Thomas J.; Marshall, Gareth J.</t>
  </si>
  <si>
    <t>The Reliability of Antarctic Tropospheric Pressure and Temperature in the Latest Global Reanalyses</t>
  </si>
  <si>
    <t>NCEP-NCAR REANALYSIS; RADIOSONDE; ERA-40; TRENDS; ASSIMILATION; JRA-25</t>
  </si>
  <si>
    <t>In this study, surface and radiosonde data from staffed Antarctic observation stations are compared to output from five reanalyses [Climate Forecast System Reanalysis (CFSR), 40-yr ECMWF Re-Analysis (ERA-40), ECMWF Interim Re-Analysis (ERA-Interim), Japanese 25-year Reanalysis (JRA-25), and Modern Era Retrospective-Analysis for Research and Applications (MERRA)] over three decades spanning 1979-2008. Bias and year-to-year correlation between the reanalyses and observations are assessed for four variables: mean sea level pressure (MSLP), near-surface air temperature (T-s), 500-hPa geopotential height (H-500), and 500-hPa temperature (T-500). It was found that CFSR and MERRA are of a sufficiently high resolution for the height of the orography to be accurately reproduced at coastal observation stations. Progressively larger negative T-s biases at these coastal stations are apparent for reanalyses in order of decreasing resolution. However, orography height bias cannot explain large winter warm biases in CFSR. JRA-25, and MERRA (11.1 degrees, 10.2 degrees, and 7.9 degrees C, respectively) at Amundsen-Scott and Vostok, which have been linked to problems with representing the surface energy balance. Linear trends in the annual-mean T-500 and H-500 averaged over Antarctica as a whole were found to be most reliable in CFSR, ERA-Interim, and MERRA, none of which show significant trends over the period 1979-2008. In contrast JRA-25 shows significant negative trends over 1979-2008 and ERA-40 gives significant positive trends during the 1980s (evident in both T-500 and H-500). Comparison to observations indicates that the positive trend in ERA-40 is spurious. At the smaller spatial scale of individual stations all five reanalyses have some spurious trends. However, ERA-Interim was found to be the most reliable for MSLP and H-500 trends at station locations.</t>
  </si>
  <si>
    <t>[Bracegirdle, Thomas J.; Marshall, Gareth J.] British Antarctic Survey, Cambridge CB3 0ET, England</t>
  </si>
  <si>
    <t>Bracegirdle, TJ (corresponding author), British Antarctic Survey, Madingley Rd, Cambridge CB3 0ET, England.</t>
  </si>
  <si>
    <t>tjbra@bas.ac.uk</t>
  </si>
  <si>
    <t>Bracegirdle, Tom/AAD-6060-2020</t>
  </si>
  <si>
    <t>Bracegirdle, Thomas/0000-0002-8868-4739</t>
  </si>
  <si>
    <t>U.K. Natural Environment Research Council; Natural Environment Research Council [bas0100023] Funding Source: researchfish; NERC [bas0100023]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</si>
  <si>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</si>
  <si>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acknowledge the good suggestions of two anonymous reviewers, which helped to improve the manuscript. This study is part of the British Antarctic Survey Polar Science for Planet Earth Programme. It was funded by the U.K. Natural Environment Research Council. The European Centre for Medium-Range Weather Forecasts is thanked for providing the ERA-40 and ERA-Interim datasets. The JRA-25 dataset used for this study was provided from the cooperative research project of the JRA-25 long-term reanalysis by the Japan Meteorological Agency (JMA) and the Central Research Institute of Electric Power Industry (CRIEPI). The Global Modeling and Assimilation Office (GMAO) and the GES DISC are acknowledged for the dissemination of the MERRA dataset. The CFSR data was retrieved from the Research Data Archive, which is managed by the Data Support Section of the Computational and Information Systems Laboratory at the National Center for Atmospheric Research in Boulder, Colorado.</t>
  </si>
  <si>
    <t>10.1175/JCLI-D-11-00685.1</t>
  </si>
  <si>
    <t>WOS:000309944500016</t>
  </si>
  <si>
    <t>Kilian, R; Lamy, F</t>
  </si>
  <si>
    <t>Kilian, Rolf; Lamy, Frank</t>
  </si>
  <si>
    <t>A review of Glacial and Holocene paleoclimate records from southernmost Patagonia (49-55°S)</t>
  </si>
  <si>
    <t>South America; Paleoclimate; Palynology; Glaciology; Speleothem; Southern hemispheric westerlies; SST; Holocene; Glacial; Quatemary</t>
  </si>
  <si>
    <t>TIERRA-DEL-FUEGO; LAGUNA POTROK-AIKE; GRAN CAMPO NEVADO; LATE QUATERNARY; SOUTH-AMERICA; CLIMATE-CHANGE; LATE PLEISTOCENE; EL-NINO; ATMOSPHERIC CO2; HEMISPHERE WESTERLIES</t>
  </si>
  <si>
    <t>Southern South America is the only landmass intersecting the southern westerly wind belt (SWW) that influences the large-scale oceanography and controls for example the outgassing of CO2 in the Southern Ocean. Therefore, paleo-reconstructions from southernmost Patagonia are of global interest and an increasing number of paleoclimate records have been published during the last decades. We provide an overview on the different records mostly covering the Holocene but partly extending into the Late Glacial based on a large variety of archives and proxies. We particularly discuss possible reasons for regionally diverging palaeoclimatic interpretations and summarize potential climate forcing mechanisms. The Deglacial and Holocene temperature evolution of the region including the adjacent Pacific Ocean indicates Antarctic pattern and timing consistent with glacier re-advances during the Antarctic Cold Reversal. Some records indicate a significant accumulation control on the glacier fluctuations related to changes in SWW strength and/or position. Reconstructions of Holocene changes in the SWW behaviour provide partly inconsistent and controversially discussed pattern. While records from the hyperhumid side point to a stronger or southward displaced SWW core during the Early Holocene thermal maximum, records from the lee-side of the Andes show either no long term trend or the opposite, suggesting enhanced westerlies during the late Holocene Neoglacial. Likewise, centennial-scale global or hemispheric cold intervals, such as the Little Ice Age, have been interpreted in terms of enhanced and reduced SWW strength. Some SWW variations can be linked to changes in the El Nifio-Southern Oscillation (ENSO) consistent with instrumental climate data-sets and might be ultimately forced by solar variability. Resolving these inconsistencies in southernmost Patagonian SWW records is a prerequisite for improving hemispheric comparisons and links to atmospheric CO2 changes. (C) 2012 Elsevier Ltd. All rights reserved.</t>
  </si>
  <si>
    <t>[Kilian, Rolf] Univ Trier, FBVI, D-54826 Trier, Germany; [Lamy, Frank] Alfred Wegener Inst Polar &amp; Marine Res, D-27568 Bremerhaven, Germany</t>
  </si>
  <si>
    <t>Universitat Trier; Helmholtz Association; Alfred Wegener Institute, Helmholtz Centre for Polar &amp; Marine Research</t>
  </si>
  <si>
    <t>Kilian, R (corresponding author), Univ Trier, FBVI, Behringstr 16, D-54826 Trier, Germany.</t>
  </si>
  <si>
    <t>kilian@uni-trier.de</t>
  </si>
  <si>
    <t>Lamy, Frank/H-3611-2014</t>
  </si>
  <si>
    <t>Lamy, Frank/0000-0001-5952-1765</t>
  </si>
  <si>
    <t>German Research Foundation [Ki 456/8, Ki 456/9, Ki 456/10, Ki 456/11, Ki 456/12, LA 1273/3-2, LA 1273/5-1, LA1 273/7-1]</t>
  </si>
  <si>
    <t>German Research Foundation(German Research Foundation (DFG))</t>
  </si>
  <si>
    <t>We thank Helge Arz, Rene Garreaud, Jerome Kaiser, Christopher Moy, Michael Mayr, Nicolas Waldmann, Luis Vieira, and Rodrigo Villa-Martinez for sharing data and discussions. Jean Pierre Francois provided very valuable comments on pollen issues. Oscar Baeza and Francisco Rios gave important technical support. We further acknowledge the constructive reviews by Robert McCulloch and an anonymous reviewer that helped to improve the manuscript. The German Research Foundation is thanked for research grants Ki 456/8 to Ki 456/12, LA 1273/3-2, LA 1273/5-1, and LA1 273/7-1.</t>
  </si>
  <si>
    <t>10.1016/j.quascirev.2012.07.017</t>
  </si>
  <si>
    <t>029FV</t>
  </si>
  <si>
    <t>WOS:000310481100001</t>
  </si>
  <si>
    <t>Livingstone, SJ; Clark, CD; Piotrowski, JA; Tranter, M; Bentley, MJ; Hodson, A; Swift, DA; Woodward, J</t>
  </si>
  <si>
    <t>Livingstone, Stephen J.; Clark, Chris D.; Piotrowski, Jan A.; Tranter, Martyn; Bentley, Michael J.; Hodson, Andy; Swift, Darrel A.; Woodward, John</t>
  </si>
  <si>
    <t>Theoretical framework and diagnostic criteria for the identification of palaeo-subglacial lakes</t>
  </si>
  <si>
    <t>Palaeo-subglacial lake; Subglacial lake; Subglacial sedimentology; Subglacial geomorphology; Subglacial hydrology; Ice sheet</t>
  </si>
  <si>
    <t>LAURENTIDE-ICE-SHEET; PLEISTOCENE-HOLOCENE RETREAT; SOUTH-CENTRAL ALBERTA; EAST ANTARCTICA; NORTH-SEA; WEST ANTARCTICA; TUNNEL VALLEYS; GROUNDING-LINE; GLACIAL CYCLE; BRITISH-ISLES</t>
  </si>
  <si>
    <t>The Antarctic Ice Sheet is underlain by numerous subglacial lakes, which comprise a significant and active component of its hydrological network. These lakes are widespread and occur at a range of scales under a variety of conditions. At present much glaciological research is concerned with the role of modern subglacial lake systems in Antarctica. Another approach to the exploration of subglacial lakes involves identification of the geological record of subglacial lakes that once existed beneath former ice sheets. This is challenging, both conceptually, in identifying whether and where subglacial lakes may have formed, and also distinguishing the signature of former subglacial lakes in the geological record. In this work we provide a synthesis of subglacial lake types that have been identified or may theoretically exist beneath contemporary or palaeo-ice sheets. This includes a discussion of the formative mechanisms that could trigger onset of (or drain) subglacial lakes. These concepts provide a framework for discussing the probability that subglacial lakes exist(ed) beneath other (palaeo-)ice sheets. Indeed we conclude that the former mid-latitude ice sheets are likely to have hosted subglacial lakes, although the spatial distribution, frequency and type of lakes may have differed from today's ice sheets and between palaeoice sheets. Given this possibility, we propose diagnostic criteria for identifying palaeo-subglacial lakes in the geological record. These criteria are derived from contemporary observations, hydrological theory and process-analogues and provide an observational template for detailed field investigations. (c) 2012 Elsevier Ltd. All rights reserved.</t>
  </si>
  <si>
    <t>[Livingstone, Stephen J.; Clark, Chris D.; Hodson, Andy; Swift, Darrel A.] Univ Sheffield, Dept Geog, Sheffield S10 2TN, S Yorkshire, England; [Piotrowski, Jan A.] Aarhus Univ, Dept Geosci, DK-8000 Aarhus, Denmark; [Tranter, Martyn] Univ Bristol, Sch Geog Sci, Bristol BS8 1SS, Avon, England; [Bentley, Michael J.] Univ Durham, Dept Geog, Durham DH1 3LE, England; [Woodward, John] Northumbria Univ, Sch Built &amp; Nat Environm, Newcastle Upon Tyne NE1 8ST, Tyne &amp; Wear, England</t>
  </si>
  <si>
    <t>University of Sheffield; Aarhus University; University of Bristol; Durham University; Northumbria University</t>
  </si>
  <si>
    <t>Livingstone, SJ (corresponding author), Univ Sheffield, Dept Geog, Winter St, Sheffield S10 2TN, S Yorkshire, England.</t>
  </si>
  <si>
    <t>s.j.livingstone@sheffield.ac.uk</t>
  </si>
  <si>
    <t>Swift, Darrel A/A-3476-2009; Piotrowski, Jan A/A-5289-2012; Woodward, John/I-1046-2013; Bentley, Michael J/F-7386-2011; clark, chris/C-3830-2009; Tranter, Martyn/E-3722-2010</t>
  </si>
  <si>
    <t>Swift, Darrel A/0000-0001-5320-5104; Bentley, Michael J/0000-0002-2048-0019; clark, chris/0000-0002-1021-6679; Hodson, Andrew/0000-0002-1255-7987; Tranter, Martyn/0000-0003-2071-3094; Livingstone, Stephen/0000-0002-7240-5037</t>
  </si>
  <si>
    <t>NERC Fellowship [NE/H015256/1]; Natural Environment Research Council [NE/G00336X/1, NE/H015256/1, NE/G005028/1] Funding Source: researchfish; NERC [NE/H015256/1, NE/G00336X/1, NE/G005028/1] Funding Source: UKRI</t>
  </si>
  <si>
    <t>NERC Fellowship(UK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</si>
  <si>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funded by a NERC Fellowship (NE/H015256/1) awarded to SJL. We would like to thank Felix Ng and Jonny Kingslake for informative discussions on the physics of subglacial lakes, Colm O Cofaigh and David Roberts for useful discussions on how palaeo-subglacial lakes may be identified in the geological record and Claire Graham for checking through the manuscript for errors. We are also grateful to Paul Coles for help with the figures. The manuscript has benefitted greatly from reviews by Malte Thoma and an anonymous reviewer.</t>
  </si>
  <si>
    <t>10.1016/j.quascirev.2012.08.010</t>
  </si>
  <si>
    <t>WOS:000310481100006</t>
  </si>
  <si>
    <t>Larter, RD; Graham, AGC; Hillenbrand, CD; Smith, JA; Gales, JA</t>
  </si>
  <si>
    <t>Larter, Robert D.; Graham, Alastair G. C.; Hillenbrand, Claus-Dieter; Smith, James A.; Gales, Jennifer A.</t>
  </si>
  <si>
    <t>Late Quaternary grounded ice extent in the Filchner Trough, Weddell Sea, Antarctica: new marine geophysical evidence</t>
  </si>
  <si>
    <t>Antarctic; Ice sheet; Last Glacial Maximum; Bathymetry; Acoustic profile; Geomorphology; Bedform; Lineation; Furrow; Grounding zone wedge</t>
  </si>
  <si>
    <t>LAST GLACIAL MAXIMUM; ROSS-SEA; GEOLOGICAL CONSTRAINTS; EMBAYMENT CONSTRAINTS; GEOMORPHIC FEATURES; DEGLACIAL HISTORY; CONTINENTAL-SHELF; SHEET RETREAT; FLOW DYNAMICS; BOTTOM WATER</t>
  </si>
  <si>
    <t>The Last Glacial Maximum (LGM; ca 23-19 ka BP) extent of grounded ice in the Filchner Trough, a major cross shelf trough extending seaward from the Filchner Ice Shelf in the southern Weddell Sea, has been much debated. Here we present data from the first extensive multibeam swath bathymetry and subbottom acoustic profiling surveys in the Filchner Trough that include several parallel survey lines with overlapping swaths. We interpret these new data, combined with published observations and radiocarbon dates from sediment cores, as indicating that the grounding line in the Filchner Trough during the LGM advanced beyond the middle shelf, probably to within 40 km of the shelf break, and possibly reached the shelf break. Three different hypotheses are discussed that could reconcile this interpretation with interpretations, based on ice coring and surface exposure age data, that LGM ice surface elevations in areas draining into the Filchner and Ronne ice shelves were no more than a few hundred metres higher than today: (1) ice plain conditions extended along most of the Filchner Trough; (2) the ice shelf advanced and thickened so that it touched down on the continental shelf for a short period; (3) LGM ice drainage pathways in the interior of the Weddell Sea embayment were different from those observed today. (c) 2012 Elsevier Ltd. All rights reserved.</t>
  </si>
  <si>
    <t>[Larter, Robert D.; Graham, Alastair G. C.; Hillenbrand, Claus-Dieter; Smith, James A.; Gales, Jennifer A.] British Antarctic Survey, Cambridge CB3 0ET, England</t>
  </si>
  <si>
    <t>Larter, RD (corresponding author), British Antarctic Survey, Madingley Rd, Cambridge CB3 0ET, England.</t>
  </si>
  <si>
    <t>rdla@bas.ac.uk</t>
  </si>
  <si>
    <t>Smith, James A/N-1836-2013</t>
  </si>
  <si>
    <t>Graham, Alastair/0000-0002-2880-2908; Gales, Jenny/0000-0003-4402-5800; Larter, Robert/0000-0002-8414-7389</t>
  </si>
  <si>
    <t>The Natural Environment Research Council; NERC [bas0100027] Funding Source: UKRI; Natural Environment Research Council [bas0100027] Funding Source: researchfish</t>
  </si>
  <si>
    <t>The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</si>
  <si>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(BAS) Ice Sheets Programme, which is a component of the BAS strategic science framework Polar Science for Planet Earth. It was funded by The Natural Environment Research Council. We thank the captain, officers, crew and other members of the scientific party on RRS James Clark Ross Cruise JR244. We also thank Carol Pudsey for collecting and processing multibeam swath bathymetry and TOPAS data during RRS James Clark Ross Cruise JR97, and Keith Nicholls, who was Chief Scientist on that cruise. We are grateful to Phil O'Brien for an encouraging review and an anonymous reviewer for detailed comments.</t>
  </si>
  <si>
    <t>10.1016/j.quascirev.2012.08.006</t>
  </si>
  <si>
    <t>WOS:000310481100007</t>
  </si>
  <si>
    <t>Armadillo, E; Bozzo, E; Gambetta, M; Rizzello, D</t>
  </si>
  <si>
    <t>Armadillo, E.; Bozzo, E.; Gambetta, M.; Rizzello, D.</t>
  </si>
  <si>
    <t>Impact of human activities on the geomagnetic field of Antarctica: A high resolution aeromagnetic survey over Mario Zucchelli Station</t>
  </si>
  <si>
    <t>ENVIRONMENT INTERNATIONAL</t>
  </si>
  <si>
    <t>Static magnetic field; Magnetic pollution; Antarctica; Aeromagnetic survey</t>
  </si>
  <si>
    <t>RAT PINEAL-GLAND; N-ACETYLTRANSFERASE ACTIVITY; ESCHERICHIA-COLI-CELLS; MAGNETIC-FIELDS; MELATONIN CONTENT; PHOSPHORYLATION; ORIENTATION; EXPOSURE; MARKERS; LIGHT</t>
  </si>
  <si>
    <t>Environmental protection of Antarctica is a fundamental principle of the Antarctic Treaty. Impact assessment and significance evaluation are due for every human activity on the remote continent. While chemical and biological contaminations are widely studied, very little is known about the electromagnetic pollution levels. In this frame, we have evaluated the significance of the impact of Mario Zucchelli Antarctic Station (Northern Victoria Land) on the local geomagnetic field. We have flown a high resolution aeromagnetic survey in drape mode at 320 m over the Station, covering an area of 2 km(2). The regional and the local field have been separated by a third order polynomial fitting. After the identification of the anthropic magnetic anomaly due to the Station, we have estimated the magnetic field at the ground level by downward continuation with an original inversion scheme regularized by a minimum gradient support functional to avoid high frequency noise effects. The resulting anthropic static magnetic field at ground extends up to 650 m far from the Station and reaches a maximum peak to peak value of about 2800 nT. This anthropic magnetic anomaly may interact with biological systems, raising the necessity to evaluate the significance of the static magnetic impact of human installations in order to protect the electromagnetic environment and the biota of Antarctica. (C) 2012 Elsevier Ltd. All rights reserved.</t>
  </si>
  <si>
    <t>[Armadillo, E.; Bozzo, E.; Rizzello, D.] Univ Genoa, DISTAV, I-16132 Genoa, Italy; [Gambetta, M.] INGV, Rome, Italy</t>
  </si>
  <si>
    <t>University of Genoa; Istituto Nazionale Geofisica e Vulcanologia (INGV)</t>
  </si>
  <si>
    <t>Armadillo, E (corresponding author), Univ Genoa, DISTAV, Vle Benedetto XV,5, I-16132 Genoa, Italy.</t>
  </si>
  <si>
    <t>egidio@dipteris.unige.it</t>
  </si>
  <si>
    <t>Armadillo, Egidio/AAD-2877-2021</t>
  </si>
  <si>
    <t>Armadillo, Egidio/0000-0003-0982-6629; Rizzello, Daniele/0000-0002-5390-0569</t>
  </si>
  <si>
    <t>0160-4120</t>
  </si>
  <si>
    <t>ENVIRON INT</t>
  </si>
  <si>
    <t>Environ. Int.</t>
  </si>
  <si>
    <t>10.1016/j.envint.2012.05.005</t>
  </si>
  <si>
    <t>996AS</t>
  </si>
  <si>
    <t>WOS:000308057000001</t>
  </si>
  <si>
    <t>LaBelle, J</t>
  </si>
  <si>
    <t>LaBelle, J.</t>
  </si>
  <si>
    <t>First observations of 5fce auroral roars</t>
  </si>
  <si>
    <t>RADIO EMISSIONS; 2F(CE); 3F(CE); ZONE</t>
  </si>
  <si>
    <t>Auroral radio emissions reveal physics of beam-plasma interactions and provide possibilities to remotely sense ionospheric plasma processes. Sato et al. (2012) recently discovered that auroral roar emissions, long known to occur at two and three times the electron gyrofrequency (f(ce)), also occur at 4f(ce). Using data from wave receivers in the British Antarctic Survey Automatic Geophysical Observatories, we confirm the existence of 4f(ce)-roars and observe for the first time 5f(ce)-roars. A search at higher frequencies did not find higher harmonics. Both 4f(ce)- and 5f(ce)-roars only occur in sunlit conditions near summer solstice. Harmonic roar emission frequencies scale with the strength of the geomagnetic field, and combining data from four observatories suggests that the 4f(ce)- roar source height lies around 245 km, lower than the 275 km estimated for 2f(ce)-roar. These observations show that the auroral roar generation mechanism acts under a broader set of plasma conditions than previously considered. Citation: LaBelle, J. (2012), First observations of 5f(ce) auroral roars, Geophys. Res. Lett., 39, L19106, doi:10.1029/2012GL053551.</t>
  </si>
  <si>
    <t>Dartmouth Coll, Dept Phys &amp; Astron, Hanover, NH 03755 USA</t>
  </si>
  <si>
    <t>Dartmouth College</t>
  </si>
  <si>
    <t>LaBelle, J (corresponding author), Dartmouth Coll, Dept Phys &amp; Astron, Hanover, NH 03755 USA.</t>
  </si>
  <si>
    <t>jlabelle@einstein.dartmouth.edu</t>
  </si>
  <si>
    <t>LaBelle, James/0000-0002-0772-8825</t>
  </si>
  <si>
    <t>National Science Foundation [ANT-1141817, ANT-1043230]; Office of Polar Programs (OPP); Directorate For Geosciences [1043230] Funding Source: National Science Foundation</t>
  </si>
  <si>
    <t>National Science Foundation(National Science Foundation (NSF)); Office of Polar Programs (OPP); Directorate For Geosciences(National Science Foundation (NSF)NSF - Directorate for Geosciences (GEO))</t>
  </si>
  <si>
    <t>The author thanks Mike Trimpi for design and construction of the BAS-AGO LF/MF/HF receivers. The British Antarctic Survey supported the design, construction and operation of the automatic observatories as well as installation of instruments in them. In particular, the author thanks John Dudeney and Andy Smith for arranging for the LF/MF/HF receiver to be hosted in the observatories, and Dick Kressman who made several trips to Dartmouth and subsequently installed the receivers in the observatories. The work at Dartmouth College was supported by National Science Foundation grants ANT-1141817 and ANT-1043230.</t>
  </si>
  <si>
    <t>OCT 13</t>
  </si>
  <si>
    <t>L19106</t>
  </si>
  <si>
    <t>10.1029/2012GL053551</t>
  </si>
  <si>
    <t>020TM</t>
  </si>
  <si>
    <t>WOS:000309837500005</t>
  </si>
  <si>
    <t>Rusciano, E; Speich, S; Ollitrault, M</t>
  </si>
  <si>
    <t>Rusciano, Emanuela; Speich, Sabrina; Ollitrault, Michel</t>
  </si>
  <si>
    <t>Interocean exchanges and the spreading of Antarctic Intermediate Water south of Africa</t>
  </si>
  <si>
    <t>JOURNAL OF GEOPHYSICAL RESEARCH-OCEANS</t>
  </si>
  <si>
    <t>GEOSTROPHIC CIRCULATION; AGULHAS RETROFLECTION; CIRCUMPOLAR CURRENT; BENGUELA CURRENT; ATLANTIC; OCEAN; DYNAMICS; BRAZIL; THERMOCLINE; VARIABILITY</t>
  </si>
  <si>
    <t>Argo hydrographic profiles collected from 2004 to 2011 in the southeast Atlantic sector of the Southern Ocean are used in combination with hydrographic transects to describe the characteristics of Antarctic Intermediate Water (AAIW) in the region. Making use of the recently developed ANDRO velocity data set, we estimate the evolution of the dynamical properties of different AAIW varieties along their pathways within the isoneutral layer (27.1 &lt; gamma(n) &lt; 27.6). Three different regional varieties of intermediate water converge in the southeast Atlantic: Atlantic AAIW (A-AAIW, characterized by S &lt;= 34.2), Indian AAIW (I-AAIW, S &gt;= 34.3), and a previously unknown variety that we named Indo-Atlantic intermediate water (IA-AAIW, 34.2 &lt; S &lt; 34.3). South of Africa, the I-AAIW flowing within the Agulhas Current separates into two branches. One branch retroflects following the Agulhas Return Current (13.4 Sv) and proceeds back to the Indian Ocean. The other one separates from the Agulhas Current, and flows into the southeast Atlantic via the Cape Basin within mesoscale eddies (13.5 Sv). A-AAIW enters the domain between the Subtropical Front and the Subantarctic Front (36 Sv). Part of this water (28 Sv) flows eastward into the Indian Ocean, while 10 Sv are injected into the Cape Basin and mix with I-AAIW giving rise to the new IA-AAIW variety. The latter separates into two branches, both transporting 7.4 Sv. One flows northwestward and subducts along the Northern Subtropical Front, while the other moves eastward to contribute a sizable volume of fresh and oxygenated water to the Indian Ocean.</t>
  </si>
  <si>
    <t>[Rusciano, Emanuela; Ollitrault, Michel] IFREMER, Ctr Brest, CNRS IRD UBO, Lab Phys Oceans, F-29280 Plouzane, France; [Speich, Sabrina] CNRS IFREMER IRD UBO, UBO UFR Sci &amp; Tech, Lab Phys Oceans, Brest, France</t>
  </si>
  <si>
    <t>Centre National de la Recherche Scientifique (CNRS); Ifremer; Institut de Recherche pour le Developpement (IRD); Universite de Bretagne Occidentale; Centre National de la Recherche Scientifique (CNRS); Ifremer; Institut de Recherche pour le Developpement (IRD); Universite de Bretagne Occidentale</t>
  </si>
  <si>
    <t>Rusciano, E (corresponding author), IFREMER, Ctr Brest, CNRS IRD UBO, Lab Phys Oceans, BP70, F-29280 Plouzane, France.</t>
  </si>
  <si>
    <t>emanuela.rusciano@univ-brest.fr</t>
  </si>
  <si>
    <t>Speich, Sabrina/L-3780-2014</t>
  </si>
  <si>
    <t>Speich, Sabrina/0000-0002-5452-8287</t>
  </si>
  <si>
    <t>University of Brest/Institut Universitaire Europeen de la Mer (UBO/IUEM); Institut National des Sciences de l'Univers (INSU); CNRS; IFREMER program Circulation Oceanique,the French Polar Institut Paul-Emile Victor (IPEV); Agence Nationale de la Recherche (ANR)</t>
  </si>
  <si>
    <t>University of Brest/Institut Universitaire Europeen de la Mer (UBO/IUEM); Institut National des Sciences de l'Univers (INSU); CNRS(Centre National de la Recherche Scientifique (CNRS)); IFREMER program Circulation Oceanique,the French Polar Institut Paul-Emile Victor (IPEV); Agence Nationale de la Recherche (ANR)(Agence Nationale de la Recherche (ANR))</t>
  </si>
  <si>
    <t>This study is dedicated to the memory of Johann Lutjeharms (UCT, South Africa), one of Southern Africa's leading marine scientists and the foremost authority on the Agulhas Current with whom we initiated the CLIVAR GoodHope project. All the discussions and inputs from Michel Arhan were invaluable. We are thankful to the officers and crew of the R/V Marion Dufresne (Institut Polaire-Paul-Emile Victor, France), of the R/V SA Agulhas (Departement of Environmental Affairs, South Africa), and of the R/V Akademic Vavilov of the Shirshov Institute of Oceanology (Moscow, Russia) for their precious help and cooperation. We also thank Annaig Prigent for the preparation of the Argo data, Katherine Hutchinson for her proofreading, and to all other contributors to the numerous measurements used in the article. The IPY/BONUS-GoodHope and CLIVAR/GoodHope projects received support from the University of Brest/Institut Universitaire Europeen de la Mer (UBO/IUEM), Institut National des Sciences de l'Univers (INSU), the CNRS, the IFREMER program Circulation Oceanique,the French Polar Institut Paul-Emile Victor (IPEV), and the Agence Nationale de la Recherche (ANR).</t>
  </si>
  <si>
    <t>2169-9275</t>
  </si>
  <si>
    <t>2169-9291</t>
  </si>
  <si>
    <t>J GEOPHYS RES-OCEANS</t>
  </si>
  <si>
    <t>J. Geophys. Res.-Oceans</t>
  </si>
  <si>
    <t>OCT 12</t>
  </si>
  <si>
    <t>C10010</t>
  </si>
  <si>
    <t>10.1029/2012JC008266</t>
  </si>
  <si>
    <t>020RQ</t>
  </si>
  <si>
    <t>WOS:000309831600001</t>
  </si>
  <si>
    <t>Close, SE; Garabato, ACN</t>
  </si>
  <si>
    <t>Close, Sally E.; Garabato, Alberto C. Naveira</t>
  </si>
  <si>
    <t>Baroclinic adjustment in Drake Passage driven by tropical Pacific forcing</t>
  </si>
  <si>
    <t>ANTARCTIC CIRCUMPOLAR CURRENT; VARIABILITY; CIRCULATION; OCEAN</t>
  </si>
  <si>
    <t>The time series of high-quality hydrographic measurements of the ACC in Drake Passage is revisited to investigate the extent of baroclinic adjustment in the region on time scales of up to two decades. We find that substantial adjustment of the upper kilometer of northern Drake Passage has occurred on interannual to decadal time scales, driven primarily by tropical Pacific forcing via the poleward propagation of boundary waves. The decadal-scale signal consists of amarked deepening of isopycnals (by similar to 200 m between the early 1990s and the late 2000s), and reflects ENSO-forced wind-driven baroclinic changes over an extensive region of the eastern South Pacific. Citation: Close, S. E. and A. C. Naveira Garabato (2012), Baroclinic adjustment in Drake Passage driven by tropical Pacific forcing, Geophys. Res. Lett., 39, L19610, doi:10.1029/2012GL053402.</t>
  </si>
  <si>
    <t>[Close, Sally E.] Catholic Univ Louvain, Ctr Rech Terre &amp; Climat Georges Lemaitre, Earth &amp; Life Inst, BE-1348 Louvain, Belgium; [Close, Sally E.; Garabato, Alberto C. Naveira] Univ Southampton, Natl Oceanog Ctr, Southampton, Hants, England</t>
  </si>
  <si>
    <t>Universite Catholique Louvain; NERC National Oceanography Centre; University of Southampton</t>
  </si>
  <si>
    <t>Close, SE (corresponding author), Catholic Univ Louvain, Ctr Rech Terre &amp; Climat Georges Lemaitre, Earth &amp; Life Inst, Pl Louis Pasteur 3, BE-1348 Louvain, Belgium.</t>
  </si>
  <si>
    <t>sally.close@uclouvain.be</t>
  </si>
  <si>
    <t>Garabato, Alberto Naveira/AAQ-1114-2020</t>
  </si>
  <si>
    <t>Garabato, Alberto Naveira/0000-0001-6071-605X</t>
  </si>
  <si>
    <t>U.K. Natural Environment Research Council (NERC); core-strategic research programmes at the National Oceanography Centre, Southampton (NOCS); British Antarctic Survey; SEC through a PhD studentship based at NOCS, and ACNG through a NERC Advanced Research Fellowship [NE/C517633/1]; [GR3/11654]; NERC [NE/E007058/1] Funding Source: UKRI; Natural Environment Research Council [NE/E007058/1] Funding Source: researchfish</t>
  </si>
  <si>
    <t>U.K. Natural Environment Research Council (NERC)(UK Research &amp; Innovation (UKRI)Natural Environment Research Council (NERC)); core-strategic research programmes at the National Oceanography Centre, Southampton (NOCS); British Antarctic Survey; SEC through a PhD studentship based at NOCS, and ACNG through a NERC Advanced Research Fellowship; ; NERC(UK Research &amp; Innovation (UKRI)Natural Environment Research Council (NERC)); Natural Environment Research Council(UK Research &amp; Innovation (UKRI)Natural Environment Research Council (NERC))</t>
  </si>
  <si>
    <t>This study would not have been possible without the effort of many people at sea and ashore to collect, calibrate, and process the Drake Passage section measurements. The U.K. Natural Environment Research Council (NERC) funded 17 of the section occupations used in this work through Research Grant GR3/11654 and several core-strategic research programmes at the National Oceanography Centre, Southampton (NOCS) and the British Antarctic Survey. It supported SEC through a PhD studentship based at NOCS, and ACNG through a NERC Advanced Research Fellowship (NE/C517633/1). We thank Elaine McDonagh, Brian King, Peggy Courtois, Eleanor Frajka-Williams and Mike Meredith for helpful discussions.</t>
  </si>
  <si>
    <t>L19610</t>
  </si>
  <si>
    <t>10.1029/2012GL053402</t>
  </si>
  <si>
    <t>020TL</t>
  </si>
  <si>
    <t>WOS:000309837400005</t>
  </si>
  <si>
    <t>Delphin, C; Bouvier, D; Seggio, M; Couriol, E; Saoudi, Y; Denarier, E; Bosc, C; Valiron, O; Bisbal, M; Arnal, I; Andrieux, A</t>
  </si>
  <si>
    <t>Delphin, Christian; Bouvier, Denis; Seggio, Maxime; Couriol, Emilie; Saoudi, Yasmina; Denarier, Eric; Bosc, Christophe; Valiron, Odile; Bisbal, Mariano; Arnal, Isabelle; Andrieux, Annie</t>
  </si>
  <si>
    <t>MAP6-F Is a Temperature Sensor That Directly Binds to and Protects Microtubules from Cold-induced Depolymerization</t>
  </si>
  <si>
    <t>JOURNAL OF BIOLOGICAL CHEMISTRY</t>
  </si>
  <si>
    <t>STOP PROTEINS; ANTARCTIC FISHES; BETA-STRUCTURE; DAILY TORPOR; ENDS; TUBULINS; STABILIZATION; DOUBLECORTIN; HIBERNATION; STABILITY</t>
  </si>
  <si>
    <t>Microtubules are dynamic structures that present the peculiar characteristic to be ice-cold labile in vitro. In vivo, microtubules are protected from ice-cold induced depolymerization by the widely expressed MAP6/STOP family of proteins. However, the mechanism by which MAP6 stabilizes microtubules at 4 degrees C has not been identified. Moreover, the microtubule cold sensitivity and therefore the needs for microtubule stabilization in the wide range of temperatures between 4 and 37 degrees C are unknown. This is of importance as body temperatures of animals can drop during hibernation or torpor covering a large range of temperatures. Here, we show that in the absence of MAP6, microtubules in cells below 20 degrees C rapidly depolymerize in a temperature-dependent manner whereas they are stabilized in the presence of MAP6. We further show that in cells, MAP6-F binding to and stabilization of microtubules is temperature-dependent and very dynamic, suggesting a direct effect of the temperature on the formation of microtubule/MAP6 complex. We also demonstrate using purified proteins that MAP6-F binds directly to microtubules through its Mc domain. This binding is temperature-dependent and coincides with progressive conformational changes of the Mc domain as revealed by circular dichroism. Thus, MAP6 might serve as a temperature sensor adapting its conformation according to the temperature to maintain the cellular microtubule network in organisms exposed to temperature decrease.</t>
  </si>
  <si>
    <t>[Delphin, Christian; Seggio, Maxime; Couriol, Emilie; Saoudi, Yasmina; Denarier, Eric; Bosc, Christophe; Valiron, Odile; Bisbal, Mariano; Andrieux, Annie] Inst Natl Sante &amp; Rech Med, Commissariat Energie Atom, Team Physiopathol Cytoskeleton 1, GIN iRTSV GPC U836, F-38042 Grenoble 9, France; [Bouvier, Denis] European Mol Biol Lab, Grenoble Outstn, F-38042 Grenoble 9, France; [Arnal, Isabelle] Inst Natl Sante &amp; Rech Med, Team Dynam &amp; Struct Regulat Cytoskeleton 13, GIN U836, F-38042 Grenoble 9, France</t>
  </si>
  <si>
    <t>Communaute Universite Grenoble Alpes; Universite Grenoble Alpes (UGA); CEA; Institut National de la Sante et de la Recherche Medicale (Inserm); European Molecular Biology Laboratory (EMBL); Institut National de la Sante et de la Recherche Medicale (Inserm)</t>
  </si>
  <si>
    <t>Delphin, C (corresponding author), Univ Grenoble 1, Inserm U836, Equipe 1, Batiment Edmond J Safra,Site Sante La Tronche,BP, F-38042 Grenoble 9, France.</t>
  </si>
  <si>
    <t>christian.delphin@ujf-grenoble.fr</t>
  </si>
  <si>
    <t>Arnal, Isabelle/X-6559-2019; Bosc, Christophe/P-3401-2017; Bisbal, Mariano/AAE-9308-2021; ANDRIEUX, ANNIE/B-2134-2017; Denarier, Eric/X-6137-2019; saoudi, yasmina/AAW-7354-2020; Delphin, Christian/P-9284-2017</t>
  </si>
  <si>
    <t>Bosc, Christophe/0000-0002-3195-6692; Bisbal, Mariano/0000-0002-3870-6151; ANDRIEUX, ANNIE/0000-0002-4022-6405; Denarier, Eric/0000-0002-4169-397X; Delphin, Christian/0000-0003-3240-8695; Arnal, Isabelle/0000-0001-6149-8189</t>
  </si>
  <si>
    <t>INSERM; CEA; University Joseph Fourier; French National Research Agency [2010Blan120201 CBioS]; Roche Pharmaceutic RPF program</t>
  </si>
  <si>
    <t>INSERM(Institut National de la Sante et de la Recherche Medicale (Inserm)); CEA(French Atomic Energy Commission); University Joseph Fourier; French National Research Agency(Agence Nationale de la Recherche (ANR)); Roche Pharmaceutic RPF program</t>
  </si>
  <si>
    <t>This work was supported by INSERM, CEA, University Joseph Fourier, and French National Research Agency Awards 2010Blan120201 CBioS (to A. A.).; Recipient of the Roche Pharmaceutic RPF program (AA team and F Hoffmann-La Roche Ltd, Basel, Switzerland).</t>
  </si>
  <si>
    <t>AMER SOC BIOCHEMISTRY MOLECULAR BIOLOGY INC</t>
  </si>
  <si>
    <t>BETHESDA</t>
  </si>
  <si>
    <t>9650 ROCKVILLE PIKE, BETHESDA, MD 20814-3996 USA</t>
  </si>
  <si>
    <t>1083-351X</t>
  </si>
  <si>
    <t>J BIOL CHEM</t>
  </si>
  <si>
    <t>J. Biol. Chem.</t>
  </si>
  <si>
    <t>10.1074/jbc.M112.398339</t>
  </si>
  <si>
    <t>Biochemistry &amp; Molecular Biology</t>
  </si>
  <si>
    <t>022OF</t>
  </si>
  <si>
    <t>WOS:000309968000023</t>
  </si>
  <si>
    <t>Ho, SL; Mollenhauer, G; Lamy, F; Martínez-Garcia, A; Mohtadi, M; Gersonde, R; Hebbeln, D; Nunez-Ricardo, S; Rosell-Melé, A; Tiedemann, R</t>
  </si>
  <si>
    <t>Ho, Sze Ling; Mollenhauer, Gesine; Lamy, Frank; Martinez-Garcia, Alfredo; Mohtadi, Mahyar; Gersonde, Rainer; Hebbeln, Dierk; Nunez-Ricardo, Samuel; Rosell-Mele, Antoni; Tiedemann, Ralf</t>
  </si>
  <si>
    <t>Sea surface temperature variability in the Pacific sector of the Southern Ocean over the past 700 kyr</t>
  </si>
  <si>
    <t>PALEOCEANOGRAPHY</t>
  </si>
  <si>
    <t>LAST GLACIAL MAXIMUM; ANTARCTIC CIRCUMPOLAR CURRENT; CORE-TOP CALIBRATION; LONG-CHAIN ALKENONES; NORDIC SEAS; PALEOTEMPERATURE ESTIMATION; CLIMATE VARIABILITY; SUBTROPICAL FRONT; U-37(K) INDEX; INDIAN-OCEAN</t>
  </si>
  <si>
    <t>In spite of the important role played by the Southern Ocean in global climate, the few existing paleoceanographic records in the east Pacific sector do not extend beyond one glacial-interglacial cycle, hindering circumpolar comparison of past sea surface temperature (SST) evolution in the Southern Ocean. Here we present three alkenone-based Pleistocene SST records from the subantarctic and subtropical Pacific. We use a regional core top calibration data set to constrain the choice of calibrations for paleo SST estimation. Our core top data confirm that the alkenone-based U-37(K) and U-37(K') values correlate linearly with the SST, in a similar fashion as the most commonly used laboratory culture-based calibrations even at low temperatures (down to similar to 1 degrees C), rendering these calibrations appropriate for application in the subantarctic Pacific. However, these alkenone indices yield diverging temporal trends in the Pleistocene SST records. On the basis of the better agreement with delta O-18 records and other SST records in the subantarctic Southern Ocean, we propose that the U-37(K) is a better index for SST reconstruction in this region than the more commonly used U-37(K') index. The U-K(37)-derived SST records suggest glacial cooling of similar to 8 degrees C and similar to 4 degrees C in the subantarctic and subtropical Pacific, respectively. Such extent of subantarctic glacial cooling is comparable to that in other sectors of the Southern Ocean, indicating a uniform circumpolar cooling during the Pleistocene. Furthermore, our SST records also imply massive equatorward migrations of the Antarctic Circumpolar Current (ACC) frontal systems and an enhanced transport of ACC water to lower latitudes during glacials by the Peru-Chile Current.</t>
  </si>
  <si>
    <t>[Ho, Sze Ling; Mollenhauer, Gesine; Lamy, Frank; Gersonde, Rainer; Tiedemann, Ralf] Alfred Wegener Inst Polar &amp; Marine Res, DE-27515 Bremerhaven, Germany; [Martinez-Garcia, Alfredo] ETH, Inst Geol, CH-8092 Zurich, Switzerland; [Mohtadi, Mahyar; Hebbeln, Dierk] Univ Bremen, MARUM Ctr Marine Environm Sci, D-28359 Bremen, Germany; [Nunez-Ricardo, Samuel] Univ Concepcion, Fac Ciencias Nat &amp; Oceanog, Dept Zool, Concepcion, Chile; [Rosell-Mele, Antoni] Inst Catalana Recerca &amp; Estud Avancats, Barcelona, Spain; [Rosell-Mele, Antoni] Univ Autonoma Barcelona, Inst Ciencia &amp; Tecnol Ambientals, Bellaterra, Spain</t>
  </si>
  <si>
    <t>Helmholtz Association; Alfred Wegener Institute, Helmholtz Centre for Polar &amp; Marine Research; Swiss Federal Institutes of Technology Domain; ETH Zurich; University of Bremen; Universidad de Concepcion; ICREA; Autonomous University of Barcelona</t>
  </si>
  <si>
    <t>Ho, SL (corresponding author), Alfred Wegener Inst Polar &amp; Marine Res, POB 12 01 61, DE-27515 Bremerhaven, Germany.</t>
  </si>
  <si>
    <t>sze.ling.ho@awi.de</t>
  </si>
  <si>
    <t>Mollenhauer, Gesine/AAD-8167-2019; Mohtadi, Mahyar/N-2106-2014; Rosell-Melé, Antoni/B-3433-2013; Martinez-Garcia, Alfredo/A-6244-2010; Mollenhauer, Gesine/B-5190-2015; Hebbeln, Dierk/P-9766-2016; Lamy, Frank/H-3611-2014</t>
  </si>
  <si>
    <t>Mollenhauer, Gesine/0000-0001-5138-564X; Mohtadi, Mahyar/0000-0003-3306-0969; Rosell-Melé, Antoni/0000-0002-5513-2647; Martinez-Garcia, Alfredo/0000-0002-7206-5079; Mollenhauer, Gesine/0000-0001-5138-564X; Hebbeln, Dierk/0000-0001-5099-6115; Ho, Sze Ling/0000-0002-4898-9036; Tiedemann, Ralf/0000-0001-7211-8049; Lamy, Frank/0000-0001-5952-1765</t>
  </si>
  <si>
    <t>POLMAR Graduate School; SCAR Fellowship; ICREA Funding Source: Custom</t>
  </si>
  <si>
    <t>POLMAR Graduate School; SCAR Fellowship; ICREA(ICREA)</t>
  </si>
  <si>
    <t>Constructive comments from three anonymous reviewers and the Editor, Rainer Zahn, have improved the manuscript tremendously. We are grateful to Giuseppe Cortese for sharing his unpublished data. Thanks also go to Gemma Rueda, Susanne Fietz, Nicole Meyer, and Hendrik Grotheer for assisting in the alkenone analysis. Technical support from Walter Luttmer and Ralph Kreutz in the laboratories is also highly appreciated. We acknowledge the POLMAR Graduate School for funding S.L.H's Ph.D. study at the Alfred Wegener Institute and a SCAR Fellowship 2010/2011 for funding S.L.H's short stay at the Autonomous University of Barcelona during the preparation of PS75 core top samples.</t>
  </si>
  <si>
    <t>0883-8305</t>
  </si>
  <si>
    <t>1944-9186</t>
  </si>
  <si>
    <t>Paleoceanography</t>
  </si>
  <si>
    <t>PA4202</t>
  </si>
  <si>
    <t>10.1029/2012PA002317</t>
  </si>
  <si>
    <t>Geosciences, Multidisciplinary; Oceanography; Paleontology</t>
  </si>
  <si>
    <t>Geology; Oceanography; Paleontology</t>
  </si>
  <si>
    <t>020UO</t>
  </si>
  <si>
    <t>Green Published, Green Submitted, Bronze</t>
  </si>
  <si>
    <t>WOS:000309840300001</t>
  </si>
  <si>
    <t>Windisch, HS; Lucassen, M; Frickenhaus, S</t>
  </si>
  <si>
    <t>Windisch, Heidrun Sigrid; Lucassen, Magnus; Frickenhaus, Stephan</t>
  </si>
  <si>
    <t>Evolutionary force in confamiliar marine vertebrates of different temperature realms: adaptive trends in zoarcid fish transcriptomes</t>
  </si>
  <si>
    <t>BMC GENOMICS</t>
  </si>
  <si>
    <t>SYNONYMOUS CODON USAGE; AMINO-ACID-COMPOSITION; THERMAL ADAPTATION; PSYCHROPHILIC ENZYMES; GENOME SEQUENCE; RIBOSOMAL-RNA; COLD; GROWTH; LIMITATION; PROTEINS</t>
  </si>
  <si>
    <t>Background: Studies of temperature-induced adaptation on the basis of genomic sequence data were mainly done in extremophiles. Although the general hypothesis of an increased molecular flexibility in the cold is widely accepted, the results of thermal adaptation are still difficult to detect at proteomic down to the genomic sequence level. Approaches towards a more detailed picture emerge with the advent of new sequencing technologies. Only small changes in primary protein structure have been shown to modify kinetic and thermal properties of enzymes, but likewise for interspecies comparisons a high genetic identity is still essential to specify common principles. The present study uses comprehensive transcriptomic sequence information to uncover general patterns of thermal adaptation on the RNA as well as protein primary structure. Results: By comparing orthologous sequences of two closely related zoarcid fish inhabiting different latitudinal zones (Antarctica: Pachycara brachycephalum, temperate zone: Zoarces viviparus) we were able to detect significant differences in the codon usage. In the cold-adapted species a lower GC content in the wobble position prevailed for preserved amino acids. We were able to estimate 40-60% coverage of the functions represented within the two compared zoarcid cDNA-libraries on the basis of a reference genome of the phylogenetically closely related fish Gasterosteus aculeatus. A distinct pattern of amino acid substitutions could be identified for the non-synonymous codon exchanges, with a remarkable surplus of serine and reduction of glutamic acid and asparagine for the Antarctic species. Conclusion: Based on the differences between orthologous sequences from confamiliar species, distinguished mainly by the temperature regimes of their habitats, we hypothesize that temperature leaves a signature on the composition of biological macromolecules (RNA, proteins) with implications for the transcription and translation level. As the observed pattern of amino acid substitutions only partly support the flexibility hypothesis further evolutionary forces may be effective at the global transcriptome level.</t>
  </si>
  <si>
    <t>[Windisch, Heidrun Sigrid; Lucassen, Magnus; Frickenhaus, Stephan] Alfred Wegener Inst Polar &amp; Marine Res, Bremerhaven, Germany</t>
  </si>
  <si>
    <t>Helmholtz Association; Alfred Wegener Institute, Helmholtz Centre for Polar &amp; Marine Research</t>
  </si>
  <si>
    <t>Windisch, HS (corresponding author), Alfred Wegener Inst Polar &amp; Marine Res, Handelshafen 12, Bremerhaven, Germany.</t>
  </si>
  <si>
    <t>Heidrun.Windisch@awi.de</t>
  </si>
  <si>
    <t>Lucassen, Magnus/ABA-8396-2021; Windisch, Heidrun S/H-9505-2014; Lucassen, Magnus/E-8433-2011</t>
  </si>
  <si>
    <t>Lucassen, Magnus/0000-0003-4276-4781; Frickenhaus, Stephan/0000-0002-0356-9791</t>
  </si>
  <si>
    <t>Deutsche Forschungsgemeinschaft [LU1463/1-2]</t>
  </si>
  <si>
    <t>Deutsche Forschungsgemeinschaft(German Research Foundation (DFG))</t>
  </si>
  <si>
    <t>The study was partly funded by Deutsche Forschungsgemeinschaft (LU1463/1-2). It is a contribution to the PACES research program (work package 1.6) of the Alfred Wegener Institute funded by the Helmholtz Association. Furthermore, the authors would like to thank the crew of RV Polarstern for technical support to facilitate the transport of living fish during ANTXV/3, Timo Hirse for excellent technical support during this expedition. We are very grateful for the comments from anonymous reviewers that inspired a reanalysis based on alignments with model organism orthologuous sequences.</t>
  </si>
  <si>
    <t>1471-2164</t>
  </si>
  <si>
    <t>BMC Genomics</t>
  </si>
  <si>
    <t>OCT 11</t>
  </si>
  <si>
    <t>10.1186/1471-2164-13-549</t>
  </si>
  <si>
    <t>Biotechnology &amp; Applied Microbiology; Genetics &amp; Heredity</t>
  </si>
  <si>
    <t>085WU</t>
  </si>
  <si>
    <t>WOS:000314645800001</t>
  </si>
  <si>
    <t>Lefebvre, V; Donnadieu, Y; Sepulchre, P; Swingedouw, D; Zhang, ZS</t>
  </si>
  <si>
    <t>Lefebvre, Vincent; Donnadieu, Yannick; Sepulchre, Pierre; Swingedouw, Didier; Zhang, Zhong-Shi</t>
  </si>
  <si>
    <t>Deciphering the role of southern gateways and carbon dioxide on the onset of the Antarctic Circumpolar Current</t>
  </si>
  <si>
    <t>DRAKE PASSAGE; SEA-ICE; CENOZOIC GLACIATION; THERMAL-GRADIENTS; ATMOSPHERIC CO2; OCEAN; OLIGOCENE; CLIMATE; CIRCULATION; SIMULATION</t>
  </si>
  <si>
    <t>Growth of Antarctic ice sheet during the Cenozoic 34 million years ago appears as a potential tipping point in the long term cooling trend that began 50 Ma ago. For decades, the onset of the Antarctic Circumpolar Current (ACC) following the opening of the Drake Passage and of the Tasman Seaway has been suggested as the main driver of the continental-scale Antarctic glaciation. However, recent modeling works emphasized that the Eocene/Oligocene atmospheric carbon dioxide (CO2) lowering could be the primary forcing of the Antarctic glaciation, questioning the ACC theory. Here, we investigate the response of the ACC to changes in CO2 concentrations occurring from the late Eocene to the late Oligocene. We used a fully coupled atmosphere-ocean model (FOAM) with a mid-Oligocene geography. We find that the opening of southern oceanic gateways does not trigger the onset of the ACC for CO2 typical of the late Eocene (&gt;840 ppm). A cooler background climatic state such as the one prevalent at the end of the Oligocene is required to simulate a well-developed ACC. In this cold configuration, the intensified sea-ice development around Antarctica and the resulting brine formation lead to a strong latitudinal density gradient in the Southern Ocean favoring the compensation of the Ekman transport, and consequently the ACC. Our results imply that the ACC has acted as a feedback rather than as a driver of the global cooling.</t>
  </si>
  <si>
    <t>[Lefebvre, Vincent; Donnadieu, Yannick; Sepulchre, Pierre; Swingedouw, Didier] CEA Saclay, Lab Sci Climat &amp; Environm CEA CNRS, FR-91190 Gif Sur Yvette, France; [Zhang, Zhong-Shi] UniResearch, Bjerknes Ctr Climate Res, Bergen, Norway</t>
  </si>
  <si>
    <t>Universite Paris Saclay; CEA; Centre National de la Recherche Scientifique (CNRS); Bjerknes Centre for Climate Research</t>
  </si>
  <si>
    <t>Lefebvre, V (corresponding author), CEA Saclay, Lab Sci Climat &amp; Environm CEA CNRS, FR-91190 Gif Sur Yvette, France.</t>
  </si>
  <si>
    <t>vincent.lefebvre@lsce.ipsl.fr</t>
  </si>
  <si>
    <t>zhang, zhi/HPH-4905-2023; Zhang, zs/GXN-3521-2022; Swingedouw, Didier/D-1408-2010; Lefebvre, Vincent/A-4803-2013; Lefebvre, Vincent/F-4900-2013; Zhang, Zhongshi/L-2891-2013; Sepulchre, Pierre/Q-2006-2017; donnadieu, yannick/G-7546-2016</t>
  </si>
  <si>
    <t>Swingedouw, Didier/0000-0002-0583-0850; Sepulchre, Pierre/0000-0002-4267-4025; donnadieu, yannick/0000-0002-7315-2684</t>
  </si>
  <si>
    <t>'Agence Nationale de la Recherche' (ANR, COLORS project)</t>
  </si>
  <si>
    <t>'Agence Nationale de la Recherche' (ANR, COLORS project)(Agence Nationale de la Recherche (ANR))</t>
  </si>
  <si>
    <t>This work was funded by the 'Agence Nationale de la Recherche' (ANR, COLORS project). We thank Gilles Ramstein and three anonymous reviewers for their helpful comments and discussions.</t>
  </si>
  <si>
    <t>PA4201</t>
  </si>
  <si>
    <t>10.1029/2012PA002345</t>
  </si>
  <si>
    <t>020UN</t>
  </si>
  <si>
    <t>WOS:000309840200001</t>
  </si>
  <si>
    <t>Nicholls, KW; Makinson, K; Venables, EJ</t>
  </si>
  <si>
    <t>Nicholls, Keith W.; Makinson, Keith; Venables, Emily J.</t>
  </si>
  <si>
    <t>Ocean circulation beneath Larsen C Ice Shelf, Antarctica from in situ observations</t>
  </si>
  <si>
    <t>MODEL</t>
  </si>
  <si>
    <t>Hot-water drilled access holes were used to obtain oceanographic data from beneath two sites on Larsen C Ice Shelf, one in the north and one in the south. At both sites the entire water column was colder than the surface freezing point, and the temperature-salinity characteristics are consistent with a High Salinity Shelf Water source of maximum salinity 34.65 psu. At the southern site the 0.08 degrees C thermal driving at the ice base and the 0.2-m s(-1) rms water speed resulted in a melt rate of 1.3 +/- 0.2 m a(-1), as measured over an eight-day period. When combined with the available ship-based data, the evidence suggests that the sub-ice cavity is flushed only by water at the surface freezing point. This implies that the reported decrease in surface elevation of Larsen C Ice Shelf is unlikely to be a result of thinning due to an increasing rate of basalmelting. Citation: Nicholls, K. W., K. Makinson, and E. J. Venables (2012), Ocean circulation beneath Larsen C Ice Shelf, Antarctica from in situ observations, Geophys. Res. Lett., 39, L19608, doi: 10.1029/2012GL053187.</t>
  </si>
  <si>
    <t>[Nicholls, Keith W.; Makinson, Keith; Venables, Emily J.] British Antarctic Survey, NERC, Cambridge CB3 0ET, England</t>
  </si>
  <si>
    <t>Nicholls, KW (corresponding author), British Antarctic Survey, NERC, Madingley Rd, Cambridge CB3 0ET, England.</t>
  </si>
  <si>
    <t>kwni@bas.ac.uk</t>
  </si>
  <si>
    <t>Makinson, Keith/A-2495-2013</t>
  </si>
  <si>
    <t>Makinson, Keith/0000-0002-5791-1767</t>
  </si>
  <si>
    <t>NERC [bas0100028, NE/H009205/1] Funding Source: UKRI; Natural Environment Research Council [bas0100028, NE/H009205/1] Funding Source: researchfish</t>
  </si>
  <si>
    <t>L19608</t>
  </si>
  <si>
    <t>10.1029/2012GL053187</t>
  </si>
  <si>
    <t>020TK</t>
  </si>
  <si>
    <t>WOS:000309837300003</t>
  </si>
  <si>
    <t>Huss, M; Farinotti, D</t>
  </si>
  <si>
    <t>Huss, Matthias; Farinotti, Daniel</t>
  </si>
  <si>
    <t>Distributed ice thickness and volume of all glaciers around the globe</t>
  </si>
  <si>
    <t>SEA-LEVEL RISE; CAPS; AREA; BALANCE</t>
  </si>
  <si>
    <t>A new physically based approach for calculating glacier ice thickness distribution and volume is presented and applied to all glaciers and ice caps worldwide. Combining glacier outlines of the globally complete Randolph Glacier Inventory with terrain elevation models (Shuttle Radar Topography Mission/Advanced Spaceborne Thermal Emission and Reflection Radiometer), we use a simple dynamic model to obtain spatially distributed thickness of individual glaciers by inverting their surface topography. Results are validated against a comprehensive set of thickness observations for 300 glaciers from most glacierized regions of the world. For all mountain glaciers and ice caps outside of the Antarctic and Greenland ice sheets we find a total ice volume of 170 x 10(3) +/- 21 x 10(3) km(3), or 0.43 +/- 0.06 m of potential sea level rise.</t>
  </si>
  <si>
    <t>[Huss, Matthias] Univ Fribourg, Dept Geosci, CH-1700 Fribourg, Switzerland; [Farinotti, Daniel] ETH, Lab Hydraul Hydrol &amp; Glaciol, Zurich, Switzerland</t>
  </si>
  <si>
    <t>University of Fribourg; Swiss Federal Institutes of Technology Domain; ETH Zurich</t>
  </si>
  <si>
    <t>Huss, M (corresponding author), Univ Fribourg, Dept Geosci, Chemin Musee 4, CH-1700 Fribourg, Switzerland.</t>
  </si>
  <si>
    <t>matthias.huss@unifr.ch</t>
  </si>
  <si>
    <t>Huss, Matthias/O-1399-2019; Huss, Matthias/JLL-6340-2023</t>
  </si>
  <si>
    <t>Huss, Matthias/0000-0002-2377-6923; Farinotti, Daniel/0000-0003-3417-4570</t>
  </si>
  <si>
    <t>F04010</t>
  </si>
  <si>
    <t>10.1029/2012JF002523</t>
  </si>
  <si>
    <t>020UJ</t>
  </si>
  <si>
    <t>WOS:000309839800002</t>
  </si>
  <si>
    <t>Pattyn, F; Matsuoka, K; Callens, D; Conway, H; Depoorter, M; Docquier, D; Hubbard, B; Samyn, D; Tison, JL</t>
  </si>
  <si>
    <t>Pattyn, F.; Matsuoka, K.; Callens, D.; Conway, H.; Depoorter, M.; Docquier, D.; Hubbard, B.; Samyn, D.; Tison, J. L.</t>
  </si>
  <si>
    <t>Melting and refreezing beneath Roi Baudouin Ice Shelf (East Antarctica) inferred from radar, GPS, and ice core data</t>
  </si>
  <si>
    <t>AUTONOMOUS UNDERWATER VEHICLE; PHASE-SENSITIVE RADAR; PINE ISLAND GLACIER; MARINE-ICE; WEST ANTARCTICA; GROUNDING-LINE; FRAZIL ICE; SHEET; MODEL; FLOW</t>
  </si>
  <si>
    <t>Ice-penetrating radar profiles across the grounding line of a small ice-rise promontory located within the Roi Baudouin Ice Shelf in the Dronning Maud Land sector of East Antarctica show downward dipping englacial radar-detected reflectors. Model results indicate that this reflector pattern is best fit by including basal melting of at least 15 cm a(-1). This rate of melting is low compared with rates observed on larger ice shelves in both West and East Antarctica. Ice cores extracted from a rift system close to the ice-rise promontory show several meters of marine ice accreted beneath the shelf. These observations of low rates of basal melting, and limited distribution of accreted marine ice suggest that either Antarctic surface water may reach the ice shelf base or that circulation beneath the shelf is likely dominated by the production of high salinity shelf water rather than the incursion of circumpolar deep water, implying a weak sub-shelf circulation system here. Many of the ice shelves located along the coast of Dronning Maud Land are, like Roi Baudouin Ice Shelf, characterized by frequent ice rises and promontories. Therefore, it is highly likely that these are also of shallow bathymetry and are subject to similarly weak side-shelf basal melting and refreezing.</t>
  </si>
  <si>
    <t>[Pattyn, F.; Callens, D.; Depoorter, M.; Docquier, D.; Samyn, D.; Tison, J. L.] Univ Libre Bruxelles, Lab Glaciol, B-1050 Brussels, Belgium; [Matsuoka, K.] Norwegian Polar Res Inst, Tromso, Norway; [Hubbard, B.] Aberystwyth Univ, Inst Geog &amp; Earth Sci, Ctr Glaciol, Ceredigion, Wales; [Samyn, D.] Uppsala Univ, Glaciol Res Grp, Uppsala, Sweden</t>
  </si>
  <si>
    <t>Universite Libre de Bruxelles; Norwegian Polar Institute; Aberystwyth University; Uppsala University</t>
  </si>
  <si>
    <t>Pattyn, F (corresponding author), Univ Libre Bruxelles, Lab Glaciol, Av FD Roosevelt 50, B-1050 Brussels, Belgium.</t>
  </si>
  <si>
    <t>fpattyn@ulb.ac.be</t>
  </si>
  <si>
    <t>Pattyn, Frank/AAA-9640-2019; Docquier, David/P-5635-2019; Matsuoka, Kenichi/B-7298-2017; Tison, Jean-Louis/F-4065-2015</t>
  </si>
  <si>
    <t>Pattyn, Frank/0000-0003-4805-5636; Docquier, David/0000-0002-5720-4253; Matsuoka, Kenichi/0000-0002-3587-3405; Hubbard, Bryn/0000-0002-3565-3875; Tison, Jean-Louis/0000-0002-9758-3454; Conway, Howard/0000-0003-4634-3474</t>
  </si>
  <si>
    <t>University of Washington Royalty Research Fund [4208]; FRIA (FRS-FNRS) grant</t>
  </si>
  <si>
    <t>University of Washington Royalty Research Fund(University of Washington); FRIA (FRS-FNRS) grant(Fonds de la Recherche Scientifique - FNRS)</t>
  </si>
  <si>
    <t>This paper forms a contribution to the Belgian Research Programme on the Antarctic (Belgian Federal Science Policy Office), Project EA/11/3A 'Belgian Ice Sheet - Shelf Ice Measurements in Antarctica (BELISSIMA)'. K.M. and H.C. were partly supported by a University of Washington Royalty Research Fund (project 4208). D.C. is supported by a FRIA (FRS-FNRS) grant. The isotopic analyses were carried out by B. Stenni at the Isotope Geochemistry Laboratory of the University of Trieste (Italy). The authors are indebted to A. Hubert, R. Wagemans and K. Soete for their valuable assistance in the field. We thank M. Truffer, M. Koutnik and the other referees for their constructive comments on the original manuscript.</t>
  </si>
  <si>
    <t>F04008</t>
  </si>
  <si>
    <t>10.1029/2011JF002154</t>
  </si>
  <si>
    <t>WOS:000309839800001</t>
  </si>
  <si>
    <t>Rahn, DA</t>
  </si>
  <si>
    <t>Rahn, David A.</t>
  </si>
  <si>
    <t>Influence of large scale oscillations on upwelling-favorable coastal wind off central Chile</t>
  </si>
  <si>
    <t>LOW-LEVEL JET; JULIAN OSCILLATION; INTERANNUAL VARIABILITY; ANTARCTIC OSCILLATION; RAINFALL VARIABILITY; WEST-COAST; ENSO; MADDEN; TEMPERATURE; CIRCULATION</t>
  </si>
  <si>
    <t>Along the central coast of Chile is typically equatorward, upwelling-favorable wind associated with the southeast Pacific anticyclone. A coastal low-level jet often develops, and its wind speed is mostly controlled by the meridional pressure gradient. While the low-level jet is a mesoscale feature forced by an interaction between synoptic conditions and coastal topography, regional sea level pressure anomalies are associated with changes of the Antarctic, Madden Julian, and El Nino-Southern Oscillation. The connection between the alongshore wind and changes to the large-scale circulation is examined and quantified using 31 years of the Climate Forecast System Reanalysis, which resolves coastal features better than previous, coarser analyses. Composites based on each index reveal the modulation of the sea level pressure and significant alongshore wind anomalies of +/- 0.5-1.5 m s(-1) that correlate well to meridional surface pressure gradient changes and are centered near 35 degrees S. Constructive and destructive interference exists between the three indices that either enhance or cancel the alongshore wind anomaly. During favorable upwelling conditions the distribution of meridional wind is generally clustered around positive anomalies with a tail toward negative values, representing a stronger and persistent anticyclone. During unfavorable upwelling conditions the anomalies are generally more normally distributed, representing a weaker anticyclone and the passage of more cyclones.</t>
  </si>
  <si>
    <t>[Rahn, David A.] Univ Chile, Fac Ciencias Fis &amp; Matemat, Dept Geofis, Santiago, Chile</t>
  </si>
  <si>
    <t>Rahn, DA (corresponding author), Univ Kansas, Dept Geog, Atmospher Sci Program, 1475 Jayhawk Blvd,201 Lindley Hall, Lawrence, KS 66045 USA.</t>
  </si>
  <si>
    <t>darahn@ku.edu</t>
  </si>
  <si>
    <t>I thank the three reviewers whose comments improved the final version of the manuscript. This work was supported by FONDECYT 3110100.</t>
  </si>
  <si>
    <t>OCT 10</t>
  </si>
  <si>
    <t>D19114</t>
  </si>
  <si>
    <t>10.1029/2012JD018016</t>
  </si>
  <si>
    <t>020QW</t>
  </si>
  <si>
    <t>WOS:000309829500003</t>
  </si>
  <si>
    <t>Sruthi, KV; Thamban, M; Manoj, MC; Laluraj, CM</t>
  </si>
  <si>
    <t>Sruthi, K. V.; Thamban, Meloth; Manoj, M. C.; Laluraj, C. M.</t>
  </si>
  <si>
    <t>Association of trace elements with various geochemical phases in the Indian sector of Southern Ocean during past 22,000 years and its palaeoceanographic implications</t>
  </si>
  <si>
    <t>CURRENT SCIENCE</t>
  </si>
  <si>
    <t>Last Glacial Maximum; redox condition; sequential extraction; Southern Ocean; trace element</t>
  </si>
  <si>
    <t>LATE-QUATERNARY; ARABIAN SEA; CO2; FE; PRODUCTIVITY; VENTILATION; SEDIMENTS; BARIUM; ORIGIN; METAL</t>
  </si>
  <si>
    <t>Adopting sequential extraction procedures, Ba, Cu, Mn, Ni, V and Zn concentrations were determined in the moderately reducible, organically bound, carbonate-associated and adsorbable fractions within a sediment core collected from the Indian sector of the Southern Ocean. The elemental abundances were studied with reference to the Last Glacial Maximum (LGM), deglaciation and Holocene periods. The study showed, with the exception of Ba, elemental abundances in the following order: moderately reducible &gt; organically bound &gt; carbonate-associated &gt; adsorbable fractions. Ba showed high affinity to organically bound and carbonate-associated fractions. Ba concentration revealed large variability (200-1400 ppm) within the carbonate-associated fraction and is related to the reduced carbonate productivity during LGM and increased carbonate productivity during deglaciation as well as Holocene intervals. The relative increase in the concentration of V, Mn and Ni in the reducible fraction suggests enhanced suboxic conditions during LGM. The decreased concentrations of V, Mn and Ni during the deglaciation and late Holocene indicate oxygenated conditions. The suboxic conditions during LGM could be attributed to reduced ventilation resulting from reduced strength of the global thermohaline circulation at this time interval.</t>
  </si>
  <si>
    <t>[Sruthi, K. V.; Thamban, Meloth; Manoj, M. C.; Laluraj, C. M.] Natl Ctr Antarctic &amp; Ocean Res, Headland Sada 403804, Goa, India</t>
  </si>
  <si>
    <t>Ministry of Earth Sciences (MoES) - India; National Centre for Polar and Ocean Research (NCPOR)</t>
  </si>
  <si>
    <t>Thamban, M (corresponding author), Natl Ctr Antarctic &amp; Ocean Res, Headland Sada 403804, Goa, India.</t>
  </si>
  <si>
    <t>meloth@ncaor.org</t>
  </si>
  <si>
    <t>Manoj, M C/AAR-1882-2020</t>
  </si>
  <si>
    <t>Manoj, M C/0000-0001-8112-6315; Thamban, Meloth/0000-0003-3379-8189</t>
  </si>
  <si>
    <t>Ministry of Earth Science (MoES)</t>
  </si>
  <si>
    <t>We thank the Ministry of Earth Science (MoES) and the Director, National Centre for Antarctic and Ocean Research (NCAOR), Goa for support. We also thank Dr Rahul Mohan (NCAOR) and Dr M. Sudhakar (MoES) for their support in sample retrieval, and B. L. Redkar for technical support with ICP-MS. K.V.S. thanks Dr N. C. Kumar, Department of Chemical Oceanography, Cochin University of Science and Technology, Kochi for the guidance and encouragement. We thank to the anonymous reviewer for constructive and useful suggestions. This is NCAOR contribution number 37/2012.</t>
  </si>
  <si>
    <t>INDIAN ACAD SCIENCES</t>
  </si>
  <si>
    <t>BANGALORE</t>
  </si>
  <si>
    <t>C V RAMAN AVENUE, SADASHIVANAGAR, P B #8005, BANGALORE 560 080, INDIA</t>
  </si>
  <si>
    <t>0011-3891</t>
  </si>
  <si>
    <t>CURR SCI INDIA</t>
  </si>
  <si>
    <t>Curr. Sci.</t>
  </si>
  <si>
    <t>032NE</t>
  </si>
  <si>
    <t>WOS:000310725200019</t>
  </si>
  <si>
    <t>Singh, KM; Jakhesara, SJ; Koringa, PG; Rank, DN; Joshi, CG</t>
  </si>
  <si>
    <t>Singh, K. M.; Jakhesara, S. J.; Koringa, P. G.; Rank, D. N.; Joshi, C. G.</t>
  </si>
  <si>
    <t>Metagenomic analysis of virulence-associated and antibiotic resistance genes of microbes in rumen of Indian buffalo (Bubalus bubalis)</t>
  </si>
  <si>
    <t>GENE</t>
  </si>
  <si>
    <t>Surti Buffalo; Metagenome; GSFLX; Virulence; RATC</t>
  </si>
  <si>
    <t>INTESTINAL MICROBIOME; CENTRIC METAGENOMICS; ANIMAL FEED; BACTERIA; CATTLE; FECES; WATER; SOIL; AGRICULTURE; DIVERSITY</t>
  </si>
  <si>
    <t>A major research goal in rumen microbial ecology is to understand the relationship between community composition and its function, particularly involved in fermentation process is of a potential interest. The buffalo rumen microbiota impacts human food safety as well as animal health. Although the bacteria of bovine rumen have been well characterized, techniques have been lacking to correlate total community structure with gene function. We applied 454 next generations sequencing technology to characterize general microbial diversity present in buffalo rumen metagenome and also identified the repertoire of microbial genes present, including genes associated with antibiotic resistance and bacterial virulence. Results suggest that over six percent (6.44%) of the sequences from our buffalo rumen pool sample could be categorized as virulence genes and genes associated with resistance to antibiotic and toxic compounds (RATC), which is a higher proportion of virulence genes reported from metagenome samples of chicken cecum (5.39%), cow rumen (4.43%) and Sargasso sea (2.95%). However, it was lower than the proportion found in cow milk (11.33%) cattle faeces (8.4%). Antarctic marine derived lake (8.45%), human fecal (7.7%) and farm soil (7.79%). The dynamic nature of metagenomic data, together with the large number of RATC classes observed in samples from widely different ecologies indicates that metagenomic data can be used to track potential targets and relative amounts of antibiotic resistance genes in individual animals. In addition, these data can be also used to generate antibiotic resistance gene profiles to facilitate an understanding of the ecology of the microbial communities in each habitat as well as the epidemiology of antibiotic resistant gene transport between and among habitats. (c) 2012 Elsevier B.V. All rights reserved.</t>
  </si>
  <si>
    <t>[Singh, K. M.] ARIBAS, Dept Genet, Anand, Gujarat, India; [Singh, K. M.; Jakhesara, S. J.; Koringa, P. G.; Joshi, C. G.] Anand Agr Univ, Dept Anim Biotechnol, Anand, Gujarat, India; [Rank, D. N.] Anand Agr Univ, Dept Anim Genet &amp; Breeding, Anand, Gujarat, India</t>
  </si>
  <si>
    <t>Anand Agricultural University; Anand Agricultural University</t>
  </si>
  <si>
    <t>Singh, KM (corresponding author), ARIBAS, Dept Genet, Anand, Gujarat, India.</t>
  </si>
  <si>
    <t>kmsingh18@gmail.com; cgjoshi@aau.in</t>
  </si>
  <si>
    <t>Joshi, Chaitanya G/AAK-1842-2020; Jakhesara, Subhash/D-2647-2011; Koringa, Prakash/H-7568-2019</t>
  </si>
  <si>
    <t>Joshi, Chaitanya G/0000-0003-4680-2861; Jakhesara, Subhash/0000-0002-3246-8834;</t>
  </si>
  <si>
    <t>Department of Biotechnology (DBT), Government of India; Rashtriya Krishi Vikas Yojana (RKVY) Government of Gujarat</t>
  </si>
  <si>
    <t>Department of Biotechnology (DBT), Government of India(Department of Biotechnology (DBT) India); Rashtriya Krishi Vikas Yojana (RKVY) Government of Gujarat</t>
  </si>
  <si>
    <t>We thank the Department of Biotechnology (DBT), Government of India and Rashtriya Krishi Vikas Yojana (RKVY) Government of Gujarat, for their financial support for this study.</t>
  </si>
  <si>
    <t>0378-1119</t>
  </si>
  <si>
    <t>Gene</t>
  </si>
  <si>
    <t>10.1016/j.gene.2012.07.037</t>
  </si>
  <si>
    <t>Genetics &amp; Heredity</t>
  </si>
  <si>
    <t>002ER</t>
  </si>
  <si>
    <t>WOS:000308515000008</t>
  </si>
  <si>
    <t>Kunz, M; King, MA; Mills, JP; Miller, PE; Fox, AJ; Vaughan, DG; Marsh, SH</t>
  </si>
  <si>
    <t>Kunz, Matthias; King, Matt A.; Mills, Jon P.; Miller, Pauline E.; Fox, Adrian J.; Vaughan, David G.; Marsh, Stuart H.</t>
  </si>
  <si>
    <t>Multi-decadal glacier surface lowering in the Antarctic Peninsula</t>
  </si>
  <si>
    <t>From approximately 400 glaciers of the western Antarctic Peninsula, no in situ records of mass balance exist and their recent contribution to sea level is consequently poorly constrained. We seek to address this shortcoming by using surface elevations from USGS and BAS airborne (1948-2005) and ASTER spaceborne (2001-2010) stereo imagery, combined by using a rigorous semi-automated registration approach, to determine multi-decadal glacier surface elevation changes in the western Antarctic Peninsula for 12 glaciers. All observed glaciers show near-frontal surface lowering and an annual mean lowering rate of 0.28 +/- 0.03 m/yr at the lower portion of the glaciers during the similar to 4 decades following the mid-1960s, with higher rates for the glaciers in the north-west parts of the Antarctic Peninsula. Increased lowering of up to 0.6 m/yr can be observed since the 1990s, in close correspondence to increased atmospheric positive degree days. In all cases, surface lowering reduces to zero within 5 km of the glacier front at around 400 m altitude. This lowering may have been at least partially compensated for by increased high-altitude accumulation. Citation: Kunz, M., M. A. King, J. P. Mills, P. E. Miller, A. J. Fox, D. G. Vaughan, and S. H. Marsh (2012), Multi-decadal glacier surface lowering in the Antarctic Peninsula, Geophys. Res. Lett., 39, L19502, doi:10.1029/2012GL052823.</t>
  </si>
  <si>
    <t>[Kunz, Matthias; King, Matt A.; Mills, Jon P.; Miller, Pauline E.] Newcastle Univ, Sch Civil Engn &amp; Geosci, Newcastle Upon Tyne NE1 7RU, Tyne &amp; Wear, England; [Fox, Adrian J.; Vaughan, David G.] British Antarctic Survey, Cambridge CB3 0ET, England; [Marsh, Stuart H.] British Geol Survey, Keyworth NG12 5GG, Notts, England</t>
  </si>
  <si>
    <t>Newcastle University - UK; UK Research &amp; Innovation (UKRI); Natural Environment Research Council (NERC); NERC British Antarctic Survey; UK Research &amp; Innovation (UKRI); Natural Environment Research Council (NERC); NERC British Geological Survey</t>
  </si>
  <si>
    <t>Kunz, M (corresponding author), Newcastle Univ, Sch Civil Engn &amp; Geosci, Cassie Bldg, Newcastle Upon Tyne NE1 7RU, Tyne &amp; Wear, England.</t>
  </si>
  <si>
    <t>matthias.kunz@ncl.ac.uk</t>
  </si>
  <si>
    <t>King, Matt/B-4622-2008; Kunz, Matthias/G-6711-2017; Vaughan, David/C-8348-2011; Mills, Jon/H-7444-2013</t>
  </si>
  <si>
    <t>King, Matt/0000-0001-5611-9498; Kunz, Matthias/0000-0002-0541-3424; Marsh, Stuart/0000-0002-1168-6760; Miller, Pauline/0000-0002-4157-3994; Mills, Jon/0000-0001-5304-7935; Vaughan, David/0000-0002-9065-0570</t>
  </si>
  <si>
    <t>NERC; BGS University Funding Initiative (BUFI); NERC [bas0100027, bgs05011] Funding Source: UKRI; Natural Environment Research Council [bgs05011, bas0100027] Funding Source: researchfish</t>
  </si>
  <si>
    <t>NERC(UK Research &amp; Innovation (UKRI)Natural Environment Research Council (NERC)); BGS University Funding Initiative (BUFI); NERC(UK Research &amp; Innovation (UKRI)Natural Environment Research Council (NERC)); Natural Environment Research Council(UK Research &amp; Innovation (UKRI)Natural Environment Research Council (NERC))</t>
  </si>
  <si>
    <t>The authors would like to thank USGS for providing the ASTER data and calibration information for the historic image frames. We thank Michael Meredith and Gareth Marshall at BAS for providing temperature data. This work was funded by NERC and the BGS University Funding Initiative (BUFI) and is published with permission of the Executive Director, BGS.</t>
  </si>
  <si>
    <t>OCT 9</t>
  </si>
  <si>
    <t>L19502</t>
  </si>
  <si>
    <t>10.1029/2012GL052823</t>
  </si>
  <si>
    <t>020TG</t>
  </si>
  <si>
    <t>WOS:000309836900002</t>
  </si>
  <si>
    <t>Carbone, M; Núñez-Pons, L; Paone, M; Castelluccio, F; Avila, C; Gavagnin, M</t>
  </si>
  <si>
    <t>Carbone, Marianna; Nunez-Pons, Laura; Paone, Miriam; Castelluccio, Francesco; Avila, Conxita; Gavagnin, Margherita</t>
  </si>
  <si>
    <t>Rossinone-related meroterpenes from the Antarctic ascidian Aplidium fuegiense (vol 68, pg 3541, 2012)</t>
  </si>
  <si>
    <t>Correction</t>
  </si>
  <si>
    <t>[Carbone, Marianna; Paone, Miriam; Castelluccio, Francesco; Gavagnin, Margherita] CNR, Ist Chim Biomol, I-80078 Naples, Italy; [Nunez-Pons, Laura; Avila, Conxita] Univ Barcelona, Dept Biol Anim Invertebrats, Fac Biol, E-08028 Barcelona, Catalunya, Spain</t>
  </si>
  <si>
    <t>Consiglio Nazionale delle Ricerche (CNR); Istituto di Chimica Biomolecolare (ICB-CNR); University of Barcelona</t>
  </si>
  <si>
    <t>Gavagnin, M (corresponding author), CNR, Ist Chim Biomol, Via Campi Flegrei 34, I-80078 Naples, Italy.</t>
  </si>
  <si>
    <t>mgavagnin@icb.cnr.it</t>
  </si>
  <si>
    <t>Avila, Conxita/B-9466-2008; Paone, Miriam/AAA-1434-2020; Gavagnin, Margherita/B-4584-2012</t>
  </si>
  <si>
    <t>Avila, Conxita/0000-0002-5489-8376; Paone, Miriam/0000-0002-6913-3456; CARBONE, MARIANNA/0000-0003-3729-5714</t>
  </si>
  <si>
    <t>OCT 7</t>
  </si>
  <si>
    <t>10.1016/j.tet.2012.07.095</t>
  </si>
  <si>
    <t>005VL</t>
  </si>
  <si>
    <t>WOS:000308778100018</t>
  </si>
  <si>
    <t>Meanwhile, in the Antarctic ...</t>
  </si>
  <si>
    <t>NEW SCIENTIST</t>
  </si>
  <si>
    <t>REED BUSINESS INFORMATION LTD</t>
  </si>
  <si>
    <t>SUTTON</t>
  </si>
  <si>
    <t>QUADRANT HOUSE THE QUADRANT, SUTTON SM2 5AS, SURREY, ENGLAND</t>
  </si>
  <si>
    <t>0262-4079</t>
  </si>
  <si>
    <t>NEW SCI</t>
  </si>
  <si>
    <t>New Sci.</t>
  </si>
  <si>
    <t>OCT 6</t>
  </si>
  <si>
    <t>020YK</t>
  </si>
  <si>
    <t>WOS:000309852300002</t>
  </si>
  <si>
    <t>Greenslade, P; Potapov, M; Russell, D; Convey, P</t>
  </si>
  <si>
    <t>Greenslade, Penelope; Potapov, Mikhail; Russell, David; Convey, Peter</t>
  </si>
  <si>
    <t>Global Collembola on Deception Island</t>
  </si>
  <si>
    <t>JOURNAL OF INSECT SCIENCE</t>
  </si>
  <si>
    <t>human-mediation; invasive species; non-indigenous species; springtails; tourist impacts</t>
  </si>
  <si>
    <t>SOUTH SANDWICH ISLANDS; BIOLOGICAL INVASIONS; ANTARCTIC PENINSULA; TERRESTRIAL; COMMUNITIES; FLORA; HABITATS; IMPACTS; FAUNA</t>
  </si>
  <si>
    <t>Three new non-indigenous springtail species are recorded in recent collections made on Deception Island, South Shetland Islands, maritime Antarctic: Deuteraphorura (Deuteraphorura) cebennaria (Gisin) (Collembola: Onychiuridae), Mesaphorura macrochaeta Rusek (Tullbergiidae), and Proisotoma minuta Axelson (Isotomidae). One of these, D. (D.) cebennaria, is described. Additionally, two new indigenous species, Mesaphorura macrochaeta Rusek and Proisotoma minuta Axelson, are also recorded. The total number of Collembola species now known from the island is 14, comprised of eight native species and six non-indigenous species. This number of non-indigenous species recorded at Deception Island compares with only a single non-indigenous springtail recorded at any other maritime or continental Antarctic location. The reason underlying this high level of occurrence of non-indigenous species on Deception Island is likely to be a combination of the island's high level of human visitation and the presence of relatively benign terrestrial habitats associated with areas of geothermal activity. Two of the new records represent species recently assessed as being of the highest risk to become invaders in the less extreme environments of the subantarctic, thereby emphasising the importance and urgency of adopting and applying effective biosecurity measures to protect the unique and vulnerable ecosystems of this region. Also documented are the impacts on the soil fauna of the island from human trampling, which drastically reduced densities of both native and non-indigenous species to 1% of the abundance typical of non-trampled sites.</t>
  </si>
  <si>
    <t>[Greenslade, Penelope] Univ Ballarat, Sch Sci &amp; Engn, Mt Helen, Vic 3350, Australia; [Potapov, Mikhail] Moscow State Pedag Univ, Dept Zool &amp; Ecol, Moscow 129164, Russia; [Russell, David] Senckenberg Museum Nat Hist Gorlitz, Sect Mesofauna, Dept Soil Zool, D-02806 Gorlitz, Germany; [Convey, Peter] British Antarctic Survey, Cambridge CB3 0ET, England</t>
  </si>
  <si>
    <t>Federation University Australia; Moscow State University of Education; Senckenberg Gesellschaft fur Naturforschung (SGN); UK Research &amp; Innovation (UKRI); Natural Environment Research Council (NERC); NERC British Antarctic Survey</t>
  </si>
  <si>
    <t>Greenslade, P (corresponding author), Univ Ballarat, Sch Sci &amp; Engn, POB 663, Mt Helen, Vic 3350, Australia.</t>
  </si>
  <si>
    <t>pgreenslade@staff.ballarat.edu.au; mpnk@orc.ru; David.Russell@senckenberg.de; pcon@bas.ac.uk</t>
  </si>
  <si>
    <t>Potapov, Mikhail B./T-7534-2017; Potapov, Mikhail/AAG-4607-2022; Convey, Peter/AAV-5728-2020; Potapov, Mikhail/AFK-6336-2022</t>
  </si>
  <si>
    <t>Potapov, Mikhail/0000-0002-6111-3354; Convey, Peter/0000-0001-8497-9903; Potapov, Mikhail/0000-0002-6111-3354</t>
  </si>
  <si>
    <t>German Federal Environment Agency [FKZ 3709 85 157]; Spanish Antarctic organisation</t>
  </si>
  <si>
    <t>German Federal Environment Agency; Spanish Antarctic organisation</t>
  </si>
  <si>
    <t>The Spanish Antarctic organisation, and staff at Gabriel de Castilla station, are thanked for supporting the BAS sampling program on Deception Island. Thanks are due to the German Federal Environment Agency, who funded collection and study of the GM samples under FKZ 3709 85 157. BAS samples within designated sub-sites of the Deception Island Antarctic Specially Protected Area 140 (Parts of Deception Island) were collected under permit S9-02/2009 granted by the United Kingdom Foreign and Commonwealth Office. GM samples were collected under permit 94003-3/249 granted by the German Federal Environment Agency. P. Fretwell (BAS Mapping and Geographic Information Centre) is thanked for preparing the map in Figure 1.</t>
  </si>
  <si>
    <t>1536-2442</t>
  </si>
  <si>
    <t>J INSECT SCI</t>
  </si>
  <si>
    <t>J Insect Sci.</t>
  </si>
  <si>
    <t>OCT 5</t>
  </si>
  <si>
    <t>Entomology</t>
  </si>
  <si>
    <t>022VT</t>
  </si>
  <si>
    <t>Green Accepted, Green Published, gold, Green Submitted</t>
  </si>
  <si>
    <t>WOS:000309993000001</t>
  </si>
  <si>
    <t>Gruetzner, J; Uenzelmann-Neben, G; Franke, D</t>
  </si>
  <si>
    <t>Gruetzner, Jens; Uenzelmann-Neben, Gabriele; Franke, Dieter</t>
  </si>
  <si>
    <t>Variations in sediment transport at the central Argentine continental margin during the Cenozoic</t>
  </si>
  <si>
    <t>Argentine basin; bottom currents; canyons; giant drift; reflection seismics; sediment transport</t>
  </si>
  <si>
    <t>DEEP-WATER CIRCULATION; SOUTH-ATLANTIC; OCEAN; EVOLUTION; BASIN; HISTORY; RECORD; PALEOCENE; PATTERNS; NEOGENE</t>
  </si>
  <si>
    <t>The construction of the sedimentary cover atmost passive continental margins includes gravitational downslope transport and along-slope contourite deposition, which are controlled by tectonics, climate and oceanography. At the eastern continental margin of Argentina the history of deposition and erosion is intimately linked to the evolution of the South Atlantic and its water masses. Here we present a detailed seismic investigation of the mixed depositional system located between 41 degrees S and 45 degrees S. The study provides a northward complement to prior investigations from the southern Argentine margin and together with these may be used as background information for future ocean drilling in the region. Prominent features in our seismic cross sections are submarine canyons, mass wasting deposits, contourite channels, and sediment drifts. Four major seismic units above regional reflector PLe (similar to 65 Ma) are separated by distinct unconformities of regional extent. Using a dense grid of reflection seismic profiles, we mapped the depocenter geometries of the seismic units and derived a chronology of the depositional processes during the Cenozoic. While the Paleocene/Eocene (similar to 65-34 Ma) is characterized by hemipelagic sedimentation under relatively sluggish bottom water conditions, strong Antarctic bottom water (AABW) circulation led to widespread erosion on the slope and growth of a detached sediment drift during the Oligocene and early Miocene (similar to 34-17 Ma). After deposition of an aggradational seismic unit interpreted to represent the Mid-Miocene climatic optimum (similar to 17-14 Ma), gravitational downslope sediment transport increased during the middle to late Miocene (similar to 14-6 Ma) possibly related to tectonic uplift in South America. The Pliocene to Holocene unit (</t>
  </si>
  <si>
    <t>[Gruetzner, Jens; Uenzelmann-Neben, Gabriele] Alfred Wegener Inst Polar &amp; Marine Res, DE-27568 Bremerhaven, Germany; [Franke, Dieter] Bundesanstalt Geowissensch &amp; Rohstoffe, DE-30655 Hannover, Germany</t>
  </si>
  <si>
    <t>Gruetzner, J (corresponding author), Alfred Wegener Inst Polar &amp; Marine Res, Alten Hafen 26, DE-27568 Bremerhaven, Germany.</t>
  </si>
  <si>
    <t>jens.gruetzner@awi.de; gabriele.uenzelmann-neben@awi.de; dieter.franke@bgr.de</t>
  </si>
  <si>
    <t>Uenzelmann-Neben, Gabriele/AAI-8618-2020; Franke, Dieter/A-5383-2011</t>
  </si>
  <si>
    <t>Uenzelmann-Neben, Gabriele/0000-0002-0115-5923; Franke, Dieter/0000-0002-1488-026X; Gruetzner, Jens/0000-0001-5445-2393</t>
  </si>
  <si>
    <t>Priority Program SAMPLE (South Atlantic Margin Processes and Links with onshore Evolution) of the Deutsche Forschungsgemeinschaft (DFG) [Ue 49/11]</t>
  </si>
  <si>
    <t>Priority Program SAMPLE (South Atlantic Margin Processes and Links with onshore Evolution) of the Deutsche Forschungsgemeinschaft (DFG)(German Research Foundation (DFG))</t>
  </si>
  <si>
    <t>This research was funded by the Priority Program SAMPLE (South Atlantic Margin Processes and Links with onshore Evolution) of the Deutsche Forschungsgemeinschaft (DFG) under contract Ue 49/11. We thank Thorsten Becker (Editor), Sean Gulick and an anonymous reviewer for their interest and constructive suggestions that helped to improve the manuscript.</t>
  </si>
  <si>
    <t>Q10003</t>
  </si>
  <si>
    <t>10.1029/2012GC004266</t>
  </si>
  <si>
    <t>017SZ</t>
  </si>
  <si>
    <t>WOS:000309612600003</t>
  </si>
  <si>
    <t>Thomson, NR; Rodger, CJ; Clilverd, MA</t>
  </si>
  <si>
    <t>Thomson, Neil R.; Rodger, Craig J.; Clilverd, Mark A.</t>
  </si>
  <si>
    <t>Tropical daytime lower D-region dependence on sunspot number</t>
  </si>
  <si>
    <t>LIGHTNING LOCATION NETWORK; VLF</t>
  </si>
  <si>
    <t>Observed phases and amplitudes of VLF radio signals propagating on (near) tropical all-sea paths, both short, similar to 300 km, and long, similar to 10 Mm, are used to find daytime parameter changes for the lowest edge of the (D-region of the) Earth's ionosphere as the solar cycle advanced from a very low sunspot number of similar to 5 up to similar to 60, in the period 2009-2011. The VLF phases, relative to GPS 1-s pulses, and amplitudes were measured similar to 100 km from the transmitter, where the direct ground wave is very dominant, similar to 300 km from the transmitter, near where the ionospherically reflected waves form a (modal) minimum with the ground wave, and similar to 10 Mm away where the lowest order waveguide mode is fully dominant. Most of the signals came from the 19.8 kHz, 1-MW transmitter, NWC, North West Cape, Australia, propagating ENE, mainly over the sea, to the vicinity of Karratha and Dampier on the NW coast of Australia and then on to Kauai, Hawaii, similar to 10.6 Mm from NWC. Observations from the 8.1-Mm path NPM (21.4 kHz, Hawaii) to Dunedin, NZ, are also used. The sunspot number increase from similar to 5 to similar to 60 was found to coincide with a decrease in the height, H', of the midday tropical ionosphere by 0.75 +/- 0.25 km (from H' approximate to 70.5 km to H' approximate to 69.7 km) while the sharpness, beta increased by 0.025 +/- 0.01 km(-1) (from beta approximate to 0.47 km(-1) to beta approximate to 0.49 km(-1)) where H' and b are the traditional height and sharpness parameters used by Wait and by the U.S. Navy in their Earth-ionosphere VLF radio waveguide programs.</t>
  </si>
  <si>
    <t>[Thomson, Neil R.; Rodger, Craig J.] Univ Otago, Dept Phys, Dunedin 9054, New Zealand; [Clilverd, Mark A.] British Antarctic Survey, Cambridge CB3 0ET, England</t>
  </si>
  <si>
    <t>University of Otago; UK Research &amp; Innovation (UKRI); Natural Environment Research Council (NERC); NERC British Antarctic Survey</t>
  </si>
  <si>
    <t>Thomson, NR (corresponding author), Univ Otago, Dept Phys, POB 56, Dunedin 9054, New Zealand.</t>
  </si>
  <si>
    <t>n_thomson@physics.otago.ac.nz</t>
  </si>
  <si>
    <t>Rodger, Craig/A-1501-2011</t>
  </si>
  <si>
    <t>Rodger, Craig J./0000-0002-6770-2707</t>
  </si>
  <si>
    <t>NERC [bas0100023] Funding Source: UKRI; Natural Environment Research Council [bas0100023] Funding Source: researchfish</t>
  </si>
  <si>
    <t>A10306</t>
  </si>
  <si>
    <t>10.1029/2012JA018077</t>
  </si>
  <si>
    <t>017RX</t>
  </si>
  <si>
    <t>WOS:000309609600003</t>
  </si>
  <si>
    <t>Edwards, AM; Freeman, MP; Breed, GA; Jonsen, ID</t>
  </si>
  <si>
    <t>Edwards, Andrew M.; Freeman, Mervyn P.; Breed, Greg A.; Jonsen, Ian D.</t>
  </si>
  <si>
    <t>Incorrect Likelihood Methods Were Used to Infer Scaling Laws of Marine Predator Search Behaviour</t>
  </si>
  <si>
    <t>LEVY WALKS EVOLVE; STATE-SPACE MODELS; SAMPLING RATE; MOVEMENT PATTERNS; DISTRIBUTIONS; MISIDENTIFICATION</t>
  </si>
  <si>
    <t>Background: Ecologists are collecting extensive data concerning movements of animals in marine ecosystems. Such data need to be analysed with valid statistical methods to yield meaningful conclusions. Principal Findings: We demonstrate methodological issues in two recent studies that reached similar conclusions concerning movements of marine animals (Nature 451:1098; Science 332:1551). The first study analysed vertical movement data to conclude that diverse marine predators (Atlantic cod, basking sharks, bigeye tuna, leatherback turtles and Magellanic penguins) exhibited Levy-walk-like behaviour, close to a hypothesised optimal foraging strategy. By reproducing the original results for the bigeye tuna data, we show that the likelihood of tested models was calculated from residuals of regression fits (an incorrect method), rather than from the likelihood equations of the actual probability distributions being tested. This resulted in erroneous Akaike Information Criteria, and the testing of models that do not correspond to valid probability distributions. We demonstrate how this led to overwhelming support for a model that has no biological justification and that is statistically spurious because its probability density function goes negative. Re-analysis of the bigeye tuna data, using standard likelihood methods, overturns the original result and conclusion for that data set. The second study observed Levy walk movement patterns by mussels. We demonstrate several issues concerning the likelihood calculations (including the aforementioned residuals issue). Re-analysis of the data rejects the original Levy walk conclusion. Conclusions: We consequently question the claimed existence of scaling laws of the search behaviour of marine predators and mussels, since such conclusions were reached using incorrect methods. We discourage the suggested potential use of Levy-like walks when modelling consequences of fishing and climate change, and caution that any resulting advice to managers of marine ecosystems would be problematic. For reproducibility and future work we provide R source code for all calculations.</t>
  </si>
  <si>
    <t>[Edwards, Andrew M.] Fisheries &amp; Oceans Canada, Pacific Biol Stn, Marine Ecosyst &amp; Aquaculture Div, Nanaimo, BC V9R 5K6, Canada; [Freeman, Mervyn P.] British Antarctic Survey, Cambridge CB3 0ET, England; [Breed, Greg A.] Univ Calif Santa Cruz, Long Marine Lab, Santa Cruz, CA 95064 USA; [Breed, Greg A.; Jonsen, Ian D.] Dalhousie Univ, Dept Biol, Halifax, NS, Canada; [Breed, Greg A.] Harvard Univ, Harvard Forest, Petersham, MA USA; [Jonsen, Ian D.] Fisheries &amp; Oceans Canada, Bedford Inst Oceanog, Populat Ecol Div, Dartmouth, NS B2Y 4A2, Canada</t>
  </si>
  <si>
    <t>Fisheries &amp; Oceans Canada; UK Research &amp; Innovation (UKRI); Natural Environment Research Council (NERC); NERC British Antarctic Survey; University of California System; University of California Santa Cruz; Dalhousie University; Harvard University; Fisheries &amp; Oceans Canada; Bedford Institute of Oceanography</t>
  </si>
  <si>
    <t>Edwards, AM (corresponding author), Fisheries &amp; Oceans Canada, Pacific Biol Stn, Marine Ecosyst &amp; Aquaculture Div, Nanaimo, BC V9R 5K6, Canada.</t>
  </si>
  <si>
    <t>Andrew.Edwards@dfo-mpo.gc.ca</t>
  </si>
  <si>
    <t>edwards, andrew m/E-6900-2010; Freeman, Mervyn/E-5687-2019</t>
  </si>
  <si>
    <t>Jonsen, Ian/0000-0001-5423-6076; Freeman, Mervyn/0000-0002-8653-8279</t>
  </si>
  <si>
    <t>Fisheries and Oceans Canada; Natural Environment Research Council; Future of Marine Animal Populations (FMAP) project, part of the Sloan Foundation's Census of Marine Life; Natural Environment Research Council [bas0100026] Funding Source: researchfish; NERC [bas0100026] Funding Source: UKRI</t>
  </si>
  <si>
    <t>Fisheries and Oceans Canada; Natural Environment Research Council(UK Research &amp; Innovation (UKRI)Natural Environment Research Council (NERC)); Future of Marine Animal Populations (FMAP) project, part of the Sloan Foundation's Census of Marine Life; Natural Environment Research Council(UK Research &amp; Innovation (UKRI)Natural Environment Research Council (NERC)); NERC(UK Research &amp; Innovation (UKRI)Natural Environment Research Council (NERC))</t>
  </si>
  <si>
    <t>This work was supported by Fisheries and Oceans Canada (AME and IDJ), the Natural Environment Research Council (MPF), and the Future of Marine Animal Populations (FMAP) project, part of the Sloan Foundation's Census of Marine Life (GAB and IDJ). The funders had no role in study design, data collection and analysis, decision to publish, or preparation of the manuscript.</t>
  </si>
  <si>
    <t>e45174</t>
  </si>
  <si>
    <t>10.1371/journal.pone.0045174</t>
  </si>
  <si>
    <t>020QD</t>
  </si>
  <si>
    <t>Green Published, gold, Green Submitted, Green Accepted</t>
  </si>
  <si>
    <t>WOS:000309827300008</t>
  </si>
  <si>
    <t>Iizuka, Y; Uemura, R; Motoyama, H; Suzuki, T; Miyake, T; Hirabayashi, M; Hondoh, T</t>
  </si>
  <si>
    <t>Iizuka, Yoshinori; Uemura, Ryu; Motoyama, Hideaki; Suzuki, Toshitaka; Miyake, Takayuki; Hirabayashi, Motohiro; Hondoh, Takeo</t>
  </si>
  <si>
    <t>Sulphate-climate coupling over the past 300,000 years in inland Antarctica</t>
  </si>
  <si>
    <t>ICE-CORE; SEA-SALT; OCEANIC PHYTOPLANKTON; AEROSOL; SULFUR; DUST; PERIOD; CYCLE</t>
  </si>
  <si>
    <t>Sulphate aerosols, particularly micrometre-sized particles of sulphate salt and sulphate-adhered dust, can act as cloud condensation nuclei, leading to increased solar scattering that cools Earth's climate(1,2). Evidence for such a coupling may lie in the sulphate record from polar ice cores, but previous analyses of melted ice-core samples have provided only sulphate ion concentrations, which may be due to sulphuric acid(3). Here we present profiles of sulphate salt and sulphate-adhered dust fluxes over the past 300,000 years from the Dome Fuji ice core in inland Antarctica. Our results show a nearly constant flux of sulphate-adhered dust through glacial and interglacial periods despite the large increases in total dust flux during glacial maxima(4). The sulphate salt flux, however, correlates inversely with temperature, suggesting a climatic coupling between particulate sulphur and temperature. For example, the total sulphate salt flux during the Last Glacial Maximum averages 5.78 mg m(-2) yr(-1), which is almost twice the Holocene value. Although it is based on a modern analogue with considerable uncertainties when applied to the ice-core record, this analysis indicates that the glacial-to-interglacial decrease in sulphate would lessen the aerosol indirect effects on cloud lifetime and albedo, leading to an Antarctic warming of 0.1 to 5 kelvin.</t>
  </si>
  <si>
    <t>[Iizuka, Yoshinori; Hondoh, Takeo] Hokkaido Univ, Inst Low Temp Sci, Sapporo, Hokkaido 0600819, Japan; [Uemura, Ryu] Univ Ryukyus, Fac Sci, Dept Chem Biol &amp; Marine Sci, Okinawa 9030213, Japan; [Motoyama, Hideaki; Miyake, Takayuki; Hirabayashi, Motohiro] Natl Inst Polar Res, Tokyo 1908518, Japan; [Suzuki, Toshitaka] Yamagata Univ, Dept Earth &amp; Environm Sci, Fac Sci, Yamagata 9908560, Japan</t>
  </si>
  <si>
    <t>Hokkaido University; University of the Ryukyus; Research Organization of Information &amp; Systems (ROIS); National Institute of Polar Research (NIPR) - Japan; Yamagata University</t>
  </si>
  <si>
    <t>Iizuka, Y (corresponding author), Hokkaido Univ, Inst Low Temp Sci, Sapporo, Hokkaido 0600819, Japan.</t>
  </si>
  <si>
    <t>iizuka@lowtem.hokudai.ac.jp</t>
  </si>
  <si>
    <t>Uemura, Ryu/C-9793-2012; Uemura, Ryu/AGR-0677-2022; HONDOH, Takeo/E-7551-2011; Iizuka, Yoshinori/D-9112-2012</t>
  </si>
  <si>
    <t>Uemura, Ryu/0000-0002-4236-0085; Uemura, Ryu/0000-0002-4236-0085; HONDOH, Takeo/0000-0003-4129-022X; Iizuka, Yoshinori/0000-0001-7241-6062</t>
  </si>
  <si>
    <t>Ministry of Education, Culture, Sports, Science and Technology(MEXT) [14GS0202, 23680001, 21221002]; Japan Society for the Promotion of Science (JSPS); Institute of Low Temperature Science, Hokkaido University; Grants-in-Aid for Scientific Research [21221002, 23681001, 23680001] Funding Source: KAKEN</t>
  </si>
  <si>
    <t>Ministry of Education, Culture, Sports, Science and Technology(MEXT)(Ministry of Education, Culture, Sports, Science and Technology, Japan (MEXT)); Japan Society for the Promotion of Science (JSPS)(Ministry of Education, Culture, Sports, Science and Technology, Japan (MEXT)Japan Society for the Promotion of Science); Institute of Low Temperature Science, Hokkaido University; Grants-in-Aid for Scientific Research(Ministry of Education, Culture, Sports, Science and Technology, Japan (MEXT)Japan Society for the Promotion of ScienceGrants-in-Aid for Scientific Research (KAKENHI))</t>
  </si>
  <si>
    <t>We thank all members of the JARE and the Ice Core Consortium for work at Dome Fuji; T. Takemura, R. Kudo, Y. Fujiyoshi and T. Aoki for comments on radiative forcing of aerosols; H. Ohno and T. Sakurai for comments on microparticles in the Dome Fuji ice core; K. Goto-Azuma, T. Kuramoto and H. Yamada for data management of ion and dust concentrations in the Dome Fuji ice core; and Y. Fujii for data on ion concentrations in the Site J firn core, used to calculate sulphate salts. Y.I. thanks M. Furusaki for help with EDS analyses and J. Nelson for help with revising the manuscript. This study was supported by Creative Scientific Research (grant number 14GS0202), Young Scientists (A) (grant number 23680001) and Scientific Research (S) (grant number 21221002), provided by the Ministry of Education, Culture, Sports, Science and Technology(MEXT), the Japan Society for the Promotion of Science (JSPS) and the Grant for Joint Research Program of the Institute of Low Temperature Science, Hokkaido University.</t>
  </si>
  <si>
    <t>OCT 4</t>
  </si>
  <si>
    <t>10.1038/nature11359</t>
  </si>
  <si>
    <t>015LG</t>
  </si>
  <si>
    <t>WOS:000309446800036</t>
  </si>
  <si>
    <t>Golledge, NR; Fogwill, CJ; Mackintosh, AN; Buckley, KM</t>
  </si>
  <si>
    <t>Golledge, Nicholas R.; Fogwill, Christopher J.; Mackintosh, Andrew N.; Buckley, Kevin M.</t>
  </si>
  <si>
    <t>Dynamics of the last glacial maximum Antarctic ice-sheet and its response to ocean forcing</t>
  </si>
  <si>
    <t>deglaciation; ice-sheet modeling; longitudinal coupling; enhanced flow</t>
  </si>
  <si>
    <t>SUBSEQUENT RETREAT HISTORY; AMUNDSEN SEA EMBAYMENT; WEST ANTARCTICA; PINE ISLAND; ROSS SEA; PART 1; STREAM; GREENLAND; COLLAPSE; SHELF</t>
  </si>
  <si>
    <t>Retreat of the Last Glacial Maximum (LGM) Antarctic ice sheet is thought to have been initiated by changes in ocean heat and eustatic sea level propagated from the Northern Hemisphere (NH) as northern ice sheets melted under rising atmospheric temperatures. The extent to which spatial variability in ice dynamics may have modulated the resultant pattern and timing of decay of the Antarctic ice sheet has so far received little attention, however, despite the growing recognition that dynamic effects account for a sizeable proportion of mass-balance changes observed in modern ice sheets. Here we use a 5-km resolution whole-continent numerical ice-sheet model to assess whether differences in the mechanisms governing ice sheet flow could account for discrepancies between geochronological studies in different parts of the continent. We first simulate the geometry and flow characteristics of an equilibrium LGM ice sheet, using pan-Antarctic terrestrial and marine geological data for constraint, then perturb the system with sea level and ocean heat flux increases to investigate ice-sheet vulnerability. Our results identify that fast-flowing glaciers in the eastern Weddell Sea, the Amundsen Sea, central Ross Sea, and in the Amery Trough respond most rapidly to ocean forcings, in agreement with empirical data. Most significantly, we find that although ocean warming and sea-level rise bring about mainly localized glacier acceleration, concomitant drawdown of ice from neighboring areas leads to widespread thinning of entire glacier catchments -a discovery that has important ramifications for the dynamic changes presently being observed in modern ice sheets.</t>
  </si>
  <si>
    <t>[Golledge, Nicholas R.; Mackintosh, Andrew N.] Victoria Univ Wellington, Antarctic Res Ctr, Wellington 6140, New Zealand; [Fogwill, Christopher J.] Univ New S Wales, Climate Change Res Ctr, Sydney, NSW 2052, Australia; [Buckley, Kevin M.] Victoria Univ Wellington, Sch Engn &amp; Comp Sci, Wellington 6140, New Zealand</t>
  </si>
  <si>
    <t>Victoria University Wellington; University of New South Wales Sydney; Victoria University Wellington</t>
  </si>
  <si>
    <t>Golledge, NR (corresponding author), Victoria Univ Wellington, Antarctic Res Ctr, Wellington 6140, New Zealand.</t>
  </si>
  <si>
    <t>nick.golledge@vuw.ac.nz</t>
  </si>
  <si>
    <t>Fogwill, Christopher/HPF-1150-2023; Fogwill, Chris/AAW-3502-2021</t>
  </si>
  <si>
    <t>Fogwill, Chris/0000-0002-6471-1106; Golledge, Nicholas/0000-0001-7676-8970; Mackintosh, Andrew/0000-0002-6430-4711</t>
  </si>
  <si>
    <t>Victoria University Foundation Grant, Antarctic Research Centre Climate and Ice-Sheet Modelling; Australian Research Council [FL100100195, FT120100004]; Australian Research Council [FT120100004, FL100100195] Funding Source: Australian Research Council</t>
  </si>
  <si>
    <t>Victoria University Foundation Grant, Antarctic Research Centre Climate and Ice-Sheet Modelling; Australian Research Council(Australian Research Council); Australian Research Council(Australian Research Council)</t>
  </si>
  <si>
    <t>We are grateful to Ed Bueler, Constantine Khroulev, and Andy Aschwanden for help with the Parallel Ice Sheet Model, and to Tony Dale and Vladimir Mencl (University of Canterbury) for access to and assistance with the Bluefern Supercomputer. Tim Naish, Peter Barrett, Rob McKay and two anonymous reviewers are gratefully acknowledged for comments on previous versions of this manuscript. N.R.G. and A.N.M. acknowledge financial support from Victoria University Foundation Grant, Antarctic Research Centre Climate and Ice-Sheet Modelling. C.J.F. is supported by Australian Research Council Fellowships FL100100195 and FT120100004.</t>
  </si>
  <si>
    <t>OCT 2</t>
  </si>
  <si>
    <t>10.1073/pnas.1205385109</t>
  </si>
  <si>
    <t>017SN</t>
  </si>
  <si>
    <t>WOS:000309611400028</t>
  </si>
  <si>
    <t>Premkumar, M; Sable, T</t>
  </si>
  <si>
    <t>Premkumar, M.; Sable, T.</t>
  </si>
  <si>
    <t>Obesity, dyslipidemia and cholesterol gallstone disease during one year of Antarctic residence</t>
  </si>
  <si>
    <t>RURAL AND REMOTE HEALTH</t>
  </si>
  <si>
    <t>Antarctica; cholesterol; dyslipidemia; gallstones; hypertriglyceridemia; obesity; ursodeoxycholic acid (UDCA)</t>
  </si>
  <si>
    <t>GALLBLADDER-DISEASE; FEATURES; RISK</t>
  </si>
  <si>
    <t>Introduction: Age, gender, ethnicity, geographic location, diet, obesity, diabetes mellitus and dyslipidemia are known risk factors for development of gallstone disease (GD). We describe the development of four cases of symptomatic GD including a case of acute cholecystitis in Indian Antarctic expedition members during 1 year of polar residence and their response to 6 months of ursodeoxycholic acid (UDCA) therapy. Methods: Twenty subjects were evaluated at baseline and at serial intervals using clinical history, dietary assessment, anthropometry, blood investigations and ultrasonography for development of gallstone disease. Ursodeoxycholic acid and lipid lowering agents were prescribed as indicated and response to therapy measured over a period of 1 year in Antarctica. Results: Four cases of cholesterol GD and two cases of biliary sludge were detected after 4 months. Dyslipidemia including hypertriglyceridemia in four of 20 cases (20%), hypercholesterolemia in nine of 20 cases (45%) and low high density lipoprotein (HDL) cholesterol in six of 20 cases (30%) was seen to develop after 3 months of polar residence. Impaired glucose tolerance was found in three of 20 cases (15%), two of whom developed gallstones. Ursodeoxycholic acid therapy completely dissolved gallstones in three cases and led to partial resolution in one case at 6 months. A trial of lipid lowering agents and 1 month of UDCA led to resolution of biliary sludge in both cases. Conclusion: Obesity, dyslipidemia, impaired glucose tolerance and high fat and caloric intake were found to increase the risk of developing cholesterol GD during the Antarctic expedition. Ursodeoxycholic acid therapy was found to be efficacious in dissolution of gallstones and prevention of formation of larger stones in cases with gall bladder sludge. The effect of geographical factors such as exposure to colder environments on the development of GD needs further research.</t>
  </si>
  <si>
    <t>[Premkumar, M.; Sable, T.] Natl Ctr Antarctic &amp; Ocean Res, Headland Sada, Goa, India</t>
  </si>
  <si>
    <t>Premkumar, M (corresponding author), Natl Ctr Antarctic &amp; Ocean Res, Headland Sada, Goa, India.</t>
  </si>
  <si>
    <t>Premkumar, Madhumita/AAS-5411-2021</t>
  </si>
  <si>
    <t>Premkumar, Madhumita/0000-0003-2961-4148</t>
  </si>
  <si>
    <t>National Centre for Antarctic and Ocean Research (NCAOR), Headland Sada, Goa, India [24/2012]</t>
  </si>
  <si>
    <t>National Centre for Antarctic and Ocean Research (NCAOR), Headland Sada, Goa, India</t>
  </si>
  <si>
    <t>The authors thank the team members of the 30th Indian Scientific expedition to Antarctica. Mr Sunil Singh, Senior Research Fellow, of the National Physical Laboratory, New Delhi, India provided technical assistance for data entry and software modification. The project was approved and supported by the National Centre for Antarctic and Ocean Research (NCAOR), Headland Sada, Goa, India. Number 24/2012.</t>
  </si>
  <si>
    <t>AUSTRALIAN RURAL HEALTH EDUC NETWORK</t>
  </si>
  <si>
    <t>DEAKIN WEST</t>
  </si>
  <si>
    <t>PO BOX 242, DEAKIN WEST, ACT 2600, AUSTRALIA</t>
  </si>
  <si>
    <t>1445-6354</t>
  </si>
  <si>
    <t>RURAL REMOTE HEALTH</t>
  </si>
  <si>
    <t>Rural Remote Health</t>
  </si>
  <si>
    <t>OCT-DEC</t>
  </si>
  <si>
    <t>Public, Environmental &amp; Occupational Health</t>
  </si>
  <si>
    <t>137CX</t>
  </si>
  <si>
    <t>WOS:000318413700028</t>
  </si>
  <si>
    <t>Singh, SM; Yadav, LS; Singh, PN; Hepat, R; Sharma, R; Singh, SK</t>
  </si>
  <si>
    <t>Singh, Shiv M.; Yadav, Lal S.; Singh, Paras N.; Hepat, Rahul; Sharma, Rahul; Singh, Sanjay K.</t>
  </si>
  <si>
    <t>Arthrinium rasikravindrii sp nov from Svalbard, Norway</t>
  </si>
  <si>
    <t>MYCOTAXON</t>
  </si>
  <si>
    <t>anamorphic fungi; Ny-Alesund; phylogeny; taxonomy</t>
  </si>
  <si>
    <t>Arthrinium rasikravindrii sp. nov. was isolated from soil collected in the arctic archipelago Svalbard, Norway. The new species, distinguished by morphological and in vitro cultural characters, forms dark brown lenticular conidia with hyaline equatorial germ slits together with balloon-shaped, anomalous conidia uncommon in the morphologically similar A. phaeospermum. Additionally, internal transcribed spacer (ITS) rDNA sequence analyses support this species as distinct within Arthrinium. Isolates previously identified as A. phaeospermum from China and Japan are re-determined as A. rasikravindrii.</t>
  </si>
  <si>
    <t>[Singh, Shiv M.] Natl Ctr Antarctic &amp; Ocean Res, Vasco Da Gama, Goa, India; [Yadav, Lal S.; Singh, Paras N.; Hepat, Rahul; Sharma, Rahul; Singh, Sanjay K.] MACS Agharkar Res Inst, Natl Facil Culture Collect Fungi, Pune, Maharashtra, India</t>
  </si>
  <si>
    <t>Ministry of Earth Sciences (MoES) - India; National Centre for Polar and Ocean Research (NCPOR); Department of Science &amp; Technology (India); Agharkar Research Institute (ARI)</t>
  </si>
  <si>
    <t>Singh, SK (corresponding author), MACS Agharkar Res Inst, Natl Facil Culture Collect Fungi, GG Agarkar Rd, Pune, Maharashtra, India.</t>
  </si>
  <si>
    <t>singhsksingh@gmail.com</t>
  </si>
  <si>
    <t>SINGH, SANJAY K/HIR-6999-2022; Singh, Sanjay Prithviraj/IQV-1492-2023</t>
  </si>
  <si>
    <t>Singh, Sanjay Prithviraj/0000-0001-5043-8762</t>
  </si>
  <si>
    <t>Department of Science and Technology (DST), Govt. of India, New Delhi [SP/SO/PS-55/2005]</t>
  </si>
  <si>
    <t>Department of Science and Technology (DST), Govt. of India, New Delhi(Department of Science &amp; Technology (India))</t>
  </si>
  <si>
    <t>We are indebted to Dr. Amy Rossman (USDA-ARS, Beltsville, USA) and Dr. Rafael F. Castaneda Ruiz (Instituto de Investigaciones Fundamentales en Agricultura Tropical 'Alejandro de Humboldt (INIFAT), Santiago de Las Vegas, C. Habana, Cuba) for reviewing the manuscript. We are grateful to Curators of NITE Biological Resource Centre (NBRC, Chiba, Japan) and Genetic Resource Centre (National Institute of Agrobiological Sciences (NIAS), Tsukuba, Japan) for kindly providing fungal cultures for study. We are highly grateful to Dr. Rasik Ravindra (Director, National Centre for Antarctic &amp; Ocean Research, Goa (contribution no. 32/2012), and Director, MACS' Agharkar Research Institute, Pune, India) for encouragement and facilities. The authors are also thankful to Department of Science and Technology (DST), Govt. of India, New Delhi) for providing financial support for setting up a National Facility for Culture Collection of Fungi (No. SP/SO/PS-55/2005) at MACS'ARI.</t>
  </si>
  <si>
    <t>MYCOTAXON LTD</t>
  </si>
  <si>
    <t>ITHACA</t>
  </si>
  <si>
    <t>PO BOX 264, ITHACA, NY 14851-0264 USA</t>
  </si>
  <si>
    <t>0093-4666</t>
  </si>
  <si>
    <t>Mycotaxon</t>
  </si>
  <si>
    <t>10.5248/122.449</t>
  </si>
  <si>
    <t>Mycology</t>
  </si>
  <si>
    <t>118BS</t>
  </si>
  <si>
    <t>WOS:000316998000050</t>
  </si>
  <si>
    <t>Goelzer, H; Huybrechts, P; Raper, SCB; Loutre, MF; Goosse, H; Fichefet, T</t>
  </si>
  <si>
    <t>Goelzer, H.; Huybrechts, P.; Raper, S. C. B.; Loutre, M-F; Goosse, H.; Fichefet, T.</t>
  </si>
  <si>
    <t>Millennial total sea-level commitments projected with the Earth system model of intermediate complexity LOVECLIM</t>
  </si>
  <si>
    <t>ENVIRONMENTAL RESEARCH LETTERS</t>
  </si>
  <si>
    <t>sea-level change; climate change; ice sheets; glaciers; Earth system models</t>
  </si>
  <si>
    <t>CLIMATE-CHANGE; ICE-SHEET; GREENLAND; OCEAN; SENSITIVITY; GLACIERS; AREA; RISE</t>
  </si>
  <si>
    <t>Sea-level is expected to rise for a long time to come, even after stabilization of human-induced climatic warming. Here we use simulations with the Earth system model of intermediate complexity LOVECLIM to project sea-level changes over the third millennium forced with atmospheric greenhouse gas concentrations that stabilize by either 2000 or 2100 AD. The model includes 3D thermomechanical models of the Greenland and Antarctic ice sheets coupled to an atmosphere and an ocean model, a global glacier melt algorithm to account for the response of mountain glaciers and ice caps, and a procedure for assessing oceanic thermal expansion from oceanic heat uptake. Four climate change scenarios are considered to determine sea-level commitments. These assume a 21st century increase in greenhouse gases according to SRES scenarios B1, A1B and A2 with a stabilization of the atmospheric composition after the year 2100. One additional scenario assumes 1000 years of constant atmospheric composition from the year 2000 onwards. For our preferred model version, we find an already committed total sea-level rise of 1.1 m by 3000 AD. In experiments with greenhouse gas concentration stabilization at 2100 AD, the total sea-level rise ranges between 2.1 m (B1), 4.1 m (A1B) and 6.8 m (A2). In all scenarios, more than half of this amount arises from the Greenland ice sheet, thermal expansion is the second largest contributor, and the contribution of glaciers and ice caps is small as it is limited by the available ice volume of maximally 25 cm of sea-level equivalent. Additionally, we analysed the sensitivity of the sea-level contributions from an ensemble of nine different model versions that cover a large range of climate sensitivity realized by model parameter variations of the atmosphere-ocean model. Selected temperature indices are found to be good predictors for sea-level contributions from the different components of land ice and oceanic thermal expansion after 1000 years.</t>
  </si>
  <si>
    <t>[Goelzer, H.; Huybrechts, P.] Vrije Univ Brussel, Dept Geog, B-1050 Brussels, Belgium; [Raper, S. C. B.] Manchester Metropolitan Univ, Dept Environm &amp; Geog Sci, Manchester M15 6BH, Lancs, England; [Loutre, M-F; Goosse, H.; Fichefet, T.] Catholic Univ Louvain, Earth &amp; Life Inst, Georges Lemaitre Ctr Earth &amp; Climate Res TECLIM, B-1348 Louvain, Belgium</t>
  </si>
  <si>
    <t>Vrije Universiteit Brussel; Manchester Metropolitan University; Universite Catholique Louvain</t>
  </si>
  <si>
    <t>Goelzer, H (corresponding author), Vrije Univ Brussel, Dept Geog, Pl Laan 2, B-1050 Brussels, Belgium.</t>
  </si>
  <si>
    <t>phuybrec@vub.ac.be</t>
  </si>
  <si>
    <t>Goelzer, Heiko/M-2367-2016; Huybrechts, Philippe/J-5278-2013; Loutre, Marie-France/L-3594-2018</t>
  </si>
  <si>
    <t>Goelzer, Heiko/0000-0002-5878-9599; Huybrechts, Philippe/0000-0003-1406-0525; Loutre, Marie-France/0000-0001-6944-4038</t>
  </si>
  <si>
    <t>Belgian Federal Public Planning Service Science Policy Research Programme on Science for a Sustainable Development [SD/CS/01A, SD/CS/06A]</t>
  </si>
  <si>
    <t>Belgian Federal Public Planning Service Science Policy Research Programme on Science for a Sustainable Development</t>
  </si>
  <si>
    <t>We acknowledge support through the Belgian Federal Public Planning Service Science Policy Research Programme on Science for a Sustainable Development under Contracts SD/CS/01A (ASTER) and SD/CS/06A (iCLIPS). Computer time was partly made available by UCL (Fonds speciaux de recherche) and FNRS (Fonds de la recherche fondamentale collective) FRFC No 2.4502.05: 'Simulation numerique. Application en physique de l'etat solide, oceanographie et dynamique des fluides'. We also thank the CISM-team.</t>
  </si>
  <si>
    <t>IOP Publishing Ltd</t>
  </si>
  <si>
    <t>BRISTOL</t>
  </si>
  <si>
    <t>TEMPLE CIRCUS, TEMPLE WAY, BRISTOL BS1 6BE, ENGLAND</t>
  </si>
  <si>
    <t>1748-9326</t>
  </si>
  <si>
    <t>ENVIRON RES LETT</t>
  </si>
  <si>
    <t>Environ. Res. Lett.</t>
  </si>
  <si>
    <t>10.1088/1748-9326/7/4/045401</t>
  </si>
  <si>
    <t>Environmental Sciences; Meteorology &amp; Atmospheric Sciences</t>
  </si>
  <si>
    <t>059IA</t>
  </si>
  <si>
    <t>WOS:000312696400054</t>
  </si>
  <si>
    <t>Jiménez, S; Domingo, A; Abreu, M; Brazeiro, A</t>
  </si>
  <si>
    <t>Jimenez, Sebastian; Domingo, Andres; Abreu, Martin; Brazeiro, Alejandro</t>
  </si>
  <si>
    <t>Risk assessment and relative impact of Uruguayan pelagic longliners on seabirds</t>
  </si>
  <si>
    <t>AQUATIC LIVING RESOURCES</t>
  </si>
  <si>
    <t>Bycatch; Ecological Risk Assessment; Demographic invariant method; Fishery Management; Albatross; Petrel; South West Atlantic</t>
  </si>
  <si>
    <t>WHITE-CHINNED PETRELS; BLACK-BROWED ALBATROSSES; SEXUAL SIZE-DIMORPHISM; LONG-LINE FISHERIES; GIANT-PETRELS; PROCELLARIA-AEQUINOCTIALIS; MACRONECTES-GIGANTEUS; BREEDING BIOLOGY; DIOMEDEA-EXULANS; POPULATION-SIZE</t>
  </si>
  <si>
    <t>Bycatch in longline fisheries is considered one of the main threats for the conservation of albatrosses and petrels worldwide. However, the relative impact of fisheries on all the affected populations or species still remains poorly understood. This paper applied a Productivity and Susceptibility Analysis (PSA) and the concept of Potential Biological Removal Level (PBR) to assess the relative impact caused by the Uruguayan pelagic longline fishery on several populations. This two-step approach allowed us to obtain an objective view of the relative impact of the Uruguayan pelagic longline fleet on most of the populations or species of albatrosses and petrels with high association with this fishery. Of fifteen species considered, fourteen were finally assessed and a ranking of risk derived. The concept of PBR was applied to the nine most at-risk species. The impact of fishing on populations could not be straightforwardly inferred from their bycatch rates. Results indicate that large albatrosses (Diomedea spp.) and Thalassarche chlororhynchos are more affected than some of the main species caught by the fishery (i.e. Thalassarche melanophrys and Procellaria aequinoctialis). Diomedea exulans from South Georgia is likely to be the population most affected by the Uruguayan fleet. This work should be seen as a case study of the fisheries operating in the southwestern Atlantic. The Uruguayan fleet within its operation area was responsible for only the 4.3% to 12.5% of the total annual effort deployed by the different fleets during 2004-2008. The combined impact of these fleets could be sufficiently high to account for many of the observed declines in the populations of D. exulans, D. dabbenena and T. chlororhynchos. However, the seabird bycatch numbers for most of the pelagic longline fleets that operate in the southwest Atlantic remain unknown. Applying mitigation measures to reduce the impact of pelagic longline fleets operating in this region should be considered a high priority.</t>
  </si>
  <si>
    <t>[Jimenez, Sebastian; Domingo, Andres; Abreu, Martin] Ctr Invest &amp; Conservac Marina CICMAR, Proyecto Albatros &amp; Petreles, Canelones 15008, Uruguay; [Jimenez, Sebastian; Domingo, Andres] Direcc Nacl Recursos Acuat, Montevideo 11200, Uruguay; [Jimenez, Sebastian; Brazeiro, Alejandro] Univ Republica, Fac Ciencias, Inst Ecol &amp; Ciencias Ambientales, Montevideo 11400, Uruguay</t>
  </si>
  <si>
    <t>Universidad de la Republica, Uruguay</t>
  </si>
  <si>
    <t>Jiménez, S (corresponding author), Ctr Invest &amp; Conservac Marina CICMAR, Proyecto Albatros &amp; Petreles, Ave Giannattasio Km 30-5, Canelones 15008, Uruguay.</t>
  </si>
  <si>
    <t>jimenezpsebastian@gmail.com</t>
  </si>
  <si>
    <t>Jimenez, Sebastian/JMC-9419-2023; Jimenez, Sebastian Jimenez S/K-6168-2017</t>
  </si>
  <si>
    <t>Jimenez, Sebastian/0000-0003-3945-4619; Brazeiro, Alejandro/0000-0001-8352-9900</t>
  </si>
  <si>
    <t>(PAP): International Association of Antarctic Tour Operators (IAATO) [Birds Australia, and Birdlife International's Save the Albatross campaign]; Royal Society for the Protection of Birds (RSPB); BirdLife International</t>
  </si>
  <si>
    <t>The authors thank the boat owners of the Uruguayan fleet and their crews for their continued cooperation. This work was made possible by the Programa Nacional de Observadores de la Flota Atunera Uruguaya (PNOFA), Departamento de Recursos Pelagicos, Direccion Nacional de Recursos Acuaticos (DINARA). Most of the field work was undertaken during two main programs of the Proyecto Albatros y Petreles - Uruguay (PAP): International Association of Antarctic Tour Operators (IAATO) [Birds Australia, and Birdlife International's Save the Albatross campaign], funded the program Conservation of Albatrosses and Petrels in Uruguay, and Royal Society for the Protection of Birds (RSPB) and BirdLife International funded the program Albatross Task Force. S.J. received a Scholarship from Agencia Nacional de Investigacion e Innovacion (ANII). We thank Enric Cortes, Omar Defeo, Pablo Inchausti and Alvaro Soutullo for their comments on the manuscript. Special thanks go to Philip Miller for his valuable cooperation with ICCAT fishing effort data processing and interpretation. Our recognition goes to the anonymous referees whose comments and recommendations helped us to improve this work.</t>
  </si>
  <si>
    <t>EDP SCIENCES S A</t>
  </si>
  <si>
    <t>LES ULIS CEDEX A</t>
  </si>
  <si>
    <t>17, AVE DU HOGGAR, PA COURTABOEUF, BP 112, F-91944 LES ULIS CEDEX A, FRANCE</t>
  </si>
  <si>
    <t>0990-7440</t>
  </si>
  <si>
    <t>1765-2952</t>
  </si>
  <si>
    <t>AQUAT LIVING RESOUR</t>
  </si>
  <si>
    <t>Aquat. Living Resour.</t>
  </si>
  <si>
    <t>OCT</t>
  </si>
  <si>
    <t>10.1051/alr/2012026</t>
  </si>
  <si>
    <t>Fisheries; Marine &amp; Freshwater Biology</t>
  </si>
  <si>
    <t>058KD</t>
  </si>
  <si>
    <t>WOS:000312631600001</t>
  </si>
  <si>
    <t>Majewski, W; Wellner, JS; Szczucinski, W; Anderson, JB</t>
  </si>
  <si>
    <t>Majewski, Wojciech; Wellner, Julia S.; Szczucinski, Witold; Anderson, John B.</t>
  </si>
  <si>
    <t>Holocene oceanographic and glacial changes recorded in Maxwell Bay, West Antarctica</t>
  </si>
  <si>
    <t>West Antarctica; Holocene; sediments; foraminiferal assemblages; glacial influence</t>
  </si>
  <si>
    <t>KING-GEORGE-ISLAND; SOUTH SHETLAND ISLANDS; BENTHIC FORAMINIFERA; BRANSFIELD BASIN; CLIMATE-CHANGE; GLACIOMARINE SEDIMENTATION; ADMIRALTY BAY; MARIAN COVE; ENVIRONMENTAL-CHANGES; PENINSULA REGION</t>
  </si>
  <si>
    <t>Three Holocene core sections from Maxwell Bay, South Shetland Islands, West Antarctica are investigated, using MS, grain size, TOC, foraminifera, delta O-18 and delta C-13, C-14, and Pb-210, in order to examine Holocene oceanographic, glacial and climatic changes in the region. They come from 190, 221, and 333 m water-depths and the bay margin-proximal locations, complementing earlier studies from the deep central part. The three records vary between locations and reflect combined marine and terrigenous influence from the open ocean and surrounding islands, respectively. The longest and best dated composite section comes from the inner part of the bay (core JTC/JPC-17) and extends back to 6.3 cal kyr BP, close to the termination of the Holocene Climatic Optimum. A combination of dating problems and mixed foraminiferal assemblages prevented reliable interpretation of core JPC-15 from the outer part of the bay. Core JPC-16, collected from the inner bay near the inlet between King George and Nelson Islands, revealed repeated highs in planktonic Neogloboquadrina pachyderma occurrence during last 3000 yr. These highs are interpreted as indicating periods of decreased meltwater flow into the bay, and thus greater influence of open-marine surface-waters. Core JTC/JPC-17, located closest to King George Island and the Collins Ice Cap, records increased glacial conditions at similar to 2000 cal yr BP. This event is recorded by turbidite deposition at core site JPC-16. Major components of the benthic foraminiferal assemblage indicate decreasing tolerance to near-glacier or near-shore conditions, however, local climate variability appears to have overall little impact on benthic foraminiferal biota. Thus, it is unlikely that, in similar settings, recent warming would be strongly manifest as changes in benthic foraminiferal communities. Stable isotopic analysis is based on Cassidulinoides parkerianus and Globocassidulina biora. Subtle decrease in delta O-18 at similar to 3500 cal yr BP, followed by episodic increases at similar to 1000 cal yr BP and in the youngest part of the record, appear to correlate with the period prior to the beginning of the Neoglacial, with Medieval Warm Period, and with post Little Ice Age warming, respectively. The latest event is also marked by a significant increase in sediment accumulation rate in the second half of the 20th century. (C) 2012 Elsevier B.V. All rights reserved.</t>
  </si>
  <si>
    <t>[Majewski, Wojciech] Polish Acad Sci, Inst Paleobiol, PL-00818 Warsaw, Poland; [Wellner, Julia S.] Univ Houston, Houston, TX USA; [Szczucinski, Witold] Adam Mickiewicz Univ, Inst Geol, PL-61606 Poznan, Poland; [Anderson, John B.] Rice Univ, Dept Earth Sci, Houston, TX 77251 USA</t>
  </si>
  <si>
    <t>Polish Academy of Sciences; Institute of Paleobiology of the Polish Academy of Sciences; University of Houston System; University of Houston; Adam Mickiewicz University; Rice University</t>
  </si>
  <si>
    <t>Majewski, W (corresponding author), Polish Acad Sci, Inst Paleobiol, Twarda 51-55, PL-00818 Warsaw, Poland.</t>
  </si>
  <si>
    <t>wmaj@twarda.pan.pl</t>
  </si>
  <si>
    <t>Anderson, John/B-1011-2012; Szczuciński, Witold/A-3612-2008; Majewski, Wojciech/D-9255-2017</t>
  </si>
  <si>
    <t>Szczuciński, Witold/0000-0003-2466-2263; Majewski, Wojciech/0000-0002-5407-1782</t>
  </si>
  <si>
    <t>Polish Ministry of Science and Higher Education [N307 115135]; National Science Foundation Office of Polar Programs [0338137]; Directorate For Geosciences; Office of Polar Programs (OPP) [0338137] Funding Source: National Science Foundation</t>
  </si>
  <si>
    <t>Polish Ministry of Science and Higher Education(Ministry of Science and Higher Education, Poland); National Science Foundation Office of Polar Programs(National Science Foundation (NSF)NSF - Directorate for Geosciences (GEO)); Directorate For Geosciences; Office of Polar Programs (OPP)(National Science Foundation (NSF)NSF - Directorate for Geosciences (GEO))</t>
  </si>
  <si>
    <t>This study was supported by a grant from the Polish Ministry of Science and Higher Education no. N307 115135 as well as the National Science Foundation Office of Polar Programs (grant number 0338137). Gratitude is extended to the crew and scientific party of the RV/IB Nathaniel B. Palmer from the NBP0502 and NBP0703 cruises. We would also like to thank the Florida State University Antarctic Research Facility curatorial staff for their assistance, as well as to Michal Woszczyk (Department of Quaternary Geology and Paleogeography, Adam Mickiewicz University, Poznan, Poland) for conducting geochemical analysis and Jason Curtis (University of Florida) for stable isotope analysis. Finally, we would like to thank Gerhard Kuhn and an anonymous reviewer, for their valuable comments that improved this manuscript.</t>
  </si>
  <si>
    <t>OCT 1</t>
  </si>
  <si>
    <t>10.1016/j.margeo.2012.08.009</t>
  </si>
  <si>
    <t>044ZG</t>
  </si>
  <si>
    <t>WOS:000311663100006</t>
  </si>
  <si>
    <t>Fenero, R; Thomas, E; Alegret, L; Molina, E</t>
  </si>
  <si>
    <t>Fenero, Raquel; Thomas, Ellen; Alegret, Laia; Molina, Eustoquio</t>
  </si>
  <si>
    <t>OLIGOCENE BENTHIC FORAMINIFERA FROM THE FUENTE CALDERA SECTION (SPAIN, WESTERN TETHYS): TAXONOMY AND PALEOENVIRONMENTAL INFERENCES</t>
  </si>
  <si>
    <t>JOURNAL OF FORAMINIFERAL RESEARCH</t>
  </si>
  <si>
    <t>SUPRAGENERIC CLASSIFICATION; ANTARCTIC GLACIATION; ORGANIC-CARBON; MIDDLE EOCENE; NEW-JERSEY; OCEAN; PALEOBATHYMETRY; TRANSITION; COREHOLES; TURNOVER</t>
  </si>
  <si>
    <t>The effects of Oligocene paleoclimatic and paleoenvironmental events at lower latitudes have not been well defined, and the timing and extent of a proposed warming period in the late Oligocene are not clear. The study of benthic foraminifera from the upper bathyal Fuente Caldera section in southern Spain may help reconstruct the Oligocene paleoenvironmental turnover in the western Tethys. Rupelian and Chattian sediments from Fuente Caldera consist of hemipelagic marls intercalated with turbiditic sandstones. Based on a closely spaced sample collection, we present a quantitative analysis of benthic foraminiferal assemblage changes, and a detailed taxonomic study of 19 of the most abundant and paleoenvironmentally important species, belonging to the asterigerinids, rosalinids and bolivinids. The Fuente Caldera sediments contain abundant reworked neritic foraminifera (asterigerinids, rosalinids, Cibicides spp.), including epiphytes and species that commonly bear symbionts or kleptochloroplasts from the photic zone, that may have been transported downslope by turbidity currents or attached to floating plant material. The high relative abundance of bolivinid taxa in the autochthonous assemblages suggests a high food supply, probably at least in part consisting of refractory organic matter supplied by downslope turbidity currents. The benthic foraminifera indicate that water temperatures were several degrees warmer than today, as inferred from the common occurrence of warm-water taxa such as Nodobolivinella jhingrani, Rectobolivina costifera or Tubulogenerina vicksburgensis. Nevertheless, further paleotemperature studies are needed to test our conclusion that warm conditions prevailed in this part of the western Tethys during the Oligocene, even during colder intervals (Oi-events).</t>
  </si>
  <si>
    <t>[Fenero, Raquel; Alegret, Laia; Molina, Eustoquio] Univ Zaragoza, Dept Ciencias Tierra, E-50009 Zaragoza, Spain; [Fenero, Raquel; Alegret, Laia; Molina, Eustoquio] Univ Zaragoza, Inst Univ Invest Ciencias Ambientales Aragon, E-50009 Zaragoza, Spain; [Fenero, Raquel] Univ Nacl Autonoma Mexico, Inst Geofis, Mexico City 04510, DF, Mexico; [Thomas, Ellen] Wesleyan Univ, Dept Earth &amp; Environm Sci, Middletown, CT 06459 USA; [Thomas, Ellen] Yale Univ, Dept Geol &amp; Geophys, New Haven, CT 06520 USA</t>
  </si>
  <si>
    <t>University of Zaragoza; University of Zaragoza; Universidad Nacional Autonoma de Mexico; Wesleyan University; Yale University</t>
  </si>
  <si>
    <t>Fenero, R (corresponding author), Univ Zaragoza, Dept Ciencias Tierra, Pedro Cerbuna 12, E-50009 Zaragoza, Spain.</t>
  </si>
  <si>
    <t>rfenero@unizar.es</t>
  </si>
  <si>
    <t>Molina, Eustoquio/B-4320-2008; Thomas, Ellen/JVO-1734-2024; Alegret, Laia/B-5420-2008</t>
  </si>
  <si>
    <t>Molina, Eustoquio/0000-0001-5660-1428; Thomas, Ellen/0000-0002-7141-9904; Alegret, Laia/0000-0002-8801-9544</t>
  </si>
  <si>
    <t>Spanish Ministry of Science and Technology, FEDER funds [CGL2007-63724/BTE, CGL2011-23077]; Dept. of Science, University of Zaragoza [E05]</t>
  </si>
  <si>
    <t>Spanish Ministry of Science and Technology, FEDER funds(Spanish Government); Dept. of Science, University of Zaragoza</t>
  </si>
  <si>
    <t>We are grateful to Miriam Katz, Kunio Kaiho, Paul Brenckle and an anonymous reviewer for thoughtful comments that improved the manuscript. This research was funded by projects CGL2007-63724/BTE and CGL2011-23077 (Spanish Ministry of Science and Technology, FEDER funds) and by Consolidated Group E05 (Dept. of Science, University of Zaragoza). We are very grateful to Brian Huber (Smithsonian Institution, Washington, D.C.) for access to the Cushman and U.S. National Museum collections.</t>
  </si>
  <si>
    <t>CUSHMAN FOUNDATION FORAMINIFERAL RESEARCH</t>
  </si>
  <si>
    <t>LAWRENCE</t>
  </si>
  <si>
    <t>PO BOX 7065, LAWRENCE, KS 66044-7065 USA</t>
  </si>
  <si>
    <t>0096-1191</t>
  </si>
  <si>
    <t>J FORAMIN RES</t>
  </si>
  <si>
    <t>J. Foraminifer. Res.</t>
  </si>
  <si>
    <t>10.2113/gsjfr.42.4.286</t>
  </si>
  <si>
    <t>Paleontology</t>
  </si>
  <si>
    <t>036GC</t>
  </si>
  <si>
    <t>WOS:000311013400002</t>
  </si>
  <si>
    <t>Ortiz, S; Kaminski, MA</t>
  </si>
  <si>
    <t>Ortiz, Silvia; Kaminski, Michael A.</t>
  </si>
  <si>
    <t>RECORD OF DEEP-SEA, BENTHIC ELONGATE-CYLINDRICAL FORAMINIFERA ACROSS THE EOCENE-OLIGOCENE TRANSITION IN THE NORTH ATLANTIC OCEAN (ODP HOLE 647A)</t>
  </si>
  <si>
    <t>CALCITE COMPENSATION; CIRCULATION CHANGES; MIDPLEISTOCENE EXTINCTION; PLEISTOCENE EXTINCTIONS; BIPOLAR GLACIATION; LATE PLIOCENE; BATHYAL; TURNOVER; BOUNDARY; IMPACTS</t>
  </si>
  <si>
    <t>The Eocene-Oligocene transition (EOT) at similar to 34 Ma constitutes one of the major episodes of climate change that occurred in the last 50 myr, associated with the establishment of permanent Antarctic ice sheets and the initiation of meridional overturning circulation. We present a high-resolution quantitative study (&gt;125-mu m fraction) of a group of calcareous, deep-sea, benthic foraminifera with elongate-cylindrical morphologies (Elongate Gp.) across the EOT at high latitudes in the North Atlantic Ocean (ODP Hole 647A). This group experienced significant declines in abundance and diversity during periods of global cooling, disappearing almost completely during the mid-Pleistocene Climate Transition. The Elongate Gp. was a common component of deep-sea benthic foraminiferal assemblages at Hole 647A (average 20%). The family Stilostomellidae dominated during the late Eocene and at the EOT; the Nodosariidae slightly dominated during the early Oligocene. During the EOT at Hole 647A, an abrupt decline in the abundance and diversity of agglutinated foraminifera occurred, but not a distinct taxonomic turnover of the Elongate Gp. Siphonodosaria jacksonensis was the most abundant species and showed the most significant changes in relative abundance across the EOT, from almost no record to a peak of &gt;50% of total benthic foraminifera coincident with the lowest diversity and highest absolute abundance of the Elongate Gp. We attribute these changes to the influence of more than one mechanism, including increased productivity, deepening of the calcite compensation depth, and more vigorous deep-ocean circulation.</t>
  </si>
  <si>
    <t>[Ortiz, Silvia] Univ Basque Country, Dept Estratig &amp; Paleontol, E-48080 Bilbao, Spain; [Ortiz, Silvia; Kaminski, Michael A.] UCL, Dept Earth Sci, London WC1E 6BT, England; [Kaminski, Michael A.] King Fahd Univ Petr &amp; Minerals, Dept Earth Sci, Dhahran 31261, Saudi Arabia</t>
  </si>
  <si>
    <t>University of Basque Country; University of London; University College London; King Fahd University of Petroleum &amp; Minerals</t>
  </si>
  <si>
    <t>Ortiz, S (corresponding author), Univ Basque Country, Dept Estratig &amp; Paleontol, POB 644, E-48080 Bilbao, Spain.</t>
  </si>
  <si>
    <t>silvia.ortiz@ehu.es</t>
  </si>
  <si>
    <t>Kaminski, Michael/K-3334-2012; Ortiz, Silvia/AAA-4174-2019</t>
  </si>
  <si>
    <t>Kaminski, Michael A/0000-0002-7344-5874; Ortiz, Silvia/0000-0002-3027-7970</t>
  </si>
  <si>
    <t>Natural Environmental Research Council of the United Kingdom [NE/G016011/1]; Spanish Ministery of Science and Innovation [CGL 2008-00009/BTE, CGL 2011-23077, CGL-2011-23770]; NERC [NE/G016011/1] Funding Source: UKRI</t>
  </si>
  <si>
    <t>Natural Environmental Research Council of the United Kingdom(UK Research &amp; Innovation (UKRI)Natural Environment Research Council (NERC)); Spanish Ministery of Science and Innovation; NERC(UK Research &amp; Innovation (UKRI)Natural Environment Research Council (NERC))</t>
  </si>
  <si>
    <t>We thank associate editor B. Hayward and the reviewers L. Alegret and A. Bhaumik for their insightful comments that improved the manuscript. This research was funded by the Natural Environmental Research Council of the United Kingdom (Grant NE/G016011/1). Silvia Ortiz acknowledges the Spanish Ministery of Science and Innovation for a Juan de la Cierva research contract and funding (CGL 2008-00009/BTE, CGL 2011-23077, CGL-2011-23770).</t>
  </si>
  <si>
    <t>10.2113/gsjfr.42.4.345</t>
  </si>
  <si>
    <t>WOS:000311013400006</t>
  </si>
  <si>
    <t>Stichel, T; Frank, M; Rickli, J; Hathorne, EC; Haley, BA; Jeandel, C; Pradoux, C</t>
  </si>
  <si>
    <t>Stichel, Torben; Frank, Martin; Rickli, Joerg; Hathorne, Ed C.; Haley, Brian A.; Jeandel, Catherine; Pradoux, Catherine</t>
  </si>
  <si>
    <t>Sources and input mechanisms of hafnium and neodymium in surface waters of the Atlantic sector of the Southern Ocean</t>
  </si>
  <si>
    <t>RARE-EARTH-ELEMENTS; ANTARCTIC CIRCUMPOLAR CURRENT; ISOTOPIC COMPOSITIONS; MARINE-SEDIMENTS; NORTH-ATLANTIC; PACIFIC-OCEAN; FERROMANGANESE CRUSTS; ND-ISOTOPES; HF; SEAWATER</t>
  </si>
  <si>
    <t>Radiogenic isotopes of hafnium (Hf) and neodymium (Nd) are powerful tracers for water mass transport and trace metal cycling in the present and past oceans. However, due to the scarcity of available data the processes governing their distribution are not well understood. Here we present the first combined dissolved Hf and Nd isotope and concentration data from surface waters of the Atlantic sector of the Southern Ocean. The samples were collected along the Zero Meridian, in the Weddell Sea and in the Drake Passage during RV Polarstern expeditions ANTXXIV/3 and ANTXXIII/3 in the frame of the International Polar Year (IPY) and the GEOTRACES program. The general distribution of Hf and Nd concentrations in the region is similar. However, at the northernmost station located 200 km southwest of Cape Town a pronounced increase of the Nd concentration is observed, whereas the Hf concentration is minimal, suggesting much less Hf than Nd is released by the weathering of the South African Archean cratonic rocks. From the southern part of the Subtropical Front (STF) to the Polar Front (PF) Hf and Nd show the lowest concentrations (&lt;0.12 pmol/kg and 10 pmol/kg, respectively), most probably due to the low terrigenous flux in this area and efficient scavenging of Hf and Nd by biogenic opal. In the vicinity of landmasses the dissolved Hf and Nd isotope compositions are clearly labeled by terrigenous inputs. Near South Africa Nd isotope values as low as epsilon(Nd) = -18.9 indicate unradiogenic inputs supplied via the Agulhas Current. Further south the isotopic data show significant increases to epsilon(Hf) = 6.1 and epsilon(Nd) = -4.0 documenting exchange of seawater Nd and Hf with the Antarctic Peninsula. In the open Southern Ocean the Nd isotope compositions are relatively homogeneous (epsilon(Nd) similar to -8 to -8.5) towards the STF, within the Antarctic Circumpolar Current, in the Weddell Gyre, and the Drake Passage. The Hf isotope compositions in the entire study area only show a small range between epsilon(Hf) = + 6.1 and + 2.8 support Hf to be more readily released from young mafic rocks compared to old continental ones. The Nd isotope composition ranges from epsilon(Nd) = -18.9 to -4.0 showing Nd isotopes to be a sensitive tracer for the provenance of weathering inputs into surface waters of the Southern Ocean. (C) 2012 Elsevier Ltd. All rights reserved.</t>
  </si>
  <si>
    <t>[Stichel, Torben] Univ Hawaii Manoa, SOEST, Honolulu, HI 96822 USA; [Stichel, Torben; Frank, Martin; Hathorne, Ed C.] Helmholtz Ctr Ocean Res Kiel, GEOMAR, D-24148 Kiel, Germany; [Rickli, Joerg] Univ Bristol, Dept Earth Sci, Bristol BS8 1RJ, Avon, England; [Haley, Brian A.] Oregon State Univ, COAS, Corvallis, OR 97331 USA; [Jeandel, Catherine; Pradoux, Catherine] Observ Midi Pyrenees, LEGOS, UMR 5566, CNRS,CNES,IRD,UPS, F-31400 Toulouse, France</t>
  </si>
  <si>
    <t>University of Hawaii System; University of Hawaii Manoa; Helmholtz Association; GEOMAR Helmholtz Center for Ocean Research Kiel; University of Bristol; Oregon State University; 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t>
  </si>
  <si>
    <t>Stichel, T (corresponding author), Univ Hawaii Manoa, SOEST, 1680 East West Rd, Honolulu, HI 96822 USA.</t>
  </si>
  <si>
    <t>tstichel@hawaii.edu</t>
  </si>
  <si>
    <t>Jeandel, Catherine/P-3789-2014; Hathorne, Ed/AAC-6315-2020</t>
  </si>
  <si>
    <t>Jeandel, Catherine/0000-0002-4915-4719; Hathorne, Ed/0000-0002-7813-2455; Stichel, Torben/0000-0002-5925-1301; Rickli, Jorg/0000-0001-8186-2750; Haley, Brian/0000-0003-2879-8117; Frank, Martin/0000-0002-8606-4421</t>
  </si>
  <si>
    <t>Deutsche Forschungsgemeinschaft (DFG) [FR1198/2, SPP 1158]</t>
  </si>
  <si>
    <t>Deutsche Forschungsgemeinschaft (DFG)(German Research Foundation (DFG))</t>
  </si>
  <si>
    <t>This study was funded by a Grant of the Deutsche Forschungsgemeinschaft (DFG) to M. F. (Project FR1198/2) within the priority program Antarctic Research (SPP 1158). We thank Jutta Heinze and Ana Kolevica for lab support and the chief scientists Eberhard Fahrbach and Hein de Baar, as well as Captain Stefan Schwarze and the crew of Polarstern for their contribution and bravery. Many thanks to Celia Venchiarutti for her help during sample collection and preparation. This manuscript was significantly improved by the comments and suggestions by editor Sidney Hemming and reviewers.</t>
  </si>
  <si>
    <t>10.1016/j.gca.2012.07.005</t>
  </si>
  <si>
    <t>016HV</t>
  </si>
  <si>
    <t>WOS:000309509400003</t>
  </si>
  <si>
    <t>Kallenborn, R; Reiersen, LO; Olseng, CD</t>
  </si>
  <si>
    <t>Kallenborn, Roland; Reiersen, Lars-Otto; Olseng, Christine Daae</t>
  </si>
  <si>
    <t>Long-term atmospheric monitoring of persistent organic pollutants (POPs) in the Arctic: a versatile tool for regulators and environmental science studies</t>
  </si>
  <si>
    <t>ATMOSPHERIC POLLUTION RESEARCH</t>
  </si>
  <si>
    <t>Environmental pollution; Persistent organic pollutants; Regulative response; Monitoring and Science</t>
  </si>
  <si>
    <t>RANGE TRANSPORT; PCB; AIR; PESTICIDES; PATHWAYS; TRENDS</t>
  </si>
  <si>
    <t>Long-term air monitoring programs are today recognized as a powerful tool for global studies of atmospheric long-range transport processes. Based on the combined efforts from multi-national atmospheric monitoring programs, principles and pathways of long-range contaminant transport into the pristine Polar Regions (Arctic and Antarctic) have been revealed. The defining factors and mechanisms of the principal atmospheric transport into the Polar Regions for a wide array of contaminants ranging from inorganic and organic contaminants, nutrients to aerosols and particulate matter, have been established and verified based on long-term monitoring data. At present, empirically derived monitoring data is the only way to evaluate the accuracy of the projections and results obtained from modern modeling tools that aim to describe future contamination scenarios in various regions of the world. Although the fundamental importance of continuous atmospheric monitoring for the evaluation of global long-range transport and distribution processes of anthropogenic contaminants is recognized, three major challenges for global monitoring of contaminants remain: (1) A more thorough co-ordination and co-operation between all international monitoring programs with focus in global contaminant transport and fate must be achieved. (2) Strategies for rapid and effective adaptation of programs following the identification of new priority contaminants. (3) Application of appropriate sampling and analytical protocols as well as quality control and quality assurance measures; that must be developed and adopted by all relevant monitoring programs in order to allow effective comparison of measurement results and information between the respective monitoring initiatives. (C) Author(s) 2012. This work is distributed under the Creative Commons Attribution 3.0 License.</t>
  </si>
  <si>
    <t>[Kallenborn, Roland] Norwegian Univ Life Sci UMB, Dept Chem Biotechnol &amp; Food Sci IKBM, NO-1432 As, Norway; [Kallenborn, Roland] Univ Ctr Svalbard UNIS, Dept Arctic Technol AT, NO-9171 Longyearbyen, Svalbard, Norway; [Reiersen, Lars-Otto; Olseng, Christine Daae] AMAP, NO-0134 Oslo, Norway</t>
  </si>
  <si>
    <t>Norwegian University of Life Sciences; University Centre Svalbard (UNIS)</t>
  </si>
  <si>
    <t>Kallenborn, R (corresponding author), Norwegian Univ Life Sci UMB, Dept Chem Biotechnol &amp; Food Sci IKBM, NO-1432 As, Norway.</t>
  </si>
  <si>
    <t>roka@umb.no</t>
  </si>
  <si>
    <t>Kallenborn, Roland/F-8368-2011</t>
  </si>
  <si>
    <t>Kallenborn, Roland/0000-0003-1703-2538</t>
  </si>
  <si>
    <t>TURKISH NATL COMMITTEE AIR POLLUTION RES &amp; CONTROL-TUNCAP</t>
  </si>
  <si>
    <t>BUCA</t>
  </si>
  <si>
    <t>DOKUZ EYLUL UNIV, DEPT ENVIRONMENTAL ENGINEERING, TINAZTEPE CAMPUS, BUCA, IZMIR 35160, TURKEY</t>
  </si>
  <si>
    <t>1309-1042</t>
  </si>
  <si>
    <t>ATMOS POLLUT RES</t>
  </si>
  <si>
    <t>Atmos. Pollut. Res.</t>
  </si>
  <si>
    <t>10.5094/APR.2012.056</t>
  </si>
  <si>
    <t>029SP</t>
  </si>
  <si>
    <t>WOS:000310516300018</t>
  </si>
  <si>
    <t>Morozov, EG; Tarakanov, RY</t>
  </si>
  <si>
    <t>Morozov, E. G.; Tarakanov, R. Yu.</t>
  </si>
  <si>
    <t>Discovery gap: The terminal point of antarctic bottom water spreading</t>
  </si>
  <si>
    <t>DOKLADY EARTH SCIENCES</t>
  </si>
  <si>
    <t>[Morozov, E. G.; Tarakanov, R. Yu.] Russian Acad Sci, Shirshov Inst Oceanol, Moscow 117997, Russia</t>
  </si>
  <si>
    <t>Russian Academy of Sciences; Shirshov Institute of Oceanology</t>
  </si>
  <si>
    <t>Morozov, EG (corresponding author), Russian Acad Sci, Shirshov Inst Oceanol, Nakhimovskii Pr 36, Moscow 117997, Russia.</t>
  </si>
  <si>
    <t>egmorozov@mail.ru</t>
  </si>
  <si>
    <t>Tarakanov, Roman/R-3325-2016; Morozov, Eugene G/L-3023-2018</t>
  </si>
  <si>
    <t>Tarakanov, Roman/0000-0002-8711-1859; Morozov, Eugene/0000-0002-0251-3454</t>
  </si>
  <si>
    <t>Russian Foundation for Basic Research [11-08-00076-a, 11-08-10001-k, 12-05-00277-a]</t>
  </si>
  <si>
    <t>Russian Foundation for Basic Research(Russian Foundation for Basic Research (RFBR)Spanish Government)</t>
  </si>
  <si>
    <t>This work was supported by the Russian Foundation for Basic Research, project nos. 11-08-00076-a, 11-08-10001-k, and 12-05-00277-a.</t>
  </si>
  <si>
    <t>1028-334X</t>
  </si>
  <si>
    <t>DOKL EARTH SCI</t>
  </si>
  <si>
    <t>Dokl. Earth Sci.</t>
  </si>
  <si>
    <t>10.1134/S1028334X12080223</t>
  </si>
  <si>
    <t>033PE</t>
  </si>
  <si>
    <t>WOS:000310809400012</t>
  </si>
  <si>
    <t>Aitken, ARA; Wilson, GS; Jordan, T; Tinto, K; Blakemore, H</t>
  </si>
  <si>
    <t>Aitken, Alan R. A.; Wilson, Gary S.; Jordan, Tom; Tinto, Kirsty; Blakemore, Hamish</t>
  </si>
  <si>
    <t>Reprint of: Flexural controls on late Neogene basin evolution in southern McMurdo Sound, Antarctica</t>
  </si>
  <si>
    <t>GLOBAL AND PLANETARY CHANGE</t>
  </si>
  <si>
    <t>flexure; Neogene; basin evolution; volcanic load; McMurdo Sound</t>
  </si>
  <si>
    <t>WESTERN ROSS SEA; MARIE-BYRD-LAND; TRANSANTARCTIC MOUNTAINS; CONTINENTAL LITHOSPHERE; GRAVITY-ANOMALIES; VOLCANIC-GROUP; VICTORIA LAND; RIFT SYSTEM; BROWN-PENINSULA; ICE SHELF</t>
  </si>
  <si>
    <t>The basins of southern McMurdo Sound have evolved under the influence of lithospheric flexure induced by the loads of the Erebus Volcanic Province. To characterise these basins, it is important to investigate the lithosphere's flexural properties, and estimate their influence on basin architecture and evolution. Seismic and gravity data are used to constrain 3D forward modelling of the progressive development of accommodation space within the flexural basins. Elastic plate flexure was calculated for a range of effective elastic thicknesses (T-e) from 0.5 to 25 km using a spectral method. Models with low, but nonzero, T-e values (2 km &lt;5 km) produce the best fit to the gravity data, although uncertainty is high due to inaccuracies in the Digital Elevation Model. The slopes of flexural horizons revealed in seismic reflection lines are consistent with this, indicating a T-e of 2 km to 5 km, although the depths to these horizons are not consistent, perhaps due to a northwards slope, or step, in the pre-flexural surface. These results indicate that the lithospheric strength of southern McMurdo Sound is significantly less than estimates of the regional average (T-e similar to 20 km). This low strength may reflect the weakening effects of the Terror Rift, and perhaps also the Discovery Accommodation Zone, a region of major transverse faulting. A low T-e model (T-e = 3) for southern McMurdo Sound predicts the development of two discrete flexural depressions, each 2-2.5 km deep. The predicted stratigraphy of the northern basin reflects flexure due to Ross Island, predominantly erupted since ca. 1.8 Ma. The predicted stratigraphy of the southern basin reflects more gradual flexure from ca. 10 Ma to ca. 2 Ma, due to the more dispersed volcanoes of the Discovery subprovince. Collectively, these two basins have the potential to preserve a remarkable stratigraphic record of Antarctic climate change through the late Neogene. (C) 2011 Elsevier B.V. All rights reserved.</t>
  </si>
  <si>
    <t>[Wilson, Gary S.] Univ Otago, Dept Marine Sci, Dunedin, New Zealand; [Aitken, Alan R. A.; Wilson, Gary S.; Jordan, Tom; Tinto, Kirsty; Blakemore, Hamish] Univ Otago, Dept Geol, Dunedin, New Zealand; [Jordan, Tom] British Antarctic Survey, Cambridge CB3 0ET, England</t>
  </si>
  <si>
    <t>University of Otago; University of Otago; UK Research &amp; Innovation (UKRI); Natural Environment Research Council (NERC); NERC British Antarctic Survey</t>
  </si>
  <si>
    <t>Wilson, GS (corresponding author), Univ Otago, Dept Marine Sci, POB 56, Dunedin, New Zealand.</t>
  </si>
  <si>
    <t>gary.wilson@otago.ac.nz</t>
  </si>
  <si>
    <t>Wilson, Gary S/B-3803-2010</t>
  </si>
  <si>
    <t>Jordan, Tom/0000-0003-2780-1986; Aitken, Alan/0000-0002-6375-2504; Wilson, Gary/0000-0003-0025-3641</t>
  </si>
  <si>
    <t>New Zealand Foundation for Research [UOOX0207, C05X0410]; University of Otago Research Committee</t>
  </si>
  <si>
    <t>New Zealand Foundation for Research(New Zealand Foundation for Research, Science and Technology); University of Otago Research Committee</t>
  </si>
  <si>
    <t>Logistic support for gravity data collection was provided by Antarctica New Zealand as part of ANDRILL site survey events K114 and K001. Financial support for the research was supplied by New Zealand Foundation for Research contracts UOOX0207 and C05X0410 and by the University of Otago Research Committee. We thank all members of the ANDRILL site survey field teams for their assistance in the field gravity data collection programme. The constructive comments of the reviewers helped improve the manuscript and are greatly appreciated.</t>
  </si>
  <si>
    <t>0921-8181</t>
  </si>
  <si>
    <t>1872-6364</t>
  </si>
  <si>
    <t>GLOBAL PLANET CHANGE</t>
  </si>
  <si>
    <t>Glob. Planet. Change</t>
  </si>
  <si>
    <t>OCT-NOV</t>
  </si>
  <si>
    <t>96-97</t>
  </si>
  <si>
    <t>10.1016/j.gloplacha.2012.02.004</t>
  </si>
  <si>
    <t>021PC</t>
  </si>
  <si>
    <t>WOS:000309896800002</t>
  </si>
  <si>
    <t>Talarico, FM; Mckay, RM; Powell, RD; Sandroni, S; Naish, T</t>
  </si>
  <si>
    <t>Talarico, F. M.; McKay, R. M.; Powell, R. D.; Sandroni, S.; Naish, T.</t>
  </si>
  <si>
    <t>Late Cenozoic oscillations of Antarctic ice sheets revealed by provenance of basement clasts and grain detrital modes in ANDRILL core AND-1B</t>
  </si>
  <si>
    <t>provenance; East Antarctic Ice Sheet; West Antarctic Ice Sheet; Pliocene; Pleistocene</t>
  </si>
  <si>
    <t>SOUTH-VICTORIA-LAND; SKELTON GLACIER AREA; MCMURDO SOUND; ROSS SEA; KOETTLITZ GROUP; GEOCHEMISTRY; HISTORY; RETREAT; SHELF; RECONSTRUCTION</t>
  </si>
  <si>
    <t>Petrological investigations of the sand fraction and of granule- to cobble-sized clasts in the Plio-Pleistocene sedimentary cycles of the AND-1B drill core at the NW edge of the Ross Ice Shelf (McMurdo Sound) highlight significant down-core modal and compositional variations. These variations provide: (i) direct information about potential source regions during both glacial maxima and minima; and (ii) evidence of an evolving provenance, documented by long-term shifts in compositional patterns that can be interpreted as reflecting variations in ice volume and ice sheet thermal regimes and changes in paleogeography related to the emergence of several volcanic centres during the deposition of the drill core over the past ca. 3.5 Ma. The most significant change in diamictite provenance (identified at 82.7 metre below the sea floor, mbsf), coincides with a change in sedimentary cycle architecture from sequences that are dominated by diamictites (Mid-Late Pleistocene, above 82.7 mbsf) to sequences characterised by cycles of diamictite (subglacial) and diatomite (open-marine) deposition (Pliocene, below 82.7 mbsf). In the Mid-Late Pleistocene glacial/interglacial cycles diamictites show high amounts of Skelton-Mulock sourced clasts, supplied from both basement and overlying Beacon and Ferrar supergroups, and they also include a variable contribution from reworking of glacial sediments that were deposited during earlier glacial activity. In the Pliocene to early Pleistocene diatomite diamictite cycles basement clast compositions indicate the same provenance (Mulock-Skelton) but the main debris load was picked up from volcanic centres in the McMurdo Sound area. Similarly, associated glacial minima sediments (i.e., diatomite intervals) are dominated by volcanic clasts suggesting calving of glaciers from Ross Island or the Koettlitz Glacier region during interglacials. In agreement with previous glaciological reconstructions and numerical ice sheet models, the provenance of glacially transported material is firmly identified in the region between Ross Island and the Skelton Mulock glacier area (South Victoria Land). The reconstructed ice directions and ice dynamic model are comparable to the configurations proposed for the grounded ice expansion within the McMurdo Sound during the Last Glacial Maximum, and they are also consistent with ice-flow patterns previously reconstructed for Pliocene and Pleistocene glacial settings in the region. (C) 2009 Elsevier B.V. All rights reserved.</t>
  </si>
  <si>
    <t>[Talarico, F. M.] Univ Siena, Dipartimento Sci Terra, I-53100 Siena, Italy; [McKay, R. M.; Naish, T.] Victoria Univ, Antarctic Res Ctr, Wellington, New Zealand; [Powell, R. D.] No Illinois Univ, Dept Geol &amp; Environm Geosci, De Kalb, IL 60115 USA; [Sandroni, S.] Univ Siena, Museo Nazl Antartide, I-53100 Siena, Italy</t>
  </si>
  <si>
    <t>University of Siena; Victoria University Wellington; Northern Illinois University; University of Siena</t>
  </si>
  <si>
    <t>Talarico, FM (corresponding author), Univ Siena, Dipartimento Sci Terra, Via Laterina 8, I-53100 Siena, Italy.</t>
  </si>
  <si>
    <t>talarico@unisi.it</t>
  </si>
  <si>
    <t>McKay, Robert/N-2449-2015; Sandroni, Sonia/C-7188-2008; talarico, franco/G-9472-2012</t>
  </si>
  <si>
    <t>McKay, Robert/0000-0002-5602-6985; Sandroni, Sonia/0000-0002-7941-7145; Naish, Tim/0000-0002-1185-9932; talarico, franco/0000-0002-7254-4301</t>
  </si>
  <si>
    <t>Italian Programma Nazionale di Ricerche in Antaride; US National Science Foundation; NZ Foundation for Research, Science and Technology; Royal Society of NZ Marsden Fund; Italian Antarctic Research Programme; German Research Foundation (DFG); Alfred Wegener Institute Polar and Marine Research</t>
  </si>
  <si>
    <t>Italian Programma Nazionale di Ricerche in Antaride; US National Science Foundation(National Science Foundation (NSF)); NZ Foundation for Research, Science and Technology(New Zealand Foundation for Research, Science and Technology); Royal Society of NZ Marsden Fund(Royal Society of New ZealandMarsden Fund (NZ)); Italian Antarctic Research Programme; German Research Foundation (DFG)(German Research Foundation (DFG)); Alfred Wegener Institute Polar and Marine Research</t>
  </si>
  <si>
    <t>We would like to acknowledge G. S. Wilson and two anonymous referees for their helpful comments and suggestions, and the whole ANDRILL MIS Science Team for their contribution to the successful drilling project. The research was carried out with the financial support of the Italian Programma Nazionale di Ricerche in Antaride. The ANDRILL project is a multinational collaboration between the Antarctic programmes of Germany, Italy, New Zealand and the United States. Antarctica New Zealand is the project operator and developed the drilling system in collaboration with Alex Pyne at Victoria University of Wellington and Webster Drilling and Enterprises Ltd.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Scientific studies are jointly supported by the US National Science Foundation, NZ Foundation for Research, Science and Technology and the Royal Society of NZ Marsden Fund, the Italian Antarctic Research Programme, the German Research Foundation (DFG) and the Alfred Wegener Institute Polar and Marine Research.</t>
  </si>
  <si>
    <t>10.1016/j.gloplacha.2009.12.002</t>
  </si>
  <si>
    <t>WOS:000309896800003</t>
  </si>
  <si>
    <t>Monien, D; Kuhn, G; von Eynatten, H; Talarico, FM</t>
  </si>
  <si>
    <t>Monien, Donata; Kuhn, Gerhard; von Eynatten, Hilmar; Talarico, Franco M.</t>
  </si>
  <si>
    <t>Geochemical provenance analysis of fine-grained sediment revealing Late Miocene to recent Paleo-Environmental changes in the Western Ross Sea, Antarctica</t>
  </si>
  <si>
    <t>XRF Core Scanner; Cenozoic; Ross Embayment; marine sediments; ANDRILL</t>
  </si>
  <si>
    <t>MCMURDO VOLCANIC GROUP; GLACIER AREA; VICTORIA-LAND; ICE-SHEET; MARINE-SEDIMENTS; WEDDELL SEA; GEOCHRONOLOGY; FLOW; GEOLOGY; VALLEY</t>
  </si>
  <si>
    <t>Bulk chemical fine-grained sediment compositions from southern Victoria Land glacimarine sediments provide significant constraints on the reconstruction of sediment provenance models in the McMurdo Sound during Late Cenozoic time. High-resolution (similar to 1 ka) geochemical data were obtained with a non-destructive AVAATECH XRF Core Scanner (XRF-CS) on the 1285 m long ANDRILL McMurdo Ice Shelf Project (MIS) sediment core AND-1B. This data set is complemented by high-precision chemical analyses (XRF and ICP-OES) on discrete samples. Statistical analyses reveal three geochemical facies which are interpreted to represent the following sources for the sediments recovered in the AND-1B core: 1) local McMurdo Volcanic Group (MVG) rocks, 2) Transantarctic Mountain rocks west of Ross Island (W TAM), and 3) Transantarctic Mountain rocks from more southerly areas (S TAM). Data indicate in combination with other sediment facies analyses (McKay et al., 2009) and provenance scenarios (Talarico and Sandroni, 2009) that diamictites at the drill site are largely dominated by local sources (MVG) and are interpreted to indicate cold polar conditions with dry-based ice. MVG is interpreted to indicate cold polar condition with dry-based ice. A mixture of MVG and W TAM is interpreted to represent polar conditions and the S TAM facies is interpreted to represent open-marine conditions. Down-core variations in geochemical facies in the AND-1B core are interpreted to represent five major paleoclimate phases over the past 14 Ma. Cold polar conditions with major MVG influence occur below 1045 mbsf and above 120 mbsf. A section of warmer climate conditions with extensive peaks of S TAM influence characterizes the rest of the core, which is interrupted by a section from 525 to 855 mbsf of alternating influences of MVG and W TAM. (C) 2010 Elsevier B.V. All rights reserved.</t>
  </si>
  <si>
    <t>[Monien, Donata; Kuhn, Gerhard] Alfred Wegener Inst Polar &amp; Marine Res, Bremerhaven, Germany; [von Eynatten, Hilmar] Geosci Ctr Gottingen GZG, Dept Sedimentol &amp; Environm Geol, Gottingen, Germany; [Talarico, Franco M.] Univ Siena, Dept Sci Terra, I-53100 Siena, Italy</t>
  </si>
  <si>
    <t>Helmholtz Association; Alfred Wegener Institute, Helmholtz Centre for Polar &amp; Marine Research; University of Siena</t>
  </si>
  <si>
    <t>Monien, D (corresponding author), Alfred Wegener Inst Polar &amp; Marine Res, Alten Hafen 26, Bremerhaven, Germany.</t>
  </si>
  <si>
    <t>donata.monien@icbm.de</t>
  </si>
  <si>
    <t>talarico, franco/G-9472-2012</t>
  </si>
  <si>
    <t>talarico, franco/0000-0002-7254-4301; von Eynatten, Hilmar/0000-0002-2823-3194; Kuhn, Gerhard/0000-0001-6069-7485</t>
  </si>
  <si>
    <t>German Research Foundation (DFG) [KU 683/8, EY 23/12]</t>
  </si>
  <si>
    <t>German Research Foundation (DFG)(German Research Foundation (DFG))</t>
  </si>
  <si>
    <t>The ANDRILL project is a multinational collaboration between the Antarctic programs of Germany, Italy, New Zealand and the United States. We would like to acknowledge the whole ANDRILL MIS Science Team for their contribution to the successful drilling project. This study was supported by the German Research Foundation (DFG) grants no. KU 683/8 and EY 23/12. We thank Dr. Catalina Gebhardt (AWI, Germany) for her help with carrying out the measurements on-ice. Furthermore we would like to thank Aad Vaars (AVAATECH, Netherlands) for his support with spare parts (fortunately not used) and helpful advice on how to run the XRF Core Scanner in the Antarctic environment. Finally, we would like to thank all technicians and research assistants for their laboratory help and two anonymous reviewers and Gary Wilson for substantial improvements of the manuscript.</t>
  </si>
  <si>
    <t>10.1016/j.gloplacha.2010.05.001</t>
  </si>
  <si>
    <t>WOS:000309896800004</t>
  </si>
  <si>
    <t>Winter, D; Sjunneskog, C; Scherer, R; Maffioli, P; Riesselman, C; Harwood, D</t>
  </si>
  <si>
    <t>Winter, D.; Sjunneskog, C.; Scherer, R.; Maffioli, P.; Riesselman, C.; Harwood, D.</t>
  </si>
  <si>
    <t>Pliocene-Pleistocene diatom biostratigraphy of nearshore Antarctica from the AND-1B drillcore, McMurdo Sound</t>
  </si>
  <si>
    <t>ANDRILL; AND-1B; diatom; biostratigraphy; Ross Sea; Antarctica; Late Neogene; Pliocene; Pleistocene</t>
  </si>
  <si>
    <t>COCKBURN ISLAND FORMATION; PRINCE CHARLES MOUNTAINS; SOUTHERN-OCEAN SEDIMENTS; TRANSANTARCTIC MOUNTAINS; SIRIUS GROUP; SURFACE SEDIMENTS; ATLANTIC SECTOR; SP-NOV; SEA; STRATIGRAPHY</t>
  </si>
  <si>
    <t>The near-shore open-marine diatom record recovered in the ANtarctic geological DRILLing (ANDRILL) McMurdo Ice Shelf Project (MIS) AND-1B drillcore, McMurdo Sound, Antarctica, advances our understanding of the marine conditions present in the southern Ross Sea during the Pliocene and early Pleistocene. This diatom history is recorded within alternating diamictite and diatomite that reflect alternating glacial activity and high marine primary productivity. The diatomite units were deposited in a continental shelf open-marine setting during periods of reduced ice cover in West Antarctica. A new diatom biostratigraphic scheme spanning the last ca. 5 Ma is proposed for the Antarctic near-shore area, based on prior work from high latitude drillcores. Four new zones are proposed for the Pliocene/Pleistocene, with eight in total for the new zonal scheme, utilizing Actinocylus fasciculatus, Actinocyclus maccollumii, Fragilariopsis bohatyii, Rouxia antarctica, and Thalassiosira fasciculata as new zonal markers. The early Pliocene shares the most assemblage commonality with that of the Southern Ocean with greater numbers of endemic species observed in the late Pliocene and early Pleistocene; a group of related Fragilaripsis species characterizes much of this later part of the time column. Two new species are proposed, Fragilariopsis tigris sp. nov. Riesselman and Thalassiosira teres sp. nov. Winter; a formal name is also proposed for another species. Rhizosolenia harwoodii sp. nov. Winter. The new zonation is tied to a robust chronology utilizing diatom biostratigraphy, volcanic 40Ar/39Ar ages and magnetostratigraphy. (C) 2010 Elsevier B.V. All rights reserved.</t>
  </si>
  <si>
    <t>[Winter, D.] Univ Nebraska Lincoln, Dept Geosci, Lincoln, NE 68588 USA; [Sjunneskog, C.] Florida State Univ, Antarctic Core Facil, Tallahassee, FL 32306 USA; [Scherer, R.] No Illinois Univ, De Kalb, IL 60115 USA; [Maffioli, P.] Univ Milanobiocca, Dipartimento Sci Geol &amp; Geotecnol, Milan, Italy; [Riesselman, C.] Stanford Univ, Dept Geol &amp; Environm Sci, Stanford, CA 94305 USA</t>
  </si>
  <si>
    <t>University of Nebraska System; University of Nebraska Lincoln; State University System of Florida; Florida State University; Northern Illinois University; Stanford University</t>
  </si>
  <si>
    <t>Winter, D (corresponding author), Univ Nebraska Lincoln, Dept Geosci, 214 Bessey Hall, Lincoln, NE 68588 USA.</t>
  </si>
  <si>
    <t>dwinter1@juno.com</t>
  </si>
  <si>
    <t>Riesselman, Christina R/H-5037-2012</t>
  </si>
  <si>
    <t>Riesselman, Christina/0000-0002-2436-4306</t>
  </si>
  <si>
    <t>National Science Foundation [0342484]; ANDRILL Science Management Office at the University of Nebraska Lincoln; U.S. Antarctic Program (USAP); Raytheon Polar Services Corporation (RPSC); Antarctica New Zealand; US National Science Foundation; NZ Foundation for Research; Italian Antarctic Research Program; German Science Foundation; Alfred Wegener Institute</t>
  </si>
  <si>
    <t>National Science Foundation(National Science Foundation (NSF)); ANDRILL Science Management Office at the University of Nebraska Lincoln; U.S. Antarctic Program (USAP); Raytheon Polar Services Corporation (RPSC); Antarctica New Zealand; US National Science Foundation(National Science Foundation (NSF)); NZ Foundation for Research; Italian Antarctic Research Program; German Science Foundation(German Research Foundation (DFG)); Alfred Wegener Institute</t>
  </si>
  <si>
    <t>The reviewers and editor provided many excellent comments, greatly improving this paper. The basis for figure three is the result of work by Dr. Richard Levy, his kindness in sharing it is much appreciated. This material is based upon work supported by the National Science Foundation under Cooperative Agreement No. 0342484 through subawards administered by the ANDRILL Science Management Office at the University of Nebraska Lincoln, and issued through Northern Illinois University (for the MIS Project), as part of the ANDRILL U.S. Science Support Program. Any opinions, findings, and conclusions or recommendations expressed in this material are those of the author(s) and do not necessarily reflect the views of the National Science Foundation.; The ANDRILL (ANtarctic geologic DRILLing)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Exploration. The U.S. Antarctic Program (USAP) and Raytheon Polar Services Corporation (RPSC) supported the science team at McMurdo Station and in the Crary Science and Engineering Laboratory, while Antarctica New Zealand supported the drilling team at Scott Base. Scientific studies are jointly supported by the US National Science Foundation, NZ Foundation for Research, the Italian Antarctic Research Program, the German Science Foundation and the Alfred Wegener Institute.</t>
  </si>
  <si>
    <t>10.1016/j.gloplacha.2010.04.004</t>
  </si>
  <si>
    <t>WOS:000309896800005</t>
  </si>
  <si>
    <t>Villa, G; Persico, D; Wise, SW; Gadaleta, A</t>
  </si>
  <si>
    <t>Villa, Giuliana; Persico, Davide; Wise, Sherwood W.; Gadaleta, Alessia</t>
  </si>
  <si>
    <t>Calcareous nannofossil evidence for Marine Isotope Stage 31 (1 Ma) in Core AND-1B, ANDRILL McMurdo Ice Shelf Project (Antarctica)</t>
  </si>
  <si>
    <t>Calcareous nannofossil; Pleistocene; Palaeoclimate; MIS-31; ANDRILL; Antarctica</t>
  </si>
  <si>
    <t>LATE AUSTRAL SUMMER; SOUTHERN-OCEAN; ATLANTIC SECTOR; WEST; SEA; ZONATION; SHEET; COCCOLITHOPHORES; BIOSTRATIGRAPHY; CLIMATE</t>
  </si>
  <si>
    <t>ANDRILL Core AND-1B, recovered in the Western Ross Sea of Antarctica, has been examined in search of calcareous nannofossils. Exhaustive and detailed analyses of the interval from 86.61 to 98.99 mbsf revealed for the first time at an extreme southern high latitude (77.88 degrees S) the presence of lower Pleistocene calcareous nannofossils, together with Tertiary and Upper Cretaceous reworked species. Other calcareous microfossils in the assemblage include, spicules of calciosponges and small foraminifers. The short normal magnetozone between 84.97 and 91.13 mbsf is correlated with the Jaramillo Subchron (C1r.1n) (Wilson et al., 2007). The presence of nannofossils in the biogenic interglacial sediments is consistent with an episode of warm surface waters and open-marine conditions during the Jaramillo subchron, at similar to 1 Ma, which corresponds with Marine Isotope Stage (MIS)-31 (Scherer et al., 2007; Naish et al., 2007). Climate proxies such as oxygen isotope stratigraphy and calcareous nannofossils at ODP Site 1165 (Pospichal, 2003: Villa et al., 2008) and the diatom assemblage in a shelly carbonate sequence at Cape Roberts 1 (Bohaty et al., 1998) also support a warming event during this time and suggest it extended around the Antarctic Continent. This in turn implies a total or partial collapse of the McMurdo Ice Shelf and a concurrent shift or temporary dissipation of the Polar Front (Antarctic Convergence) and Antarctic Divergence that currently serve as barriers to the influx of calcareous nannofossils to the margins of Antarctica. (C) 2010 Elsevier B.V. All rights reserved.</t>
  </si>
  <si>
    <t>[Villa, Giuliana; Persico, Davide; Gadaleta, Alessia] Univ Parma, Dipartimento Sci Terra, I-43100 Parma, Italy; [Wise, Sherwood W.] Florida State Univ, Dept Geol, Tallahassee, FL 32306 USA; [Wise, Sherwood W.] Florida State Univ, Antarctic Marine Geol Res Facil, Tallahassee, FL 32306 USA</t>
  </si>
  <si>
    <t>University of Parma; State University System of Florida; Florida State University; State University System of Florida; Florida State University</t>
  </si>
  <si>
    <t>Villa, G (corresponding author), Univ Parma, Dipartimento Sci Terra, V Usberti 157A, I-43100 Parma, Italy.</t>
  </si>
  <si>
    <t>GIULIANA.VILLA@UNIPR.IT</t>
  </si>
  <si>
    <t>Persico, Davide/0000-0001-5194-9724</t>
  </si>
  <si>
    <t>Italian Programma Nazionale di Ricerche in Antartide (PNRA); University of Nebraska-Lincoln; Raytheon Polar Services Corporation; US National Science Foundation; NZ Foundation for Research, Science and Technology; Royal Society of NZ Marsden Fund; Italian Antarctic Research Programme; German Research Foundation (DFG); Alfred Wegener Institute Polar and Marine Research</t>
  </si>
  <si>
    <t>Italian Programma Nazionale di Ricerche in Antartide (PNRA); University of Nebraska-Lincoln; Raytheon Polar Services Corporation; US National Science Foundation(National Science Foundation (NSF)); NZ Foundation for Research, Science and Technology(New Zealand Foundation for Research, Science and Technology); Royal Society of NZ Marsden Fund(Royal Society of New ZealandMarsden Fund (NZ)); Italian Antarctic Research Programme; German Research Foundation (DFG)(German Research Foundation (DFG)); Alfred Wegener Institute Polar and Marine Research</t>
  </si>
  <si>
    <t>This study was supported by the Italian Programma Nazionale di Ricerche in Antartide (PNRA) and an ANDRILL subcontract from the University of Nebraska-Lincoln to SWW. The ANDRILL-MIS Science Team and the Chief Scientists Tim Naish and Ross Powell are thanked for encouragement and assistance. We are grateful to Jim Pospichal for his useful and pleasant revision, and to an anonymous reviewer for his helpful comments.; The ANDRILL project is a multinational collaboration between the Antarctic programs of Germany, Italy, New Zealand and the United States. Antarctica New Zealand is the project operator and developed the drilling system in collaboration with Alex Pyne at Victoria University of Wellington and Webster Drilling and Enterprises Ltd.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Scientific studies are jointly supported by the US National Science Foundation, NZ Foundation for Research, Science and Technology and the Royal Society of NZ Marsden Fund, the Italian Antarctic Research Programme, the German Research Foundation (DFG) and the Alfred Wegener Institute Polar and Marine Research.</t>
  </si>
  <si>
    <t>10.1016/j.gloplacha.2009.12.003</t>
  </si>
  <si>
    <t>WOS:000309896800006</t>
  </si>
  <si>
    <t>Sjunneskog, C; Winter, D</t>
  </si>
  <si>
    <t>Sjunneskog, Charlotte; Winter, Diane</t>
  </si>
  <si>
    <t>A diatom record of late Pliocene cooling from the Ross Sea continental shelf, AND-1B, Antarctica</t>
  </si>
  <si>
    <t>ANDRILL; late Pliocene; Antarctica; diatom; climate change; Ross Sea</t>
  </si>
  <si>
    <t>SOUTHERN-OCEAN SEDIMENTS; SURFACE SEDIMENTS; ATLANTIC SECTOR; VICTORIA LAND; PALMER-DEEP; PRYDZ BAY; ICE; CLIMATE; BIOGEOGRAPHY; PENINSULA</t>
  </si>
  <si>
    <t>A late Pliocene - early Pleistocene, 2.9-2.0Ma, diatom record from the Antarctic Geological Drilling Program (ANDRILL) MIS drillcore AND-1B is presented. This core, recovered from beneath the Ross Ice Shelf south of Ross Island, comprises multiple diatomaceous-sediment units deposited during interglacial periods with open water over the core site. These represent interglacial phases of orbitally paced climate cycles and are punctuated by glacial advances. Extant diatom assemblages have limited presence in the late Pliocene record, which makes environmental interpretation less straight forward. We employ modern ecological data in combination with late Pliocene to present variation in diatom assemblages across the Southern Ocean oceanic fronts based on DSDP/ODP diatom biostratigraphic data to evaluate paleoenvironmental change for the 2.9-2.0 Ma interval of the AND-1B core. The diatom assemblages from AND-1B record a progressive environmental change through the late Pliocene-early Pleistocene. A relatively warm period with potential SST of up to 4 degrees C at ca. 2.9Ma was succeeded by a reduction of warm water species and an increase of taxa associated with more southerly water masses until 2.58 Ma (at isotope stage G1). Younger, early Pleistocene, diatomaceous units are dominated by extinct Rouxia, Thalassiosira species and newly described Fragilariopsis species indicative of cold open water and drift ice. The last recorded cooling step occurs at the top of the interval studied (ca 2.0) Ma indicated by the trace abundance of Fragilariopsis and Actinocyclus species present in modern sea ice assemblages but absent in the late Pliocene-early Pleistocene AND-1B record, even though many of its species had their first occurrences during the Pliocene. The extant sea ice assemblage occurs with an abundance of 2-29% (average 10%) in the late Pliocene-early Pleistocene AND-1B record implying that the modern sea ice and ice shelf polar conditions were not established within the studied interval. The most frequently applied sea ice indicator, Fragilariopsis curta, is consistently present in low to moderate abundance (1-22%) together with Chaetoceros resting spores (2-30%) through the 2.9-2.0 Ma interval. The diatom assemblage shifts indicate a dynamic environment with an overall trend towards colder conditions after ca. 2.6 Ma but does not reach the Holocene configuration. Published by Elsevier B.V.</t>
  </si>
  <si>
    <t>[Sjunneskog, Charlotte] Louisiana State Univ, Baton Rouge, LA 70803 USA; [Winter, Diane] Univ Nebraska Lincoln, Dept Geosci, Lincoln, NE 68588 USA</t>
  </si>
  <si>
    <t>Louisiana State University System; Louisiana State University; University of Nebraska System; University of Nebraska Lincoln</t>
  </si>
  <si>
    <t>Sjunneskog, C (corresponding author), Florida State Univ, Antarctic Marine Geol Res Facil, Tallahassee, FL 32306 USA.</t>
  </si>
  <si>
    <t>charlottems60@yahoo.com</t>
  </si>
  <si>
    <t>National Science Foundation [0342484]; ANDRILL Science Management Office at the University of Nebraska-Lincoln; U.S. Antarctic Program (USAP); Raytheon Polar Services Corporation (RPSC); Antarctica New Zealand; US National Science Foundation; NZ Foundation for Research; Italian Antarctic Research Program; German Science Foundation; Alfred Wegener Institute</t>
  </si>
  <si>
    <t>National Science Foundation(National Science Foundation (NSF)); ANDRILL Science Management Office at the University of Nebraska-Lincoln; U.S. Antarctic Program (USAP); Raytheon Polar Services Corporation (RPSC); Antarctica New Zealand; US National Science Foundation(National Science Foundation (NSF)); NZ Foundation for Research; Italian Antarctic Research Program; German Science Foundation(German Research Foundation (DFG)); Alfred Wegener Institute</t>
  </si>
  <si>
    <t>This material is based upon work supported by the National Science Foundation under Cooperative Agreement No. 0342484 through subawards administered by the ANDRILL Science Management Office at the University of Nebraska-Lincoln, and issued through Northern Illinois University (for the MIS Project), as part of the ANDRILL U.S. Science Support Program. Any opinions, findings, and conclusions or recommendations expressed in this material are those of the authors and do not necessarily reflect the views of the National Science Foundation.; The ANDRILL (ANtarctic geologic DRILLing)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Exploration. The U.S. Antarctic Program (USAP) and Raytheon Polar Services Corporation (RPSC) supported the science team at McMurdo Station and in the Crary Science and Engineering Laboratory, while Antarctica New Zealand supported the drilling team at Scott Base. Scientific studies are jointly supported by the US National Science Foundation, NZ Foundation for Research, the Italian Antarctic Research Program, the German Science Foundation and the Alfred Wegener Institute.</t>
  </si>
  <si>
    <t>10.1016/j.gloplacha.2012.01.013</t>
  </si>
  <si>
    <t>WOS:000309896800007</t>
  </si>
  <si>
    <t>Ohneiser, C; Wilson, G</t>
  </si>
  <si>
    <t>Ohneiser, Christian; Wilson, Gary</t>
  </si>
  <si>
    <t>Reprint of: Revised magnetostratigraphic chronologies for New Harbour drill cores, southern Victoria Land, Antarctica</t>
  </si>
  <si>
    <t>Magnetostratigraphy; DVDP; CIROS; Ferrar; Taylor; Neogene climate, Antarctica</t>
  </si>
  <si>
    <t>DRY VALLEYS REGION; SEA-LEVEL FLUCTUATIONS; MCMURDO SOUND REGION; ICE-SHEET; TRANSANTARCTIC MOUNTAINS; LANDSCAPE EVOLUTION; GLACIAL DEPOSITS; EAST ANTARCTICA; TAYLOR VALLEY; SIRIUS GROUP</t>
  </si>
  <si>
    <t>The Taylor Valley (DVDP-10, -11) and Ferrar Fiord (CIROS-2) drill cores offer a window into the evolution of southern Victoria land glaciers and the Antarctic climate system during the late-Neogene. Here we present new magnetostratigraphic chronologies, which we use to correlate the drill core successions with onshore dry-valleys geomorphic records and offshore deep-ocean records. Magnetostratigraphies were constructed using stepwise AF and/or thermal demagnetisation of discrete specimens from the drill cores. Correlation of magnetostratigraphies with the magnetic polarity timescale was guided by biostratigraphic and radiometric constraints. We recognise five styles of sedimentation in the Taylor/Ferrar fiords, which we correlate with discrete climate phases. During the latest Miocene-early Pliocene, wet based glaciers filled the Taylor and Ferrar fiords with active sedimentation in the Taylor Fiord and erosion of basement rocks in the Ferrar Fiord. Glaciers retreated during the Pliocene warm period leaving open marine conditions and deep fiords (&gt;300 m) at a time when the Ross Sea was free of ice and sea surface temperatures around Antarctica were at least 5 degrees C warmer than today. We recognise the first significant cooling in DVDP-11 post 2.6 Ma by a shift to current winnowed sediments sourced from the Ross Sea rather than from East Antarctic glaciers. Post 1.7 Ma, lacustrine sediments were deposited behind ice-dammed lakes, which formed when West Antarctic ice expanded and grounded across the Ross Embayment and abutted the Transantarctic Mountains. (C) 2011 Elsevier B.V. All rights reserved.</t>
  </si>
  <si>
    <t>[Ohneiser, Christian; Wilson, Gary] Univ Otago, Dept Geol, Dunedin, New Zealand; [Wilson, Gary] Univ Otago, Dept Marine Sci, Dunedin, New Zealand</t>
  </si>
  <si>
    <t>University of Otago; University of Otago</t>
  </si>
  <si>
    <t>Ohneiser, C (corresponding author), Univ Otago, Dept Geol, POB 56, Dunedin, New Zealand.</t>
  </si>
  <si>
    <t>Christian.Ohneiser@otago.ac.nz</t>
  </si>
  <si>
    <t>Ohneiser, Christian/B-5797-2018; Wilson, Gary S/B-3803-2010</t>
  </si>
  <si>
    <t>Wilson, Gary/0000-0003-0025-3641; Ohneiser, Christian/0000-0002-2781-2522</t>
  </si>
  <si>
    <t>New Zealand Foundation for Research, Science and Technology</t>
  </si>
  <si>
    <t>New Zealand Foundation for Research, Science and Technology(New Zealand Foundation for Research, Science and Technology)</t>
  </si>
  <si>
    <t>This work was supported by the New Zealand Foundation for Research, Science and Technology as part of the New Zealand AND RILL grant. We thank Fabio Florindo and Leonardo Sagnotti for helpful discussions and the technical support and Kat Lilly for help with EPMA analyses. We thank Matt Olney, Steven Petrushak, and Simon Harder Holm Nielsen at the Antarctic Marine Geology Research Facility, Florida State University for assistance with sample collection. We are grateful for helpful discussions with Diane Winter and Richard Levy regarding biostratigraphic ages used in our correlations.</t>
  </si>
  <si>
    <t>10.1016/j.gloplacha.2011.11.011</t>
  </si>
  <si>
    <t>WOS:000309896800009</t>
  </si>
  <si>
    <t>Ross, JI; McIntosh, WC; Dunbar, NW</t>
  </si>
  <si>
    <t>Ross, J. I.; McIntosh, W. C.; Dunbar, N. W.</t>
  </si>
  <si>
    <t>Development of a precise and accurate age-depth model based on 40Ar/39Ar dating of volcanic material in the ANDRILL (1B) drill core, Southern McMurdo Sound, Antarctica</t>
  </si>
  <si>
    <t>40Ar/39Ar Geochronology; ANDRILL; Cenozoic volcanism; Ross Island; Antarctica; McMurdo Sound</t>
  </si>
  <si>
    <t>EXCESS ARGON; DRY VALLEYS; K-AR; GEOCHRONOLOGY; ISLAND; HISTORY; EREBUS</t>
  </si>
  <si>
    <t>High precision 40Ar/39Ar dates on a variety of volcanic materials from the AND-1B drill core provide pinning points for defining the chronostratigraphy for the core. The volcanic materials dated include 1) felsic and basaltic tephra, 2) interior of a similar to 3 m thick intermediate submarine lava flow, and 3) felsic and basaltic volcanic clasts. In the upper 600 m of the core, two felsic tephra, two basaltic tephra and the intermediate laval flow yield precise and depositional ages, with further maximum age constraints from volcanic clasts. Below 600 m in the core, tephric intervals are significantly altered and maximum age constraints only are available from volcanic clasts. The ages for eight stratigraphic intervals are 1) 17.17-17.18 mbsf, basaltic clast (maximum depositional age 0.310 +/- 0.039 Ma, all errors quoted at 2 sigma), 2) 52.80-52.82 mbsf, three basaltic clasts (maximum depositional age 0.726 +/- 0.052 Ma), 3) 85.27-85.87 mbsf felsic tephra (1.014 +/- 0.008 Ma), 4) similar to 112-145 mbsf sequence of basaltic tephra (1.633 +/- 0.057 to 1.683 +/- 0.055 Ma), 5) 480.97-481.96 mbsf pumice-rich mudstone (4.800 +/- 0.076 Ma), 6) 646.30-649.34 mbsf intermediate lava flow (6.48 +/- 0.13 Ma), 7) 822.78 mbsf kaersutite phenocrysts from volcanic clasts (maximum depositional age 8.53 +/- 0.53 Ma) and 8) similar to 1280 mbsf, three volcanic clasts (maximum depositional age 13.57 +/- 0.13 Ma). Minimum average sediment accumulation rates or 102 and 87 m/Ma for the upper and lower 650 m of core, respectively were calculated using the 40Ar/39Ar analyses. The volcanic material recovered from AND-1B also reveals a general northward progression of volcanism in Southern McMurdo Sound. (C) 2012 Elsevier B.V. All rights reserved.</t>
  </si>
  <si>
    <t>[Ross, J. I.; McIntosh, W. C.] New Mexico Inst Min &amp; Technol, Dept Earth &amp; Environm Sci, Socorro, NM 87801 USA; [McIntosh, W. C.; Dunbar, N. W.] New Mexico Bur Geol &amp; Mineral Resources, Socorro, NM 87801 USA</t>
  </si>
  <si>
    <t>New Mexico Institute of Mining Technology</t>
  </si>
  <si>
    <t>Ross, JI (corresponding author), New Mexico Inst Min &amp; Technol, Dept Earth &amp; Environm Sci, 801 Leroy Pl, Socorro, NM 87801 USA.</t>
  </si>
  <si>
    <t>jirhiker@nmt.edu; mcintosh@nmt.edu; nelia@nmt.edub</t>
  </si>
  <si>
    <t>Dunbar, Nelia W./HZL-8693-2023</t>
  </si>
  <si>
    <t>Dunbar, Nelia W./0000-0002-5181-937X</t>
  </si>
  <si>
    <t>Antarctic New Zealand; Raytheon Polar Services; US National Science Foundation; NZ Foundation for Research, Science and Technology; Royals Society of NZ Marsden Fund; Italian Antarctic Research Programme; German Research Foundation (DFG); Alfred Wegener Institute for Polar and Marine Research; National Science Foundation [0342484]</t>
  </si>
  <si>
    <t>Antarctic New Zealand; Raytheon Polar Services; US National Science Foundation(National Science Foundation (NSF)); NZ Foundation for Research, Science and Technology(New Zealand Foundation for Research, Science and Technology); Royals Society of NZ Marsden Fund; Italian Antarctic Research Programme; German Research Foundation (DFG)(German Research Foundation (DFG)); Alfred Wegener Institute for Polar and Marine Research; National Science Foundation(National Science Foundation (NSF))</t>
  </si>
  <si>
    <t>The ANDRILL project is a multinational collaboration between the Antarctic programmes of Germany, Italy, New Zealand and the United States. Antarctica New Zealand is the project operator and developed the drilling system in collaboration with Alex Pyne at Victoria University of Wellington and Webster Drilling and Exploration Ltd. Antarctic New Zealand supported the drilling team at Scott Base and Raytheon Polar Services supported the science team at McMurdo Station and the Crary Science and Engineering Laboratory. The ANDRILL Science Management Office at the University of Nebraska-Lincoln provided science planning and operation support. Scientific studies are jointly supported by the US National Science Foundation, NZ Foundation for Research, Science and Technology and the Royals Society of NZ Marsden Fund, the Italian Antarctic Research Programme, The German Research Foundation (DFG) and the Alfred Wegener Institute for Polar and Marine Research.; This material is based upon work supported by the National Science Foundation under Cooperative Agreement No. 0342484 through sub-awards administered by the ANDRILL Science Management Office at the University of Nebraska-Lincoln, and issued through Northern Illinois University, as part of the ANDRILL U.S. Science Support Program. Any opinions, findings, and conclusions or recommendations expressed in this material are those of the author(s) and do not necessarily reflect the views of the National Science Foundation.</t>
  </si>
  <si>
    <t>10.1016/j.gloplacha.2012.05.005</t>
  </si>
  <si>
    <t>WOS:000309896800010</t>
  </si>
  <si>
    <t>Winter, D; Sjunneskog, C; Scherer, R; Maffioli, P; Harwood, D</t>
  </si>
  <si>
    <t>Winter, Diane; Sjunneskog, Charlotte; Scherer, Reed; Maffioli, Paola; Harwood, David</t>
  </si>
  <si>
    <t>Diatom-based correlation of early to mid-Pliocene drillcores from the southwestern Ross Sea, Antarctica</t>
  </si>
  <si>
    <t>ANDRILL; early Pliocene; biostratigraphy; Antarctica; diatom; correlation</t>
  </si>
  <si>
    <t>PRINCE-CHARLES MOUNTAINS; SOUTHERN-OCEAN SEDIMENTS; DEEP-WATER CIRCULATION; MIOCENE GLACIER ICE; BEACON VALLEY; TRANSANTARCTIC MOUNTAINS; SEISMIC STRATIGRAPHY; PAGODROMA GROUP; VICTORIA LAND; MCMURDO SOUND</t>
  </si>
  <si>
    <t>The ANDRILL AND-1B drillcore in southern Victoria Land Basin, Antarctica recovered an upper Miocene to early Pleistocene continental shelf stratigraphic section, including a spectacular Pliocene and Pleistocene sequence of alternating diamictite and diatom-rich sediments. This punctuated sequence reflects variation between glacial sediments deposited by ice advance over the site and open-marine diatom productivity and sedimentation. An early Pliocene age for the base of diatom-rich sediment is constrained through integrated diatom biostratigraphy and magnetostratigraphy. The presence of marine diatom Shionodiscus retraoestrupii from the top of the core to 583.64 mbsf indicates the lowest diatom-bearing sediments are younger than 5 Ma. This drillcore provides important new chronostratigraphic control for paleoenvironmental changes also recorded in three drillcores from the western coast of the McMurdo Sound area, DVDP-10 and -11 in Taylor Valley and CIROS-2 from the seaward edge of Ferrar Fjord. The refined continental shelf biostratigraphy developed from AND-1B provides a framework for regional correlation to understand better the timing and character of large paleoenvironmental changes in the western Ross Sea that involve the history of the West Antarctic Ice Sheet (WAIS). Multivariate analysis, along with traditional biostratigraphic approaches, enables the correlation and comparison of coeval intervals in these drillcores. A composite stratigraphic sequence from these four cores suggests the early and mid-Pliocene Ross Sea experienced extended intervals of open-marine conditions with minimal sea-ice cover and high diatom production and sedimentation. This new information provides important constraints on Antarctic paleoclimate and ice sheet history during an important interval when global climate was warmer than today. The history preserved in these four drillcores will be an important tool to guide and test future ice sheet and climate models. (C) 2010 Elsevier B.V. All rights reserved.</t>
  </si>
  <si>
    <t>[Winter, Diane] Univ Nebraska Lincoln, Dept Geosci, Lincoln, NE 68588 USA; [Sjunneskog, Charlotte] Louisiana State Univ, Baton Rouge, LA 70803 USA; [Scherer, Reed] No Illinois Univ, De Kalb, IL 60115 USA; [Maffioli, Paola] Univ Milanobiocca, Dipartimento Sci Geol &amp; Geotecnol, Milan, Italy</t>
  </si>
  <si>
    <t>University of Nebraska System; University of Nebraska Lincoln; Louisiana State University System; Louisiana State University; Northern Illinois University</t>
  </si>
  <si>
    <t>National Science Foundation [0342484]; U.S. Antarctic Program (USAP); Raytheon Polar Services Corporation (RPSC); Antarctica New Zealand; US National Science Foundation; NZ Foundation for Research; Italian Antarctic Research Program; German Science Foundation; Alfred Wegener Institute</t>
  </si>
  <si>
    <t>National Science Foundation(National Science Foundation (NSF)); U.S. Antarctic Program (USAP); Raytheon Polar Services Corporation (RPSC); Antarctica New Zealand; US National Science Foundation(National Science Foundation (NSF)); NZ Foundation for Research; Italian Antarctic Research Program; German Science Foundation(German Research Foundation (DFG)); Alfred Wegener Institute</t>
  </si>
  <si>
    <t>Special thanks go to Drs. Matthew Olney and Scott Ishman for their comments and advice regarding this manuscript. This material is based upon work supported by the National Science Foundation under Cooperative Agreement No. 0342484 through subawards administered by the ANDRILL Science Management Office at the University of Nebraska-Lincoln, and issued through Northern Illinois University (for the MIS Project), as part of the ANDRILL U.S. Science Support Program. Any opinions, findings, and conclusions or recommendations expressed in this material are those of the author( s) and do not necessarily reflect the views of the National Science Foundation.; The ANDRILL (ANtarctic geologic DRILLing)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Exploration. The U.S. Antarctic Program (USAP) and Raytheon Polar Services Corporation (RPSC) supported the science team at McMurdo Station and in the Crary Science and Engineering Laboratory, while Antarctica New Zealand supported the drilling team at Scott Base. Scientific studies are jointly supported by the US National Science Foundation, NZ Foundation for Research, the Italian Antarctic Research Program, the German Science Foundation and the Alfred Wegener Institute.</t>
  </si>
  <si>
    <t>10.1016/j.gloplacha.2009.12.004</t>
  </si>
  <si>
    <t>WOS:000309896800011</t>
  </si>
  <si>
    <t>Cody, R; Levy, R; Crampton, J; Naish, T; Wilson, G; Harwood, D</t>
  </si>
  <si>
    <t>Cody, Rosemary; Levy, Richard; Crampton, James; Naish, Timothy; Wilson, Gary; Harwood, David</t>
  </si>
  <si>
    <t>Selection and stability of quantitative stratigraphic age models: Plio-Pleistocene glaciomarine sediments in the ANDRILL 1B drillcore, McMurdo Ice Shelf</t>
  </si>
  <si>
    <t>quantitative biostratigraphy; age model; CONOP; ANDRILL; Antarctica; Plio-Pleistocene; diatom; chronostratigraphy</t>
  </si>
  <si>
    <t>BIOSTRATIGRAPHY; RESOLUTION</t>
  </si>
  <si>
    <t>Interpretation of glacimarine sedimentary records from Antarctic shelf drillholes has been hampered by the ambiguous age of strata where erosional unconformities and coarse diamictite deposits truncate or omit the magnetostratigraphic and biostratigraphic units used for correlation. However, new quantitative biostratigraphic techniques enable the correlation of sparse, incomplete, and often reworked Plio-Pleistocene records of Ross Sea fossil diatom flora with the more extensively documented but potentially diachronous offshore history of species' first and last appearance datums (FADs and LADs). The approach uses comprehensive regional databases of fossil records and computer-automated search algorithms to find the multidimensional line of correlation (LOC) that best fits local observations, and to identify regionally isochronous biostratigraphic markers. Different model configurations can be used to produce LOCs that represent alternative working hypotheses regarding reworking and other sources of misfit in the biostratigraphic record, and that together provide an envelope of uncertainty for age interpretation. An integrated, quantitative chronostratigraphic model for the ANDRILL-1B drillcore was developed iteratively: an initial age model was constructed solely from preliminary on-ice observations of fossil diatom highest and lowest occurrences (HOs and LOs) and their correlation with a database of other local event records from 24 DVDP, CIROS, and IODP drillcore sections. The model was subsequently updated as off-ice work yielded additional biostratigraphic marker events and revised event horizons, Ar/Ar ages for volcanic material, better-constrained magnetostratigraphic interpretation, and refinements to computational/analytical methodology. The current quantitative biostratigraphic age model for the AND-1B hole integrates the local ranges of 29 diatom taxa, five dated volcanic samples, and independently constrained ages of five paleomagnetic reversals. During analysis, three model families were compared, each of which make different assumptions about the scale and influence of reworking and caving on observed biostratigraphic ranges, varying from assumption of no reworking/caving to widespread reworking/caving. Of these, the Hybrid Range Model, which allows for intermediate levels of reworking expected in a glaciomarine depositional environment, was found to give the most robust and reliable single LOC, even with immature input biostratigraphic data. However, alternative models used together provide an envelope of uncertainty around this preferred LOC. Results corroborate almost all of the on-ice geomagnetic polarity reversal age interpretations, but identify a previously unrecognized disconformity (similar to 800 kyr hiatus) near 440 mbsf. In spite of substantial augmentation and progressive refinement of the AND-1B input dataset, successive versions of the output LOC retain the same fundamental structure and shape with only relatively minor, fine-scale differences. The age model's remarkable stability indicates that quantitative biostratigraphic analysis is capable of constructing robust and reliable regional correlation schemes and local section chronologies, even in cases of discontinuous stratigraphy and with relatively immature or incomplete datasets. (C) 2012 Published by Elsevier B.V.</t>
  </si>
  <si>
    <t>[Cody, Rosemary; Naish, Timothy] Victoria Univ Wellington, Antarctic Res Ctr, Wellington 6140, New Zealand; [Cody, Rosemary; Levy, Richard; Crampton, James] GNS Sci, Lower Hutt 5040, New Zealand; [Wilson, Gary] Univ Otago, Dept Geol, Dunedin 9054, New Zealand; [Harwood, David] Univ Nebraska Lincoln, Dept Earth &amp; Atmospher Sci, Lincoln, NE 68588 USA</t>
  </si>
  <si>
    <t>Victoria University Wellington; GNS Science - New Zealand; University of Otago; University of Nebraska System; University of Nebraska Lincoln</t>
  </si>
  <si>
    <t>Cody, R (corresponding author), Victoria Univ Wellington, Antarctic Res Ctr, POB 600, Wellington 6140, New Zealand.</t>
  </si>
  <si>
    <t>rosieboa@gmail.com</t>
  </si>
  <si>
    <t>Wilson, Gary S/B-3803-2010; Levy, Richard H/E-2477-2011; Crampton, James/G-1381-2012</t>
  </si>
  <si>
    <t>Wilson, Gary/0000-0003-0025-3641; Crampton, James/0000-0003-3270-9981; Naish, Tim/0000-0002-1185-9932; Levy, Richard/0000-0002-8783-0167</t>
  </si>
  <si>
    <t>Sarah Beanland Scholarship from GNS Science; Victoria University of Wellington; Endowed Research Fund of the Antarctic Research Centre; US National Science Foundation [0342484]; NZ Foundation for Research Science and Technology [C05X0410, C05X1001]; Royal Society of New Zealand Marsden Fund; Italian Antarctic Research Programme; German Research Foundation (DFG); Alfred Wegener Institute for Polar and Marine Research (Helmholtz Association of German Research Centres)</t>
  </si>
  <si>
    <t>Sarah Beanland Scholarship from GNS Science; Victoria University of Wellington; Endowed Research Fund of the Antarctic Research Centre; US National Science Foundation(National Science Foundation (NSF)); NZ Foundation for Research Science and Technology(New Zealand Foundation for Research, Science and Technology); Royal Society of New Zealand Marsden Fund(Royal Society of New ZealandMarsden Fund (NZ)); Italian Antarctic Research Programme; German Research Foundation (DFG)(German Research Foundation (DFG)); Alfred Wegener Institute for Polar and Marine Research (Helmholtz Association of German Research Centres)</t>
  </si>
  <si>
    <t>This material is based upon work supported by the Sarah Beanland Scholarship from GNS Science and postgraduate support from Victoria University of Wellington and from the Endowed Research Fund of the Antarctic Research Centre.; The ANDRILL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Enterprises Ltd. Scientific studies are jointly supported by the US National Science Foundation (Cooperative Agreement No. 0342484 to the University of Nebraska-Lincoln), NZ Foundation for Research Science and Technology (contracts C05X0410 and C05X1001), Royal Society of New Zealand Marsden Fund, the Italian Antarctic Research Programme, the German Research Foundation (DFG) and the Alfred Wegener Institute for Polar and Marine Research (Helmholtz Association of German Research Centres). Antarctica New Zealand supported the drilling team at Scott Base; Raytheon Polar Services supported the science team at McMurdo Station and the Crary Science and Engineering Laboratory. The ANDRILL Science Management Office at the University of Nebraska-Lincoln provided science planning and operational support.</t>
  </si>
  <si>
    <t>10.1016/j.gloplacha.2012.05.017</t>
  </si>
  <si>
    <t>WOS:000309896800012</t>
  </si>
  <si>
    <t>Levy, R; Cody, R; Crampton, J; Fielding, C; Golledge, N; Harwood, D; Henrys, S; Mckay, R; Naish, T; Ohneiser, C; Wilson, G; Wilson, T; Winter, D</t>
  </si>
  <si>
    <t>Levy, Richard; Cody, Rosemary; Crampton, James; Fielding, Christopher; Golledge, Nick; Harwood, David; Henrys, Stuart; Mckay, Robert; Naish, Timothy; Ohneiser, Christian; Wilson, Gary; Wilson, Terry; Winter, Diane</t>
  </si>
  <si>
    <t>Reprint of: Late Neogene climate and glacial history of the Southern Victoria Land coast from integrated drill core, seismic and outcrop data</t>
  </si>
  <si>
    <t>Neogene; Antarctica; diatom; ANDRILL; quantitative biostratigraphy; climate; tectonics</t>
  </si>
  <si>
    <t>ANTARCTIC ICE-SHEET; PLIOCENE-PLEISTOCENE UPLIFT; DRY VALLEYS SECTOR; EUSTATIC SEA-LEVEL; PERMANENT EL-NINO; TRANSANTARCTIC MOUNTAINS; DIATOM BIOSTRATIGRAPHY; SORSDAL FORMATION; VESTFOLD HILLS; MCMURDO SOUND</t>
  </si>
  <si>
    <t>Late Neogene stratigraphy of southern Victoria Land Basin is revealed in coastal and offshore drill cores and a network of seismic data in McMurdo Sound, Antarctica. These data preserve a record of ice sheet response to global climate variability and progressive cooling through the past 5 million years. Application of a composite standard age model for diatom event stratigraphy to the McMurdo Sound drill cores provides an internally precise mechanism to correlate stratigraphic data and derive an event history for the basin. These marine records are indirectly compared to data obtained from geological outcrop in the Transantarctic Mountains to produce an integrated history of Antarctic Ice Sheet response to climate variability from the early Pliocene to Recent. Four distinct chronostratigraphic intervals reflect stages and steps in a transition from a relatively warm early Pliocene Antarctic coastal climate to modern cold polar conditions. Several of these stages and steps correlate with global events identified via geochemical proxy data recovered from deep ocean cores in mid to low latitudes. These correlations allow us to consider linkages between the high southern latitudes and tropical regions and establish a temporal framework to examine leads and lags in the climate system through the late Neogene and Quaternary. The relative influence of climate-tectonic feedbacks is discussed in light of glacial erosion and isostatic rebound that also influence the history along the Southern Victoria Land coastal margin. (C) 2011 Elsevier B.V. All rights reserved.</t>
  </si>
  <si>
    <t>[Levy, Richard; Crampton, James; Henrys, Stuart] GNS Sci, Lower Hutt 5040, New Zealand; [Cody, Rosemary; Golledge, Nick; Mckay, Robert; Naish, Timothy] Victoria Univ Wellington, Wellington, New Zealand; [Fielding, Christopher; Harwood, David] Univ Nebraska Lincoln, Lincoln, NE USA; [Ohneiser, Christian; Wilson, Gary] Univ Otago, Dunedin, New Zealand; [Wilson, Terry] Ohio State Univ, Columbus, OH 43210 USA; [Winter, Diane] Rhithron Associates Inc, Missoula, MT USA</t>
  </si>
  <si>
    <t>GNS Science - New Zealand; Victoria University Wellington; University of Nebraska System; University of Nebraska Lincoln; University of Otago; University System of Ohio; Ohio State University</t>
  </si>
  <si>
    <t>Levy, R (corresponding author), GNS Sci, POB 30368, Lower Hutt 5040, New Zealand.</t>
  </si>
  <si>
    <t>r.levy@gns.cri.nz</t>
  </si>
  <si>
    <t>Ohneiser, Christian/B-5797-2018; Wilson, Gary S/B-3803-2010; Henrys, Stuart/ABD-7378-2020; McKay, Robert/N-2449-2015; Levy, Richard H/E-2477-2011; Crampton, James/G-1381-2012</t>
  </si>
  <si>
    <t>Henrys, Stuart/0000-0002-7164-5274; McKay, Robert/0000-0002-5602-6985; Wilson, Gary/0000-0003-0025-3641; Golledge, Nicholas/0000-0001-7676-8970; Crampton, James/0000-0003-3270-9981; Ohneiser, Christian/0000-0002-2781-2522; Levy, Richard/0000-0002-8783-0167; Naish, Tim/0000-0002-1185-9932</t>
  </si>
  <si>
    <t>US National Science Foundation [0342484]; NZ Ministry of Science and Innovation [C05X0410, C05X1001]; Royal Society of New Zealand Marsden Fund; Italian Antarctic Research Programme; German Research Foundation (DFG); Alfred Wegener Institute for Polar and Marine Research (Helmholtz Association of German Research Centres)</t>
  </si>
  <si>
    <t>US National Science Foundation(National Science Foundation (NSF)); NZ Ministry of Science and Innovation; Royal Society of New Zealand Marsden Fund(Royal Society of New ZealandMarsden Fund (NZ)); Italian Antarctic Research Programme; German Research Foundation (DFG)(German Research Foundation (DFG)); Alfred Wegener Institute for Polar and Marine Research (Helmholtz Association of German Research Centres)</t>
  </si>
  <si>
    <t>The ANDRILL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Enterprises Ltd. Scientific studies are jointly supported by the US National Science Foundation (Cooperative Agreement no. 0342484 to the University of Nebraska-Lincoln), NZ Ministry of Science and Innovation (previously NZ Foundation for Research Science and Technology) contracts C05X0410 and C05X1001, Royal Society of New Zealand Marsden Fund, the Italian Antarctic Research Programme, the German Research Foundation (DFG) and the Alfred Wegener Institute for Polar and Marine Research (Helmholtz Association of German Research Centres). Antarctica New Zealand supported the drilling team at Scott Base; Raytheon Polar Services supported the science team at McMurdo Station and the Crary Science and Engineering Laboratory. The ANDRILL Science Management Office at the University of Nebraska-Lincoln provided science planning and operational support. Comments from two anonymous reviewers enhanced and improved this paper.</t>
  </si>
  <si>
    <t>10.1016/j.gloplacha.2012.02.005</t>
  </si>
  <si>
    <t>WOS:000309896800013</t>
  </si>
  <si>
    <t>DeConto, RM; Pollard, D; Kowalewski, D</t>
  </si>
  <si>
    <t>DeConto, Robert M.; Pollard, David; Kowalewski, Douglas</t>
  </si>
  <si>
    <t>Reprint of: Modeling Antarctic ice sheet and climate variations during Marine Isotope Stage 31</t>
  </si>
  <si>
    <t>Antarctica; MIS-31; global climate model; ice sheet model</t>
  </si>
  <si>
    <t>CARBON-DIOXIDE CONCENTRATION; SEA-LEVEL FLUCTUATIONS; COUPLED CLIMATE; GLOBAL CLIMATE; PLIOCENE; SENSITIVITY; COLLAPSE; GREENHOUSE; SIMULATION; QUATERNARY</t>
  </si>
  <si>
    <t>Marine Isotope Stage 31 (MIS-31) is one of the major interglacials of the early Pleistocene similar to 1.08 to 1.06 Ma. Data from proximal sediment cores around several sectors of Antarctica indicate strong sea surface warming and ice shelf and sea ice retreat. Benthic deep-sea-core 00 values at this time are some of the lowest of the Pleistocene, indicating both deep sea warming and reduced global ice volume. A coeval alignment of orbital parameters produces one of the strongest high-latitude summer insolation anomalies of the last several million years. Here we use a 3-D ice sheet-shelf model to simulate the evolution of Antarctic ice sheets through the event, and a global climate model to simulate temperatures and sea ice during peak Antarctic warmth. The ice model predicts nearly complete collapse and subsequent recovery of marine ice in West Antarctica, and the ice and climate model results agree well with proximal sediment core data in the Ross Embayment recovered by the ANDRILL and Cape Roberts drilling projects. The dominant forcing is found to be variations in sub-ice-shelf oceanic melting, with insignificant surface melting of terrestrial ice flanks even during peak warmth. Implications are noted in light of other observations and theories of Pliocene-Pleistocene Antarctic ice sheet variability that do involve surface melt. (C) 2012 Elsevier B.V. All rights reserved.</t>
  </si>
  <si>
    <t>[DeConto, Robert M.; Kowalewski, Douglas] Univ Massachusetts Amherst, Dept Geosci, Amherst, MA 01002 USA; [Pollard, David] Penn State Univ, Earth &amp; Environm Syst Inst, University Pk, PA 16802 USA</t>
  </si>
  <si>
    <t>University of Massachusetts System; University of Massachusetts Amherst; Pennsylvania Commonwealth System of Higher Education (PCSHE); Pennsylvania State University; Pennsylvania State University - University Park</t>
  </si>
  <si>
    <t>DeConto, RM (corresponding author), Univ Massachusetts Amherst, Dept Geosci, Amherst, MA 01002 USA.</t>
  </si>
  <si>
    <t>deconto@geo.umass.edu</t>
  </si>
  <si>
    <t>Kowalewski, Douglas/0000-0002-7847-026X</t>
  </si>
  <si>
    <t>US National Science Foundation [ATM-0513402/0513421, ANT-0424589/034248, ANT-1043712]</t>
  </si>
  <si>
    <t>US National Science Foundation(National Science Foundation (NSF))</t>
  </si>
  <si>
    <t>This work was funded by the US National Science Foundation under awards ATM-0513402/0513421, ANT-0424589/034248, and ANT-1043712.</t>
  </si>
  <si>
    <t>10.1016/j.gloplacha.2012.05.018</t>
  </si>
  <si>
    <t>WOS:000309896800014</t>
  </si>
  <si>
    <t>Wilson, GS; Levy, RH; Naish, TR; Powell, RD; Florindo, F; Ohneiser, C; Sagnotti, L; Winter, DM; Cody, R; Henrys, S; Ross, J; Krissek, L; Niessen, F; Pompillio, M; Scherer, R; Alloway, BV; Barrett, PJ; Brachfeld, S; Browne, G; Carter, L; Cowan, E; Crampton, J; DeConto, RM; Dunbar, G; Dunbar, N; Dunbar, R; von Eynatten, H; Gebhardt, C; Giorgetti, G; Graham, I; Hannah, M; Hansaraj, D; Harwood, DM; Hinnov, L; Jarrard, RD; Joseph, L; Kominz, M; Kuhn, G; Kyle, P; Läufer, A; McIntosh, WC; McKay, R; Maffioli, P; Magens, D; Millan, C; Monien, D; Morin, R; Paulsen, T; Persico, D; Pollard, D; Raine, JI; Riesselman, C; Sandroni, S; Schmitt, D; Sjunneskog, C; Strong, CP; Talarico, F; Taviani, M; Villa, G; Vogel, S; Wilch, T; Williams, T; Wilson, TJ; Wise, S</t>
  </si>
  <si>
    <t>Wilson, Gary S.; Levy, Richard H.; Naish, Tim R.; Powell, Ross D.; Florindo, Fabio; Ohneiser, Christian; Sagnotti, Leonardo; Winter, Diane M.; Cody, Rosemary; Henrys, Stuart; Ross, Jake; Krissek, Larry; Niessen, Frank; Pompillio, Massimo; Scherer, Reed; Alloway, Brent V.; Barrett, Peter J.; Brachfeld, Stefanie; Browne, Greg; Carter, Lionel; Cowan, Ellen; Crampton, James; DeConto, Robert M.; Dunbar, Gavin; Dunbar, Nelia; Dunbar, Robert; von Eynatten, Hilmar; Gebhardt, Catalina; Giorgetti, Giovanna; Graham, Ian; Hannah, Mike; Hansaraj, Dhiresh; Harwood, David M.; Hinnov, Linda; Jarrard, Richard D.; Joseph, Leah; Kominz, Michelle; Kuhn, Gerhard; Kyle, Philip; Laeufer, Andreas; McIntosh, William C.; McKay, Robert; Maffioli, Paola; Magens, Diana; Millan, Christina; Monien, Donata; Morin, Roger; Paulsen, Timothy; Persico, Davide; Pollard, David; Raine, J. Ian; Riesselman, Christina; Sandroni, Sonia; Schmitt, Doug; Sjunneskog, Charlotte; Strong, C. Percy; Talarico, Franco; Taviani, Marco; Villa, Giuliana; Vogel, Stefan; Wilch, Tom; Williams, Trevor; Wilson, Terry J.; Wise, Sherwood</t>
  </si>
  <si>
    <t>Neogene tectonic and climatic evolution of the Western Ross Sea, Antarctica - Chronology of events from the AND-1B drill hole</t>
  </si>
  <si>
    <t>Stratigraphic Drilling; McMurdo Ice Shelf; Chronostratigraphy; Neogene; Tectonics; Ice Sheet history</t>
  </si>
  <si>
    <t>SOUTHERN VICTORIA LAND; ICE-SHEET; GLACIAL HISTORY; MCMURDO SOUND; SEISMIC STRATIGRAPHY; BASIN EVOLUTION; SIRIUS GROUP; DRY-VALLEYS; MIOCENE; PLIOCENE</t>
  </si>
  <si>
    <t>Stratigraphic drilling from the McMurdo Ice Shelf in the 2006/2007 austral summer recovered a 1284.87 m sedimentary succession from beneath the sea floor. Key age data for the core include magnetic polarity stratigraphy for the entire succession, diatom biostratigraphy for the upper 600 m and 40Ar/39Ar ages for in-situ volcanic deposits as well as reworked volcanic clasts. A vertical seismic profile for the drill hole allows correlation between the drill hole and a regional seismic network and inference of age constraint by correlation with well-dated regional volcanic events through direct recognition of interlayered volcanic deposits as well as by inference from flexural loading of pre-existing strata. The combined age model implies relatively rapid (1 m/2-5 ky) accumulation of sediment punctuated by hiatuses, which account for approximately 50% of the record. Three of the longer hiatuses coincide with basin-wide seismic reflectors and, along with two thick volcanic intervals, they subdivide the succession into seven chronostratigraphic intervals with characteristic facies: 1. The base of the cored succession (1275-1220 mbsf) comprises middle Miocene volcaniclastic sandstone dated at approx 13.5 Ma by several reworked volcanic clasts; 2. A late-Miocene sub-polar orbitally controlled glacial-interglacial succession (1220-760 mbsf) bounded by two unconformities correlated with basin-wide reflectors associated with early development of the terror rift; 3. A late Miocene volcanigenic succession (760-596 mbsf) terminating with a similar to 1 my hiatus at 596.35 mbsf which spans the Miocene-Pliocene boundary and is not recognised in regional seismic data; 4. An early Pliocene obliquity-controlled alternating diamictite and diatomite glacial-interglacial succession (590-440 mbsf), separated from; 5. A late Pliocene obliquity-controlled alternating diamictite and diatomite glacial-interglacial succession (440-150 mbsf) by a 750 Icy unconformity interpreted to represent a major sequence boundary at other locations; 6. An early Pleistocene interbedded volcanic, diamictite and diatomite succession (150-80 mbsf), and; 7. A late Pleistocene glacigene succession (80-0 mbsf) comprising diamictite dominated sedimentary cycles deposited in a polar environment. (C) 2012 Elsevier B.V. All rights reserved. Stratigraphic drilling from the McMurdo Ice Shelf in the 2006/2007 austral summer recovered a 1284.87 m sedimentary succession from beneath the sea floor. Key age data for the core include magnetic polarity stratigraphy for the entire succession, diatom biostratigraphy for the upper 600 m and 40Ar/39Ar ages for in-situ volcanic deposits as well as reworked volcanic clasts. A vertical seismic profile for the drill hole allows correlation between the drill hole and a regional seismic network and inference of age constraint by correlation with well-dated regional volcanic events through direct recognition of interlayered volcanic deposits as well as by inference from flexural loading of pre-existing strata. The combined age model implies relatively rapid (1 m/2-5 ky) accumulation of sediment punctuated by hiatuses, which account for approximately 50% of the record. Three of the longer hiatuses coincide with basin-wide seismic reflectors and, along with two thick volcanic intervals, they subdivide the succession into seven chronostratigraphic intervals with characteristic facies: 1. The base of the cored succession (1275-1220 mbsf) comprises middle Miocene volcaniclastic sandstone dated at approx 13.5 Ma by several reworked volcanic clasts; 2. A late-Miocene sub-polar orbitally controlled glacial-interglacial succession (1220-760 mbsf) bounded by two unconformities correlated with basin-wide reflectors associated with early development of the terror rift; 3. A late Miocene volcanigenic succession (760-596 mbsf) terminating with a similar to 1 my hiatus at 596.35 mbsf which spans the Miocene-Pliocene boundary and is not recognised in regional seismic data; 4. An early Pliocene obliquity-controlled alternating diamictite and diatomite glacial-interglacial succession (590-440 mbsf), separated from; 5. A late Pliocene obliquity-controlled alternating diamictite and diatomite glacial-interglacial succession (440-150 mbsf) by a 750 Icy unconformity interpreted to represent a major sequence boundary at other locations; 6. An early Pleistocene interbedded volcanic, diamictite and diatomite succession (150-80 mbsf), and; 7. A late Pleistocene glacigene succession (80-0 mbsf) comprising diamictite dominated sedimentary cycles deposited in a polar environment. (C) 2012 Elsevier B.V. All rights reserved. Stratigraphic drilling from the McMurdo Ice Shelf in the 2006/2007 austral summer recovered a 1284.87 m sedimentary succession from beneath the sea floor. Key age data for the core include magnetic polarity stratigraphy for the entire succession, diatom biostratigraphy for the upper 600 m and 40Ar/39Ar ages for in-situ volcanic deposits as well as reworked volcanic clasts. A vertical seismic profile for the drill hole allows correlation between the drill hole and a regional seismic network and inference of age constraint by correlation with well-dated regional volcanic events through direct recognition of interlayered volcanic deposits as well as by inference from flexural loading of pre-existing strata. The combined age model implies relatively rapid (1 m/2-5 ky) accumulation of sediment punctuated by hiatuses, which account for approximately 50% of the record. Three of the longer hiatuses coincide with basin-wide seismic reflectors and, along with two thick volcanic intervals, they subdivide the succession into seven chronostratigraphic intervals with characteristic facies: 1. The base of the cored succession (1275-1220 mbsf) comprises middle Miocene volcaniclastic sandstone dated at approx 13.5 Ma by several reworked volcanic clasts; 2. A late-Miocene sub-polar orbitally controlled glacial-interglacial succession (1220-760 mbsf) bounded by two unconformities correlated with basin-wide reflectors associated with early development of the terror rift; 3. A late Miocene volcanigenic succession (760-596 mbsf) terminating with a similar to 1 my hiatus at 596.35 mbsf which spans the Miocene-Pliocene boundary and is not recognised in regional seismic data; 4. An early Pliocene obliquity-controlled alternating diamictite and diatomite glacial-interglacial succession (590-440 mbsf), separated from; 5. A late Pliocene obliquity-controlled alternating diamictite and diatomite glacial-interglacial succession (440-150 mbsf) by a 750 Icy unconformity interpreted to represent a major sequence boundary at other locations; 6. An early Pleistocene interbedded volcanic, diamictite and diatomite succession (150-80 mbsf), and; 7. A late Pleistocene glacigene succession (80-0 mbsf) comprising diamictite dominated sedimentary cycles deposited in a polar environment. (C) 2012 Elsevier B.V. All rights reserved. Stratigraphic drilling from the McMurdo Ice Shelf in the 2006/2007 austral summer recovered a 1284.87 m sedimentary succession from beneath the sea floor. Key age data for the core include magnetic polarity stratigraphy for the entire succession, diatom biostratigraphy for the upper 600 m and 40Ar/39Ar ages for in-situ volcanic deposits as well as reworked volcanic clasts. A vertical seismic profile for the drill hole allows correlation between the drill hole and a regional seismic network and inference of age constraint by correlation with well-dated regional volcanic events through direct recognition of interlayered volcanic deposits as well as by inference from flexural loading of pre-existing strata. The combined age model implies relatively rapid (1 m/2-5 ky) accumulation of sediment punctuated by hiatuses, which account for approximately 50% of the record. Three of the longer hiatuses coincide with basin-wide seismic reflectors and, along with two thick volcanic intervals, they subdivide the succession into seven chronostratigraphic intervals with characteristic facies: 1. The base of the cored succession (1275-1220 mbsf) comprises middle Miocene volcaniclastic sandstone dated at approx 13.5 Ma by several reworked volcanic clasts; 2. A late-Miocene sub-polar orbitally controlled glacial-interglacial succession (1220-760 mbsf) bounded by two unconformities correlated with basin-wide reflectors associated with early development of the terror rift; 3. A late Miocene volcanigenic succession (760-596 mbsf) terminating with a similar to 1 my hiatus at 596.35 mbsf which spans the Miocene-Pliocene boundary and is not recognised in regional seismic data; 4. An early Pliocene obliquity-controlled alternating diamictite and diatomite glacial-interglacial succession (590-440 mbsf), separated from; 5. A late Pliocene obliquity-controlled alternating diamictite and diatomite glacial-interglacial succession (440-150 mbsf) by a 750 Icy unconformity interpreted to represent a major sequence boundary at other locations; 6. An early Pleistocene interbedded volcanic, diamictite and diatomite succession (150-80 mbsf), and; 7. A late Pleistocene glacigene succession (80-0 mbsf) comprising diamictite dominated sedimentary cycles deposited in a polar environment. (C) 2012 Elsevier B.V. All rights reserved. Stratigraphic drilling from the McMurdo Ice Shelf in the 2006/2007 austral summer recovered a 1284.87 m sedimentary succession from beneath the sea floor. Key age data for the core include magnetic polarity stratigraphy for the entire succession, diatom biostratigraphy for the upper 600 m and 40Ar/39Ar ages for in-situ volcanic deposits as well as reworked volcanic clasts. A vertical seismic profile for the drill hole allows correlation between the drill hole and a regional seismic network and inference of age constraint by correlation with well-dated regional volcanic events through direct recognition of interlayered volcanic deposits as well as by inference from flexural loading of pre-existing strata. The combined age model implies relatively rapid (1 m/2-5 ky) accumulation of sediment punctuated by hiatuses, which account for approximately 50% of the record. Three of the longer hiatuses coincide with basin-wide seismic reflectors and, along with two thick volcanic intervals, they subdivide the succession into seven chronostratigraphic intervals with characteristic facies: 1. The base of the cored succession (1275-1220 mbsf) comprises middle Miocene volcaniclastic sandstone dated at approx 13.5 Ma by several reworked volcanic clasts; 2. A late-Miocene sub-polar orbitally controlled glacial-interglacial succession (1220-760 mbsf) bounded by two unconformities correlated with basin-wide reflectors associated with early development of the terror rift; 3. A late Miocene volcanigenic succession (760-596 mbsf) terminating with a similar to 1 my hiatus at 596.35 mbsf which spans the Miocene-Pliocene boundary and is not recognised in regional seismic data; 4. An early Pliocene obliquity-controlled alternating diamictite and diatomite glacial-interglacial succession (590-440 mbsf), separated from; 5. A late Pliocene obliquity-controlled alternating diamictite and diatomite glacial-interglacial succession (440-150 mbsf) by a 750 Icy unconformity interpreted to represent a major sequence boundary at other locations; 6. An early Pleistocene interbedded volcanic, diamictite and diatomite succession (150-80 mbsf), and; 7. A late Pleistocene glacigene succession (80-0 mbsf) comprising diamictite dominated sedimentary cycles deposited in a polar environment. (C) 2012 Elsevier B.V. All rights reserved. Stratigraphic drilling from the McMurdo Ice Shelf in the 2006/2007 austral summer recovered a 1284.87 m sedimentary succession from beneath the sea floor. Key age data for the core include magnetic polarity stratigraphy for the entire succession, diatom biostratigraphy for the upper 600 m and 40Ar/39Ar ages for in-situ volcanic deposits as well as reworked volcanic clasts. A vertical seismic profile for the drill hole allows correlation between the drill hole and a regional seismic network and inference of age constraint by correlation with well-dated regional volcanic events through direct recognition of interlayered volcanic deposits as well as by inference from flexural loading of pre-existing strata. The combined age model implies relatively rapid (1 m/2-5 ky) accumulation of sediment punctuated by hiatuses, which account for approximately 50% of the record. Three of the longer hiatuses coincide with basin-wide seismic reflectors and, along with two thick volcanic intervals, they subdivide the succession into seven chronostratigraphic intervals with characteristic facies: 1. The base of the cored succession (1275-1220 mbsf) comprises middle Miocene volcaniclastic sandstone dated at approx 13.5 Ma by several reworked volcanic clasts; 2. A late-Miocene sub-polar orbitally controlled glacial-interglacial succession (1220-760 mbsf) bounded by two unconformities correlated with basin-wide reflectors associated with early development of the terror rift; 3. A late Miocene volcanigenic succession (760-596 mbsf) terminating with a similar to 1 my hiatus at 596.35 mbsf which spans the Miocene-Pliocene boundary and is not recognised in regional seismic data; 4. An early Pliocene obliquity-controlled alternating diamictite and diatomite glacial-interglacial succession (590-440 mbsf), separated from; 5. A late Pliocene obliquity-controlled alternating diamictite and diatomite glacial-interglacial succession (440-150 mbsf) by a 750 Icy unconformity interpreted to represent a major sequence boundary at other locations; 6. An early Pleistocene interbedded volcanic, diamictite and diatomite succession (150-80 mbsf), and; 7. A late Pleistocene glacigene succession (80-0 mbsf) comprising diamictite dominated sedimentary cycles deposited in a polar environment. (C) 2012 Elsevier B.V. All rights reserved. Stratigraphic drilling from the McMurdo Ice Shelf in the 2006/2007 austral summer recovered a 1284.87 m sedimentary succession from beneath the sea floor. Key age data for the core include magnetic polarity stratigraphy for the entire succession, diatom biostratigraphy for the upper 600 m and 40Ar/39Ar ages for in-situ volcanic deposits as well as reworked volcanic clasts. A vertical seismic profile for the drill hole allows correlation between the drill hole and a regional seismic network and inference of age constraint by correlation with well-dated regional volcanic events through direct recognition of interlayered volcanic deposits as well as by inference from flexural loading of pre-existing strata. The combined age model implies relatively rapid (1 m/2-5 ky) accumulation of sediment punctuated by hiatuses, which account for approximately 50% of the record. Three of the longer hiatuses coincide with basin-wide seismic reflectors and, along with two thick volcanic intervals, they subdivide the succession into seven chronostratigraphic intervals with characteristic facies: 1. The base of the cored succession (1275-1220 mbsf) comprises middle Miocene volcaniclastic sandstone dated at approx 13.5 Ma by several reworked volcanic clasts; 2. A late-Miocene sub-polar orbitally controlled glacial-interglacial succession (1220-760 mbsf) bounded by two unconformities correlated with basin-wide reflectors associated with early development of the terror rift; 3. A late Miocene volcanigenic succession (760-596 mbsf) terminating with a similar to 1 my hiatus at 596.35 mbsf which spans the Miocene-Pliocene boundary and is not recognised in regional seismic data; 4. An early Pliocene obliquity-controlled alternating diamictite and diatomite glacial-interglacial succession (590-440 mbsf), separated from; 5. A late Pliocene obliquity-controlled alternating diamictite and diatomite glacial-interglacial succession (440-150 mbsf) by a 750 Icy unconformity interpreted to represent a major sequence boundary at other locations; 6. An early Pleistocene interbedded volcanic, diamictite and diatomite succession (150-80 mbsf), and; 7. A late Pleistocene glacigene succession (80-0 mbsf) comprising diamictite dominated sedimentary cycles deposited in a polar environment. (C) 2012 Elsevier B.V. All rights reserved. Stratigraphic drilling from the McMurdo Ice Shelf in the 2006/2007 austral summer recovered a 1284.87 m sedimentary succession from beneath the sea floor. Key age data for the core include magnetic polarity stratigraphy for the entire succession, diatom biostratigraphy for the upper 600 m and 40Ar/39Ar ages for in-situ volcanic deposits as well as reworked volcanic clasts. A vertical seismic profile for the drill hole allows correlation between the drill hole and a regional seismic network and inference of age constraint by correlation with well-dated regional volcanic events through direct recognition of interlayered volcanic deposits as well as by inference from flexural loading of pre-existing strata. The combined age model implies relatively rapid (1 m/2-5 ky) accumulation of sediment punctuated by hiatuses, which account for approximately 50% of the record. Three of the longer hiatuses coincide with basin-wide seismic reflectors and, along with two thick volcanic intervals, they subdivide the succession into seven chronostratigraphic intervals with characteristic facies: 1. The base of the cored succession (1275-1220 mbsf) comprises middle Miocene volcaniclastic sandstone dated at approx 13.5 Ma by several reworked volcanic clasts; 2. A late-Miocene sub-polar orbitally controlled glacial-interglacial succession (1220-760 mbsf) bounded by two unconformities correlated with basin-wide reflectors associated with early development of the terror rift; 3. A late Miocene volcanigenic succession (760-596 mbsf) terminating with a similar to 1 my hiatus at 596.35 mbsf which spans the Miocene-Pliocene boundary and is not recognised in regional seismic data; 4. An early Pliocene obliquity-controlled alternating diamictite and diatomite glacial-interglacial succession (590-440 mbsf), separated from; 5. A late Pliocene obliquity-controlled alternating diamictite and diatomite glacial-interglacial succession (440-150 mbsf) by a 750 Icy unconformity interpreted to represent a major sequence boundary at other locations; 6. An early Pleistocene interbedded volcanic, diamictite and diatomite succession (150-80 mbsf), and; 7. A late Pleistocene glacigene succession (80-0 mbsf) comprising diamictite dominated sedimentary cycles deposited in a polar environment. (C) 2012 Elsevier B.V. All rights reserved.</t>
  </si>
  <si>
    <t>[Wilson, Gary S.] Univ Otago, Dept Marine Sci, Dunedin, New Zealand; [Wilson, Gary S.; Ohneiser, Christian] Univ Otago, Dept Geol, Dunedin, New Zealand; [Levy, Richard H.; Naish, Tim R.; Henrys, Stuart; Browne, Greg; Crampton, James; Graham, Ian; Raine, J. Ian; Strong, C. Percy] GNS Sci, Lower Hutt, New Zealand; [Naish, Tim R.; Cody, Rosemary; Alloway, Brent V.; Barrett, Peter J.; Carter, Lionel; Dunbar, Gavin; Hannah, Mike; Hansaraj, Dhiresh; McKay, Robert] Victoria Univ Wellington, Antarctic Res Ctr, Wellington, New Zealand; [Powell, Ross D.; Scherer, Reed] No Illinois Univ, Dept Geol &amp; Environm Geosci, De Kalb, IL 60115 USA; [Florindo, Fabio; Sagnotti, Leonardo] Ist Nazl Geofis &amp; Vulcanol, I-00143 Rome, Italy; [Winter, Diane M.; Harwood, David M.] Univ Nebraska Lincoln, Dept Geosci, ANDRILL Sci Management Off, Lincoln, NE 68588 USA; [Ross, Jake; Kyle, Philip; McIntosh, William C.] New Mexico Inst Min &amp; Technol, Socorro, NM 87801 USA; [Krissek, Larry; Millan, Christina; Wilson, Terry J.] Ohio State Univ, Byrd Polar Res Ctr, Columbus, OH 43210 USA; [Krissek, Larry; Millan, Christina; Wilson, Terry J.] Ohio State Univ, Dept Geol Sci, Columbus, OH 43210 USA; [Niessen, Frank; Gebhardt, Catalina; Kuhn, Gerhard; Magens, Diana; Monien, Donata] Alfred Wegener Inst, Dept Geosci, D-27515 Bremerhaven, Germany; [Pompillio, Massimo] Ist Nazl Geofis &amp; Vulcanol, I-56126 Pisa, Italy; [Brachfeld, Stefanie] Montclair State Univ, Dept Earth &amp; Environm Studies, Montclair, NJ 07043 USA; [Cowan, Ellen] Appalachian State Univ, Dept Geol, Boone, NC 28608 USA; [DeConto, Robert M.] Univ Massachusetts, Dept Geosci, Amherst, MA 01003 USA; [Dunbar, Robert] Stanford Univ, Sch Earth Sci, Dept Environm Earth Syst Sci, Stanford, CA 94305 USA; [von Eynatten, Hilmar] Geosci Ctr Gottingen GZG, Dept Sedimentol &amp; Environm Geol, Gottingen, Germany; [Giorgetti, Giovanna; Sandroni, Sonia; Talarico, Franco] Univ Sienna, Dipartimento Sci Terra, I-53100 Siena, Italy; [Hinnov, Linda] Johns Hopkins Univ, Dept Earth &amp; Planetary Sci, Baltimore, MD 21218 USA; [Jarrard, Richard D.] Univ Utah, Dept Geol &amp; Geophys, Salt Lake City, UT 84112 USA; [Joseph, Leah] Ursinus Coll, Environm Studies Program, Collegeville, PA 19426 USA; [Kominz, Michelle] Western Michigan Univ, Dept Geol, Kalamazoo, MI 49008 USA; [Laeufer, Andreas] BGR, Fed Inst Geosci &amp; Nat Resources, D-30655 Hannover, Germany; [Maffioli, Paola] Univ Milanobicocca, Dipartimento Sci Geol &amp; Geotecnol, I-20126 Milan, Italy; [Morin, Roger] US Geol Survey, Denver Fed Ctr, Denver, CO 80225 USA; [Paulsen, Timothy] Univ Wisconsin, Dept Geol, Oshkosh, WI 54901 USA; [Persico, Davide; Villa, Giuliana] Univ Parma, Dept Sci Terra, I-43100 Parma, Italy; [Pollard, David] Earth &amp; Environm Syst Inst, University Pk, PA 16802 USA; [Riesselman, Christina] Stanford Univ, Sch Earth Sci, Dept Geol &amp; Environm Sci, Stanford, CA 94305 USA; [Schmitt, Doug] Univ Alberta, Dept Phys, Edmonton, AB T6G 2G7, Canada; [Sjunneskog, Charlotte; Wise, Sherwood] Florida State Univ, Dept Geol, Antarctic Marine Geol Res Facil, Tallahassee, FL 32306 USA; [Taviani, Marco] ISMAR Bologna, CNR, I-40129 Bologna, Italy; [Wilch, Tom] Albion Coll, Dept Geol, Albion, MI 49224 USA; [Williams, Trevor] Columbia Univ, Lamont Doherty Earth Observ, Palisades, NY 10964 USA; [Dunbar, Nelia] New Mexico Beurau Geol &amp; Mineral Resources, Socorro, NM 87801 USA</t>
  </si>
  <si>
    <t>University of Otago; University of Otago; GNS Science - New Zealand; Victoria University Wellington; Northern Illinois University; Istituto Nazionale Geofisica e Vulcanologia (INGV); University of Nebraska System; University of Nebraska Lincoln; New Mexico Institute of Mining Technology; University System of Ohio; Ohio State University; University System of Ohio; Ohio State University; Helmholtz Association; Alfred Wegener Institute, Helmholtz Centre for Polar &amp; Marine Research; Istituto Nazionale Geofisica e Vulcanologia (INGV); Montclair State University; University of North Carolina; Appalachian State University; University of Massachusetts System; University of Massachusetts Amherst; Stanford University; University of Siena; Johns Hopkins University; Utah System of Higher Education; University of Utah; Western Michigan University; University of Milano-Bicocca; United States Department of the Interior; United States Geological Survey; University of Wisconsin System; University of Parma; Stanford University; University of Alberta; State University System of Florida; Florida State University; Consiglio Nazionale delle Ricerche (CNR); Istituto di Scienze Marine (ISMAR-CNR); Albion College; Columbia University</t>
  </si>
  <si>
    <t>Sagnotti, Leonardo/AFM-3916-2022; Schmitt, Douglas R/A-4091-2010; Vogel, Stefan/I-1963-2014; Raine, James I/D-5124-2009; Sandroni, Sonia/C-7188-2008; Henrys, Stuart/ABD-7378-2020; Wilson, Gary S/B-3803-2010; Hinnov, Linda A./D-9486-2013; Läufer, Andreas/ABC-1465-2020; Dunbar, Nelia W./HZL-8693-2023; Florindo, Fabio/M-1459-2019; Riesselman, Christina R/H-5037-2012; McKay, Robert/N-2449-2015; Pompilio, Massimo N/C-5892-2008; Gebhardt, Catalina/AHI-6432-2022; Levy, Richard H/E-2477-2011; Florindo, Fabio/F-4119-2010; Ohneiser, Christian/B-5797-2018; Williams, Trevor/L-7670-2014; Florindo, Fabio/AAU-2548-2021; Taviani, Marco/AAF-2168-2020; CNR, Ismar/P-1247-2014; Hannah, Michael/H-1083-2015; Crampton, James/G-1381-2012; talarico, franco/G-9472-2012</t>
  </si>
  <si>
    <t>Sagnotti, Leonardo/0000-0003-3944-201X; Schmitt, Douglas R/0000-0001-6920-0658; Sandroni, Sonia/0000-0002-7941-7145; Henrys, Stuart/0000-0002-7164-5274; Läufer, Andreas/0000-0003-2219-0450; Dunbar, Nelia W./0000-0002-5181-937X; Florindo, Fabio/0000-0002-6058-9748; McKay, Robert/0000-0002-5602-6985; Gebhardt, Catalina/0000-0002-3227-0676; Florindo, Fabio/0000-0002-6058-9748; Taviani, Marco/0000-0003-0414-4274; Giorgetti, Giovanna/0000-0001-6233-4485; Persico, Davide/0000-0001-5194-9724; CNR, Ismar/0000-0001-5351-1486; Ohneiser, Christian/0000-0002-2781-2522; Naish, Tim/0000-0002-1185-9932; Levy, Richard/0000-0002-8783-0167; Dunbar, Robert/0000-0002-9728-5609; Hannah, Michael/0000-0002-2275-0086; Hinnov, Linda/0000-0001-8027-4834; Crampton, James/0000-0003-3270-9981; Niessen, Frank/0000-0001-6453-0594; talarico, franco/0000-0002-7254-4301; Riesselman, Christina/0000-0002-2436-4306; Pompilio, Massimo/0000-0002-0742-0679; Brachfeld, Stefanie/0000-0003-4612-2866; Kuhn, Gerhard/0000-0001-6069-7485; kominz, michelle/0000-0002-8640-2742; Vogel, Stefan/0000-0002-4350-7130; Raine, James Ian/0000-0001-5294-2102; Wilson, Gary/0000-0003-0025-3641; von Eynatten, Hilmar/0000-0002-2823-3194</t>
  </si>
  <si>
    <t>US National Science Foundation (NSF); NZ Ministry of Science and Innovation (MSI); Marsden Fund; Italian Antarctic Research Programme (PNRA); German Research Foundation (DFG); Alfred Wegener Institute for Polar and Marine Research (AWI)</t>
  </si>
  <si>
    <t>US National Science Foundation (NSF)(National Science Foundation (NSF)); NZ Ministry of Science and Innovation (MSI); Marsden Fund(Royal Society of New ZealandMarsden Fund (NZ)); Italian Antarctic Research Programme (PNRA); German Research Foundation (DFG)(German Research Foundation (DFG)); Alfred Wegener Institute for Polar and Marine Research (AWI)</t>
  </si>
  <si>
    <t>The ANDRILL project is a multinational collaboration between the Antarctic programmes of Germany, Italy, New Zealand and the United States. Antarctica New Zealand is the project operator and developed the drilling system in collaboration with Alex Pyne at Victoria University of Wellington and Webster Drilling and Enterprises Ltd. Antarctica New Zealand supported the drilling team at Scott Base, and Raytheon Polar Services Corporation supported the science team at McMurdo Station and the Crary Science and Engineering Center. The ANDRILL Science Management Office at the University of Nebraska-Lincoln provided science planning and operational support. Scientific studies are jointly supported by the US National Science Foundation (NSF), NZ Ministry of Science and Innovation (MSI) and the Marsden Fund, the Italian Antarctic Research Programme (PNRA), the German Research Foundation (DFG) and the Alfred Wegener Institute for Polar and Marine Research (AWI).</t>
  </si>
  <si>
    <t>10.1016/j.gloplacha.2012.05.019</t>
  </si>
  <si>
    <t>WOS:000309896800015</t>
  </si>
  <si>
    <t>Roesch, LFW; Fulthorpe, RR; Pereira, AB; Pereira, CK; Lemos, LN; Barbosa, AD; Suleiman, AKA; Gerber, AL; Pereira, MG; Loss, A; da Costa, EM</t>
  </si>
  <si>
    <t>Roesch, Luiz F. W.; Fulthorpe, Roberta R.; Pereira, Antonio B.; Pereira, Clarissa K.; Lemos, Leandro N.; Barbosa, Anthony D.; Suleiman, Afnan K. A.; Gerber, Alexandra L.; Pereira, Marcos G.; Loss, Arcangelo; da Costa, Elias M.</t>
  </si>
  <si>
    <t>Soil bacterial community abundance and diversity in ice-free areas of Keller Peninsula, Antarctica</t>
  </si>
  <si>
    <t>APPLIED SOIL ECOLOGY</t>
  </si>
  <si>
    <t>Pyrosequencing; 16SrRNA; Antarctic microbiome; Microbially influenced global change</t>
  </si>
  <si>
    <t>BARCODED PRIMERS; ADMIRALTY BAY; RIBOSOMAL-RNA; PH; RHIZOSPHERE; ENVIRONMENT; PREDICTOR</t>
  </si>
  <si>
    <t>The Antarctic is the most untouched terrestrial region of the planet but the most vulnerable to global environmental changes. In this regard, the monitoring of terrestrial environments is fundamental for the evaluation of such changes. This exploratory study aimed to provide baseline information against which to monitor changes in the Antarctic soil microbiome caused by global environmental changes or human activities and to find patterns in microbial diversity and community composition in ice-free zones of Antarctica. To achieve this goal we applied a high-throughput pyrosequencing based analysis of amplified 16S rRNA genes from twelve soil samples from the most prominent plant communities and soil types collected in the Keller Peninsula, King George Island, Antarctica. Such approach provided the variability necessary to investigate important ecological aspects of overall patterns of bacterial distribution. Quantitative and qualitative bacterial diversity measures were calculated and combined with metadata describing the samples. Overall, the soil bacterial communities in ice-free areas of Keller Peninsula were dominated by a small number of phyla found in most soils, including agricultural ones. Despite the differences in soil properties or plant cover the best predictor for the microbial community structure was the pH gradient. Our results provide evidence of no correlation between bacterial community and plant cover in Antarctic ice free zones. (c) 2012 Elsevier B.V. All rights reserved.</t>
  </si>
  <si>
    <t>[Roesch, Luiz F. W.; Pereira, Antonio B.; Pereira, Clarissa K.; Lemos, Leandro N.; Barbosa, Anthony D.; Suleiman, Afnan K. A.] Univ Fed Pampa, BR-97300000 Sao Gabriel, RS, Brazil; [Fulthorpe, Roberta R.] Univ Toronto Scarborough, Dept Phys &amp; Environm Sci, Toronto, ON M1C 1A4, Canada; [Gerber, Alexandra L.] Lab Bioinformat LNCC MCT, Unidade Genom Computac Darcy Fontoura Almeida, BR-25651075 Rio De Janeiro, Brazil; [Pereira, Marcos G.; Loss, Arcangelo; da Costa, Elias M.] Univ Fed Rio de Janeiro, Dept Solos, Inst Agron, BR-23890000 Rio De Janeiro, Brazil</t>
  </si>
  <si>
    <t>Universidade Federal do Pampa; University of Toronto; University Toronto Scarborough; Laboratorio Nacional de Computacao Cientifica (LNCC); Universidade Federal do Rio de Janeiro</t>
  </si>
  <si>
    <t>Roesch, LFW (corresponding author), Univ Fed Pampa, Campus Sao Gabriel,Av Antonio Trilha 1847, BR-97300000 Sao Gabriel, RS, Brazil.</t>
  </si>
  <si>
    <t>luizroesch@unipampa.edu.br</t>
  </si>
  <si>
    <t>Nascimento Lemos, Leandro/H-2004-2011; Pereira, Antonio B/I-8201-2014; Gerber, Alexandra Lehmkuhl/P-9412-2019; Loss, Arcângelo/AAR-3544-2021; Barbosa, Anthony/JMB-1730-2023; Roesch, Luiz/GRS-4638-2022; Pereira, Marcos/F-1585-2018</t>
  </si>
  <si>
    <t>Nascimento Lemos, Leandro/0000-0002-0898-568X; Pereira, Antonio B/0000-0003-0368-4594; Gerber, Alexandra Lehmkuhl/0000-0001-5724-6106; Loss, Arcângelo/0000-0002-3005-6158; Barbosa, Anthony/0009-0007-2809-612X; Roesch, Luiz/0000-0003-1450-8828; Pereira, Marcos/0000-0002-1402-3612; Mendes Costa, Elias/0000-0003-3630-1174; Suleiman, Afnan/0000-0002-1388-9190</t>
  </si>
  <si>
    <t>INCT-APA (CNPq) [574018/2008-5, FAPERJ E-26/170.023/2008]; Ministry of Science and Technology; Secretariat for the Marine Resources Interministerial Committee (SECIRM); CNPq [503370/2009-6]</t>
  </si>
  <si>
    <t>INCT-APA (CNPq)(Conselho Nacional de Desenvolvimento Cientifico e Tecnologico (CNPQ)); Ministry of Science and Technology(Spanish Government); Secretariat for the Marine Resources Interministerial Committee (SECIRM); CNPq(Conselho Nacional de Desenvolvimento Cientifico e Tecnologico (CNPQ))</t>
  </si>
  <si>
    <t>This work was supported by the INCT-APA (CNPq process No. 574018/2008-5, FAPERJ E-26/170.023/2008) and Ministry of Science and Technology, and the Secretariat for the Marine Resources Interministerial Committee (SECIRM). LFW Roesch and LN Lemos receive research fellowships from the CNPq (process number 503370/2009-6).</t>
  </si>
  <si>
    <t>0929-1393</t>
  </si>
  <si>
    <t>1873-0272</t>
  </si>
  <si>
    <t>APPL SOIL ECOL</t>
  </si>
  <si>
    <t>Appl. Soil Ecol.</t>
  </si>
  <si>
    <t>10.1016/j.apsoil.2012.04.009</t>
  </si>
  <si>
    <t>020DT</t>
  </si>
  <si>
    <t>WOS:000309789700002</t>
  </si>
  <si>
    <t>Lazzara, MA; Weidner, GA; Keller, LM; Thom, JE; Cassano, JJ</t>
  </si>
  <si>
    <t>Lazzara, Matthew A.; Weidner, George A.; Keller, Linda M.; Thom, Jonathan E.; Cassano, John J.</t>
  </si>
  <si>
    <t>ANTARCTIC AUTOMATIC WEATHER STATION PROGRAM 30 Years of Polar Observations</t>
  </si>
  <si>
    <t>ROSS ICE SHELF; KATABATIC WINDS; MM5 SIMULATIONS; TEMPERATURE; CLIMATOLOGY; GREENLAND; SURFACE; SPEEDS; SNOW</t>
  </si>
  <si>
    <t>ANTARCTIC AUTOMATIC WEATHER STATION PROGRAM: 30 YEARS OF POLAR OBSERVATIONS Antarctica boasts one of the world's harshest environments. Since the earliest expeditions, a major challenge has been to characterize the surface meteorology around the continent. In 1980, the University of Wisconsin - Madison (UW-Madison) took over the U.S. Antarctic Program (USAP) Automatic Weather Station (AWS) program. Since then, the UW-Madison AWS network has aided in the understanding of unique Antarctic weather and climate. This paper summarizes the development of the UW-Madison AWS network, issues related to instrumentation and data quality, and some of the ways these observations have and continue to benefit scientific investigations and operational meteorology.</t>
  </si>
  <si>
    <t>[Lazzara, Matthew A.; Thom, Jonathan E.] Univ Wisconsin, Antarctic Meteorol Res Ctr, Space Sci &amp; Engn Ctr, Madison, WI 53706 USA; [Weidner, George A.; Keller, Linda M.; Thom, Jonathan E.] Univ Wisconsin, Dept Atmospher &amp; Ocean Sci, Madison, WI 53706 USA; [Cassano, John J.] Univ Colorado, Cooperat Inst Res Environm Sci, Boulder, CO 80309 USA; [Cassano, John J.] Univ Colorado, Dept Atmospher &amp; Ocean Sci, Boulder, CO 80309 USA</t>
  </si>
  <si>
    <t>University of Wisconsin System; University of Wisconsin Madison; University of Wisconsin System; University of Wisconsin Madison; University of Colorado System; University of Colorado Boulder; University of Colorado System; University of Colorado Boulder</t>
  </si>
  <si>
    <t>Lazzara, MA (corresponding author), Univ Wisconsin, Antarctic Meteorol Res Ctr, Space Sci &amp; Engn Ctr, 1225 W Dayton St, Madison, WI 53706 USA.</t>
  </si>
  <si>
    <t>Cassano, John/HKW-8817-2023</t>
  </si>
  <si>
    <t>National Science Foundation Office of Polar Programs [ANT-0944018, ANT-0943952]; Directorate For Geosciences; Office of Polar Programs (OPP) [0943952] Funding Source: National Science Foundation</t>
  </si>
  <si>
    <t>National Science Foundation Office of Polar Programs(National Science Foundation (NSF)NSF - Directorate for Geosciences (GEO)); Directorate For Geosciences; Office of Polar Programs (OPP)(National Science Foundation (NSF)NSF - Directorate for Geosciences (GEO))</t>
  </si>
  <si>
    <t>This work is dedicated to Professor Charles R. Stearns, the champion of automatic weather station efforts in the polar regions for over 28 years, with a career of over 60 years devoted to meteorological observations. The authors wish to thank Dr. Sam Batzli, Tony Wendricks, and Joey Snarski of the Space Science and Engineering Center at UW-Madison for the AWS maps and AWS schematics. Thanks to three anonymous reviewers for their comments, which aided in the improvement of this manuscript. This material is based upon work supported by the National Science Foundation Office of Polar Programs under Grants ANT-0944018 and ANT-0943952.</t>
  </si>
  <si>
    <t>+</t>
  </si>
  <si>
    <t>10.1175/BAMS-D-11-00015.1</t>
  </si>
  <si>
    <t>024HU</t>
  </si>
  <si>
    <t>WOS:000310101100011</t>
  </si>
  <si>
    <t>Mueller, IA; Devor, DP; Grim, JM; Beers, JM; Crockett, EL; O'Brien, KM</t>
  </si>
  <si>
    <t>Mueller, Irina A.; Devor, Devin P.; Grim, Jeffrey M.; Beers, Jody M.; Crockett, Elizabeth L.; O'Brien, Kristin M.</t>
  </si>
  <si>
    <t>Exposure to critical thermal maxima increases oxidative stress in hearts of white- but not red-blooded Antarctic notothenioid fishes</t>
  </si>
  <si>
    <t>Antarctic fish; oxidative stress; temperature</t>
  </si>
  <si>
    <t>SUPEROXIDE-DISMUTASE; EXPRESSION; MYOGLOBIN; ACCLIMATION; TEMPERATURE; TOLERANCE; COLD; SUSCEPTIBILITY; PERFORMANCE; HEMOGLOBIN</t>
  </si>
  <si>
    <t>Antarctic icefishes have a significantly lower critical thermal maximum (CTmax) compared with most red-blooded notothenioid fishes. We hypothesized that the lower thermal tolerance of icefishes compared with red-blooded notothenioids may stem from a greater vulnerability to oxidative stress as temperature increases. Oxidative muscles of icefishes have high volume densities of mitochondria, rich in polyunsaturated fatty acids, which can promote the production of reactive oxygen species (ROS). Moreover, icefishes have lower levels of antioxidants compared with red-blooded species. To test our hypothesis, we measured levels of oxidized proteins and lipids, and transcript levels and maximal activities of antioxidants in heart ventricle and oxidative pectoral adductor muscle of icefishes and red-blooded notothenioids held at 0 degrees C and exposed to their CTmax. Levels of oxidized proteins and lipids increased in heart ventricle of some icefishes but not in red-blooded species in response to warming, and not in pectoral adductor muscle of any species. Thus, increases in oxidative damage in heart ventricles may contribute to the reduced thermal tolerance of icefishes. Despite an increase in oxidative damage in hearts of icefishes, neither transcript levels nor activities of antioxidants increased, nor did they increase in any tissue of any species in response to exposure to CTmax. Rather, transcript levels of the enzyme superoxide dismutase (SOD) decreased in hearts of icefishes and the activity of SOD decreased in hearts of the red-blooded species Gobionotothen gibberifrons. These data suggest that notothenioids may have lost the ability to elevate levels of antioxidants in response to heat stress.</t>
  </si>
  <si>
    <t>[Mueller, Irina A.; O'Brien, Kristin M.] Univ Alaska, Inst Arctic Biol, Fairbanks, AK 99775 USA; [Devor, Devin P.; Grim, Jeffrey M.; Crockett, Elizabeth L.] Ohio Univ, Dept Biol Sci, Athens, OH 45701 USA; [Beers, Jody M.] Univ Maine, Sch Marine Sci, Orono, ME 04469 USA</t>
  </si>
  <si>
    <t>University of Alaska System; University of Alaska Fairbanks; University System of Ohio; Ohio University; University of Maine System; University of Maine Orono</t>
  </si>
  <si>
    <t>O'Brien, KM (corresponding author), Univ Alaska, Inst Arctic Biol, Fairbanks, AK 99775 USA.</t>
  </si>
  <si>
    <t>kmobrien@alaska.edu</t>
  </si>
  <si>
    <t>US National Science Foundation [ANT 0741301, ANT-0739637]</t>
  </si>
  <si>
    <t>Financial support for this research was provided by the US National Science Foundation [grant no. ANT 0741301 to K.M.O. and E.L.C.; work by J.M.B. was supported by grant ANT-0739637 to Bruce D. Sidell].</t>
  </si>
  <si>
    <t>10.1242/jeb.071811</t>
  </si>
  <si>
    <t>016TY</t>
  </si>
  <si>
    <t>WOS:000309543600022</t>
  </si>
  <si>
    <t>Nikurashin, M; Vallis, G</t>
  </si>
  <si>
    <t>Nikurashin, Maxim; Vallis, Geoffrey</t>
  </si>
  <si>
    <t>A Theory of the Interhemispheric Meridional Overturning Circulation and Associated Stratification</t>
  </si>
  <si>
    <t>LARGE-SCALE CIRCULATION; MESOSCALE EDDIES; ATMOSPHERIC CO2; OCEAN; WIND; THERMOCLINE; MODEL; TRANSPORT</t>
  </si>
  <si>
    <t>A quantitative theoretical model of the meridional overturning circulation and associated deep stratification in an interhemispheric, single-basin ocean with a circumpolar channel is presented. The theory includes the effects of wind, eddies, and diapycnal mixing and predicts the deep stratification and overturning streamfunction in terms of the surface forcing and other parameters of the problem. It relies on a matching among three regions: the circumpolar channel at high southern latitudes, a region of isopycnal outcrop at high northern latitudes, and the ocean basin between. The theory describes both the middepth and abyssal cells of a circulation representing North Atlantic Deep Water and Antarctic Bottom Water. It suggests that, although the strength of the middepth overturning cell is primarily set by the wind stress in the circumpolar channel, middepth stratification results from a balance between the wind-driven upwelling in the channel and deep-water formation at high northern latitudes. Diapycnal mixing in the ocean interior can lead to warming and upwelling of deep waters. However, for parameters most representative of the present ocean mixing seems to play a minor role for the middepth cell. In contrast, the abyssal cell is intrinsically diabatic and controlled by a balance between the deep mixing-driven upwelling and the residual of the wind-driven and eddy-induced circulations in the Southern Ocean. The theory makes explicit predictions about how the stratification and overturning circulation vary with the wind strength, diapycnal diffusivity, and mesoscale eddy effects. The predictions compare well with numerical results from a coarse-resolution general circulation model.</t>
  </si>
  <si>
    <t>[Nikurashin, Maxim] Princeton Univ, AOS Program, Princeton, NJ 08540 USA</t>
  </si>
  <si>
    <t>Princeton University</t>
  </si>
  <si>
    <t>Nikurashin, M (corresponding author), Princeton Univ, AOS Program, Princeton, NJ 08540 USA.</t>
  </si>
  <si>
    <t>man@alum.mit.edu</t>
  </si>
  <si>
    <t>Nikurashin, Maxim/J-3506-2013; Nikurashin, Maxim/P-4018-2019</t>
  </si>
  <si>
    <t>Nikurashin, Maxim/0000-0002-5714-8343</t>
  </si>
  <si>
    <t>NSF via Award [OCE-1027603]; Directorate For Geosciences; Division Of Ocean Sciences [1027603] Funding Source: National Science Foundation</t>
  </si>
  <si>
    <t>NSF via Award; Directorate For Geosciences; Division Of Ocean Sciences(National Science Foundation (NSF)NSF - Directorate for Geosciences (GEO))</t>
  </si>
  <si>
    <t>We thank John Marshall and two anonymous reviewers for their useful comments and suggestions. We acknowledge support from NSF via Award OCE-1027603.</t>
  </si>
  <si>
    <t>10.1175/JPO-D-11-0189.1</t>
  </si>
  <si>
    <t>025IU</t>
  </si>
  <si>
    <t>WOS:000310183000003</t>
  </si>
  <si>
    <t>Scheffers, AM; Scheffers, SR; Kelletat, DH; Squire, P; Collins, L; Feng, YX; Zhao, JX; Joannes-Boyau, R; May, SM; Schellmann, G; Freeman, H</t>
  </si>
  <si>
    <t>Scheffers, Anja M.; Scheffers, Sander R.; Kelletat, Dieter H.; Squire, Peter; Collins, Lindsay; Feng, Yuexing; Zhao, Jian-Xin; Joannes-Boyau, Renaud; May, Simon Matthias; Schellmann, Gerhard; Freeman, Heather</t>
  </si>
  <si>
    <t>Coarse clast ridge sequences as suitable archives for past storm events? Case study on the Houtman Abrolhos, Western Australia</t>
  </si>
  <si>
    <t>JOURNAL OF QUATERNARY SCIENCE</t>
  </si>
  <si>
    <t>palaeotempestology; beach ridges; coastal evolution; Holocene; geomorphology</t>
  </si>
  <si>
    <t>GREAT-BARRIER-REEF; TROPICAL CYCLONES; RECORD; FREQUENCY; RECONSTRUCTION; VARIABILITY; HURRICANES; SEDIMENTS; ISLANDS; HISTORY</t>
  </si>
  <si>
    <t>Prehistoric storm records are relatively scarce in most parts of the world. This article presents storm records derived from coral rubble-based geological archives of the Houtman Abrolhos Archipelago located off the west coast of Australia, where the southernmost coral reefs of the Indian Ocean are found. Winter storm swell from the circum-Antarctic Brave Westerlies, as well as tropical cyclone waves, have left numerous ridge systems on dozens of islands of the archipelago, all composed of coral rubble from adjacent reefs. At three islands, seven ridge systems were dated by three different methods: U-series (68 dates), radiocarbon (64 dates), electron spin resonance (7 dates); 139 radiometric dates span the last 5500 years of the Holocene. In contrast to the geomorphological interpretation, the age sequences show inversions, hiatuses and different ages for the same ridge, all pointing to complicated ridge formation processes. Time gaps, some exceeding 1000 years, are interpreted as phases of erosion and not as phases without storm activity. Copyright (C) 2012 John Wiley &amp; Sons, Ltd.</t>
  </si>
  <si>
    <t>[Scheffers, Anja M.; Squire, Peter; Joannes-Boyau, Renaud] So Cross Univ, So Cross GeoSci, Lismore, NSW 2480, Australia; [Scheffers, Sander R.] So Cross Univ, Marine Ecol Res Ctr, Lismore, NSW 2480, Australia; [Kelletat, Dieter H.; May, Simon Matthias] Univ Cologne, Dept Geosci, D-50931 Cologne, Germany; [Collins, Lindsay; Freeman, Heather] Curtin Univ Technol, Dept Appl Geol, Perth, WA, Australia; [Feng, Yuexing; Zhao, Jian-Xin] Univ Queensland, Ctr Microscopy &amp; Microanal, Brisbane, Qld, Australia; [Scheffers, Anja M.; Scheffers, Sander R.; Zhao, Jian-Xin] Univ Queensland, Sch Earth Sci, Brisbane, Qld, Australia; [Schellmann, Gerhard] Otto Friedrich Univ Bamberg, Dept Geog, D-96047 Bamberg, Germany</t>
  </si>
  <si>
    <t>Southern Cross University; Southern Cross University; University of Cologne; Curtin University; University of Queensland; University of Queensland; Otto Friedrich University Bamberg</t>
  </si>
  <si>
    <t>Scheffers, AM (corresponding author), So Cross Univ, So Cross GeoSci, Lismore, NSW 2480, Australia.</t>
  </si>
  <si>
    <t>anja.scheffers@scu.edu.au</t>
  </si>
  <si>
    <t>Joannes-Boyau, Renaud/D-6058-2012; Scheffers, Sander/B-9455-2008; Scheffers, Anja/AAU-6615-2020; Kelletat, Dieter/AAF-3879-2020; Collins, Lindsay/B-3219-2015; Zhao, Jian-xin/A-5938-2008</t>
  </si>
  <si>
    <t>Joannes-Boyau, Renaud/0000-0002-0452-486X; Scheffers, Sander/0000-0002-6826-1237; Scheffers, Anja/0000-0002-9143-5389; Feng, Yue-Xing/0000-0002-2944-9632; May, Simon Matthias/0000-0001-6762-7500; Collins, Lindsay/0000-0002-7813-4987; Zhao, Jian-xin/0000-0002-2413-6178</t>
  </si>
  <si>
    <t>German Research Foundation [KE 190/24-2]; Australian Research Council [FT0990910, DP0773081]; Curtin University; Fisheries WA; Australian Research Council [DP0773081, FT0990910] Funding Source: Australian Research Council</t>
  </si>
  <si>
    <t>German Research Foundation(German Research Foundation (DFG)); Australian Research Council(Australian Research Council); Curtin University; Fisheries WA; Australian Research Council(Australian Research Council)</t>
  </si>
  <si>
    <t>We thank Captain Jay Cox and the crew of the Rat Patrol II for superb field logistics and Anne Hager for assistance during fieldwork. Financial and logistic support from the German Research Foundation (KE 190/24-2), the Australian Research Council (FT0990910 and DP0773081), Curtin University and Fisheries WA is gratefully acknowledged.</t>
  </si>
  <si>
    <t>0267-8179</t>
  </si>
  <si>
    <t>1099-1417</t>
  </si>
  <si>
    <t>J QUATERNARY SCI</t>
  </si>
  <si>
    <t>J. Quat. Sci.</t>
  </si>
  <si>
    <t>10.1002/jqs.2558</t>
  </si>
  <si>
    <t>019ML</t>
  </si>
  <si>
    <t>WOS:000309743800007</t>
  </si>
  <si>
    <t>Melin, SR; Laake, JL; DeLong, RL; Siniff, DB</t>
  </si>
  <si>
    <t>Melin, Sharon R.; Laake, Jeffrey L.; DeLong, Robert L.; Siniff, Donald B.</t>
  </si>
  <si>
    <t>Age-specific recruitment and natality of California sea lions at San Miguel Island, California</t>
  </si>
  <si>
    <t>MARINE MAMMAL SCIENCE</t>
  </si>
  <si>
    <t>birth rate; population dynamics; reproductive rate; fecundity; reproduction; recruitment; survival; mark-recapture; pinniped; sea lion; El Nino</t>
  </si>
  <si>
    <t>ANTARCTIC FUR SEALS; CAPTURE-RECAPTURE MODELS; REPRODUCTIVE PATTERNS; MARK-RECAPTURE; DEMOGRAPHIC PARAMETERS; ZALOPHUS-CALIFORNIANUS; BREEDING PROBABILITIES; ELEPHANT SEALS; ROBUST; STATE</t>
  </si>
  <si>
    <t>We conducted a 15 yr mark-resight study of branded California sea lions (Zalophus californianus) at San Miguel Island, California, to estimate age-specific recruitment and natality of the population. We used the Schwarz and Stobo model to estimate sighting, survival, recruitment, timing of births, abundance, and age-specific natality from sighting histories of 1,276 parous females. The advantage of this approach was that the reproductive status of females did not have to be known for all females of reproductive age. Probability of recruitment into the reproductive population began at age 3 or 4, peaked between ages 5 and 7, and slowly declined. Age-specific natality was similar for ages 416 but declined after age 17, suggesting that reproductive senescence occurs in older females. The average annual natality for parous females 416 yr of age was 0.77 (SE = 0.03); natality declined to 0.56 (SE = 0.10) for parous females 1721 yr of age. Natality for both age classes was reduced during El Nino conditions by 24% and 34%, respectively. In addition to reducing natality, El Nino events may result in a delay of recruitment if females experience El Nino conditions before they turn 4 yr of age.</t>
  </si>
  <si>
    <t>[Melin, Sharon R.; Laake, Jeffrey L.; DeLong, Robert L.] NOAA, Natl Marine Mammal Lab, Alaska Fisheries Sci Ctr, Natl Marine Fisheries Serv, Seattle, WA 98115 USA; [Siniff, Donald B.] Univ Minnesota, Dept Ecol Evolut &amp; Behav, St Paul, MN 55108 USA</t>
  </si>
  <si>
    <t>National Oceanic Atmospheric Admin (NOAA) - USA; University of Minnesota System; University of Minnesota Twin Cities</t>
  </si>
  <si>
    <t>Melin, SR (corresponding author), NOAA, Natl Marine Mammal Lab, Alaska Fisheries Sci Ctr, Natl Marine Fisheries Serv, 7600 Sand Point Way NE,Bldg 4, Seattle, WA 98115 USA.</t>
  </si>
  <si>
    <t>National Marine Fisheries Service; University of Minnesota Cooperative Fish and Wildlife Research Unit</t>
  </si>
  <si>
    <t>We thank the many researchers who assisted with the branding and resighting of California sea lions at San Miguel Island and along the West Coast over the course of the study, they are too numerous to name individually. Patricia Morris, Tony Orr, and Jim Thomason participated during many years of the project and we are thankful for their contributions. David Anderson provided guidance and advice during the early stages of the analysis. Devin Johnson and Jay Ver Hoef provided advice and help with developing the models and code for the mixed effects analysis. Harriet Huber, Michael Cameron, Jason Baker, Gary Duker, Jim Lee, and anonymous reviewers provided reviews of the manuscript. The staff at Channel Islands National Park and Channel Islands Aviation provided logistical support. This project was conducted under Marine Mammal Protection Act permits 717, 977, 1613, and 782-1812 issued to the National Marine Mammal Laboratory. Funding was provided by National Marine Fisheries Service and the University of Minnesota Cooperative Fish and Wildlife Research Unit.</t>
  </si>
  <si>
    <t>0824-0469</t>
  </si>
  <si>
    <t>1748-7692</t>
  </si>
  <si>
    <t>MAR MAMMAL SCI</t>
  </si>
  <si>
    <t>Mar. Mamm. Sci.</t>
  </si>
  <si>
    <t>10.1111/j.1748-7692.2011.00538.x</t>
  </si>
  <si>
    <t>017TB</t>
  </si>
  <si>
    <t>WOS:000309612800018</t>
  </si>
  <si>
    <t>Miyamoto, H; Machida, RJ; Nishida, S</t>
  </si>
  <si>
    <t>Miyamoto, Hiroomi; Machida, Ryuji J.; Nishida, Shuhei</t>
  </si>
  <si>
    <t>Global phylogeography of the deep-sea pelagic chaetognath Eukrohnia hamata</t>
  </si>
  <si>
    <t>PROGRESS IN OCEANOGRAPHY</t>
  </si>
  <si>
    <t>BATHYMETRIC DISTRIBUTION; CRYPTIC SPECIATION; GENUS; DIVERSITY; HISTORY</t>
  </si>
  <si>
    <t>The physical barriers in the meso- and bathypelagic layers of the open ocean are obscure compared with those in terrestrial, coastal, and ocean epipelagic habitats, which has led to the assumption that little genetic structure exists within deep-sea zooplankton species. Here, we show that the deep-sea chaetognath Eukrohnia hamata has differentiated genetically in habitats without obvious physical barriers. A partial nucleotide sequence of the mitochondrial COI gene was determined for E. hamata collected from the Pacific, Atlantic, and Antarctic oceans, with additional sequences from the congeneric species E. bathypelagica, E. bathyantarctica, and E. fowleri. In the resultant tree, E. hamata and E. bathypelagica, as defined by morphological taxonomy, formed a single lineage in which the two are intermixed. Within this lineage (E. hamata + E. bathypelagica) four major clades (Ham-A-D) were recognized, which showed genetic distances comparable to those between E. bathyantarctica and E. fowleri. Ham-A and D were distributed in the Antarctic and the North Pacific Oceans, respectively. Ham-B and C were cosmopolitan groups, with dominant areas in temperate and equatorial regions, respectively. Additionally, the grasping spines were furnished with distally oriented serration only in the Ham-D individuals. Our results provide evidence of genetic structure in the mtDNA of the assemblage of E. hamata and E. bathypelagica and indicate the necessity for further ecological and genetic studies using nuclear markers. (c) 2012 Elsevier Ltd. All rights reserved.</t>
  </si>
  <si>
    <t>[Miyamoto, Hiroomi; Machida, Ryuji J.; Nishida, Shuhei] Univ Tokyo, Atmosphere &amp; Ocean Res Inst, Kashiwa, Chiba 2778564, Japan</t>
  </si>
  <si>
    <t>University of Tokyo</t>
  </si>
  <si>
    <t>Miyamoto, H (corresponding author), Univ Tokyo, Atmosphere &amp; Ocean Res Inst, 5-1-5 Kashiwanoha, Kashiwa, Chiba 2778564, Japan.</t>
  </si>
  <si>
    <t>miyamoto@aori.u-tokyo.ac.jp</t>
  </si>
  <si>
    <t>Alfred P. Sloan Foundation; Japanese Ministry of Education, Culture, Sports, Science and Technology (MEXT) [20241003]; Data Integration and Analysis System of the Japanese MEXT; Grants-in-Aid for Scientific Research [20241003, 22380108] Funding Source: KAKEN</t>
  </si>
  <si>
    <t>Alfred P. Sloan Foundation(Alfred P. Sloan Foundation); Japanese Ministry of Education, Culture, Sports, Science and Technology (MEXT)(Ministry of Education, Culture, Sports, Science and Technology, Japan (MEXT)); Data Integration and Analysis System of the Japanese MEXT; Grants-in-Aid for Scientific Research(Ministry of Education, Culture, Sports, Science and Technology, Japan (MEXT)Japan Society for the Promotion of ScienceGrants-in-Aid for Scientific Research (KAKENHI))</t>
  </si>
  <si>
    <t>We would like to thank the captains and crew members of the R/Vs Tansei Maru, Hakuho Maru, Soya Maru, the F/S Polarstern, and the T/S Seiyou Maru and the researchers who embarked with us for their co-operation at sea. Drs M. Terazaki, A. Tsuda, T. Johnson (University of Tokyo, Japan), Svenja Kruse (Alfred Wegener Institute, Germany), and Mr. Hidefumi Fujioka (University of Tokyo) provided samples of Eukrohnia species; we are greatly appreciative of their generosity. We are grateful for a great deal of help from Drs. R. Jennings (University of Massachusetts), A. Bucklin (University of Connecticut), and A. Pierrot-Bults (University of Amsterdam). We would like to thank Dr. D. Casenove (University of Tokyo) for helpful comments. We gratefully acknowledge the support of the Alfred P. Sloan Foundation. Additional support for this project was provided to R. J. M. by a Grant-in-Aid for Scientific Research No. 20241003 from the Japanese Ministry of Education, Culture, Sports, Science and Technology (MEXT). The Data Integration and Analysis System of the Japanese MEXT also provided funding to R. J. M. and S. N. This study contributes to the Census of Marine Zooplankton (CMarZ), an Ocean realm field project of the Census of Marine Life.</t>
  </si>
  <si>
    <t>0079-6611</t>
  </si>
  <si>
    <t>1873-4472</t>
  </si>
  <si>
    <t>PROG OCEANOGR</t>
  </si>
  <si>
    <t>Prog. Oceanogr.</t>
  </si>
  <si>
    <t>10.1016/j.pocean.2012.06.003</t>
  </si>
  <si>
    <t>018VB</t>
  </si>
  <si>
    <t>WOS:000309693500007</t>
  </si>
  <si>
    <t>Husmann, G; Abele, D; Monien, D; Monien, P; Kriews, M; Philipp, EER</t>
  </si>
  <si>
    <t>Husmann, G.; Abele, D.; Monien, D.; Monien, P.; Kriews, M.; Philipp, E. E. R.</t>
  </si>
  <si>
    <t>The influence of sedimentation on metal accumulation and cellular oxidative stress markers in the Antarctic bivalve Laternula elliptica</t>
  </si>
  <si>
    <t>ESTUARINE COASTAL AND SHELF SCIENCE</t>
  </si>
  <si>
    <t>regional warming; Antarctic Peninsula; bivalve; sedimentation; oxidative stress; metal accumulation</t>
  </si>
  <si>
    <t>KING-GEORGE-ISLAND; SUSPENSION-FEEDING BIVALVE; POTTER COVE; INSOLUBLE PROTEIN; NACELLA-CONCINNA; MARINE ORGANISMS; CLIMATE-CHANGE; HEAVY-METALS; MASS-BALANCE; ICE</t>
  </si>
  <si>
    <t>Recent rapid climate warming at the western Antarctic Peninsula (WAP) results in elevated glacial melting, enhanced sedimentary run-off, increased turbidity and impact of ice-scouring in shallow coastal areas. Discharge of mineral suspension from volcanic bedrock ablation and chronic physical disturbance is expected to influence sessile filter feeders such as the Antarctic soft shell clam Laternula elliptica (King and Broderip, 1832). We investigated effects of sedimentary run-off on the accumulation of trace metals, and together with physical disturbance, the cumulative effect on oxidative stress parameters in younger and older L elliptica from two stations in Potter Cove (King George Island, Antarctica) which are distinctly impacted by turbidity and ice-scouring. Fe, Mn, Sr, V and Zn concentrations were slightly higher in sediments of the station receiving more sediment run-off, but not enriched in bivalves of this station. The only element that increased in bivalves experimentally exposed to sediment suspension for 28 days was Mn. Concentration of the waste accumulation biomarker lipofuscin in nervous tissue was higher in L elliptica from the exposed compared to the less exposed site, whereas protein carbonyl levels in bivalve mantle tissue were higher at the less sediment impacted site. Tissue metal content and lipofuscin in nervous tissue were generally higher in older compared to younger individuals from both field stations. We conclude that elevated sediment ablation does not per se result in higher metal accumulation in L elliptica. Instead of direct absorbance from sediment particles, metal accumulation in gills seems to indicate uptake of compounds dissolved in the water column, whereas metals in digestive gland appear to originate from enriched planktonic or detritic food. Accumulation of cellular waste products and potentially reactive metals over lifetime presumably alters L. elliptica physiological performance with age and may contribute to higher stress susceptibility in older animals. (c) 2012 Elsevier Ltd. All rights reserved.</t>
  </si>
  <si>
    <t>[Husmann, G.; Philipp, E. E. R.] Univ Kiel, Inst Clin Mol Biol, D-24105 Kiel, Germany; [Abele, D.; Kriews, M.] Alfred Wegener Inst Polar &amp; Marine Res, D-27570 Bremerhaven, Germany; [Monien, D.; Monien, P.] Carl von Ossietzky Univ Oldenburg, Dep Microbiogeochem, Inst Chem &amp; Biol Marine Environm ICBM, D-26111 Oldenburg, Germany</t>
  </si>
  <si>
    <t>University of Kiel; Helmholtz Association; Alfred Wegener Institute, Helmholtz Centre for Polar &amp; Marine Research; Carl von Ossietzky Universitat Oldenburg</t>
  </si>
  <si>
    <t>Philipp, EER (corresponding author), Univ Kiel, Inst Clin Mol Biol, Schittenhelmstr 12, D-24105 Kiel, Germany.</t>
  </si>
  <si>
    <t>g.husmann@ikmb.uni-kiel.de; doris.abele@awi.de; donata.monien@uni-oldenburg.de; monien@icbm.de; michael.kriews@awi.de; e.philipp@ikmb.uni-kiel.de</t>
  </si>
  <si>
    <t>; Monien, Patrick/K-8338-2017</t>
  </si>
  <si>
    <t>Abele, Doris/0000-0002-5766-5017; Monien, Patrick/0000-0002-4000-5362</t>
  </si>
  <si>
    <t>DFG [PH141-5-1]; Cluster of Excellence The Future Ocean</t>
  </si>
  <si>
    <t>DFG(German Research Foundation (DFG)); Cluster of Excellence The Future Ocean</t>
  </si>
  <si>
    <t>Many thanks to M. Schwanitz, C. Daniels, the Argentinean Dive Crews and the Crew of Carlini for the logistic help at the Argentinean Antarctic Station Carlini. Also many thanks to Verena Hanke, Stefanie Meyer and Ilsetraut Stolting from the Alfred Wegener Institute for Polar and Marine Research (Bremerhaven, Germany) for technical assistance. The study was funded by the DFG (PH141-5-1) (E.P. and G.H.) and the Cluster of Excellence The Future Ocean. The project is associated with ESF-PolarCLIMATE program IMCOAST.</t>
  </si>
  <si>
    <t>0272-7714</t>
  </si>
  <si>
    <t>1096-0015</t>
  </si>
  <si>
    <t>ESTUAR COAST SHELF S</t>
  </si>
  <si>
    <t>Estuar. Coast. Shelf Sci.</t>
  </si>
  <si>
    <t>10.1016/j.ecss.2012.06.003</t>
  </si>
  <si>
    <t>015HB</t>
  </si>
  <si>
    <t>WOS:000309435900005</t>
  </si>
  <si>
    <t>Mergelov, NS; Goryachkin, SV; Shorkunov, IG; Zazovskaya, EP; Cherkinsky, AE</t>
  </si>
  <si>
    <t>Mergelov, N. S.; Goryachkin, S. V.; Shorkunov, I. G.; Zazovskaya, E. P.; Cherkinsky, A. E.</t>
  </si>
  <si>
    <t>Endolithic pedogenesis and rock varnish on massive crystalline rocks in East Antarctica</t>
  </si>
  <si>
    <t>EURASIAN SOIL SCIENCE</t>
  </si>
  <si>
    <t>SOILS; MICROORGANISMS; TURNOVER; CARBON; SILICA; ISLAND</t>
  </si>
  <si>
    <t>Desert varnish and endolithic organisms are two widespread phenomena that have been studied in detail separately; their interaction and their genetic relationships have virtually escaped the attention of researchers. Both phenomena are of indubitable interest for pedology: endolithic organisms as an agent of soil formation and rock varnish as a probable product of pedogenesis. It is argued that the system of endolithic organisms, their functioning products, and the rock has all the features inherent to soils: the rock layer subjected to the influence of external abiogenic factors and living organisms dwelling in the rock and synthesizing and decomposing organic substances. The action of biogenic and abiogenic agents leads to the in situ transformation of the rock with the accumulation and removal of the products of this transformation and with the development of vertical heterogeneity in the form of microhorizons composing the soil microprofile. Instrumental measurements indicate that the carbon content in the endolithic horizons developed by biota in granitoid rocks of the Larsemann Hills oasis varies from 0.2 to 3.3%, the nitrogen content in these horizons varies from 0.02 to 0.47%, and the radiocarbon age of their organic matter reaches 480 +/- 25 yrs. The products of the pedogenesis are represented by fine earth materials and by abundant and often multilayered films and coatings on the rock surface and on the lower sides of the desquamation (spalling) plates. Scanning electron microscopy with X-ray microprobe analysis indicates that the major elements composing these films are O, C, Si, Al, Fe, Ca, Mg, and S. It is shown that the films of the rock varnish and the organomineral films in the fissured zone of the rock under the plate with endolithic communities have certain similarity in their morphology and composition: the films of the rock varnish also contain biota (dead cells or cells in the dormant state), and their botryoidal structure is similar to the structure of the biofilms inside the endolithic system. In both types of films, amorphous aluminum and silicon compounds are present, and the accumulation of Fe, Ca, Mg, S, Cl, and some other elements takes place. It is argued that some varieties of rock varnish are the products of endolithic pedogenesis; in essence, they represent the horizons of micropaleosols exposed to the surface in the course of spalling and then transformed by the external environmental agents.</t>
  </si>
  <si>
    <t>[Mergelov, N. S.; Goryachkin, S. V.; Shorkunov, I. G.; Zazovskaya, E. P.] Russian Acad Sci, Inst Geog, Moscow 119017, Russia; [Cherkinsky, A. E.] Univ Georgia, Ctr Appl Isotope Studies, Athens, GA 30602 USA</t>
  </si>
  <si>
    <t>Institute of Geography, Russian Academy of Sciences; Russian Academy of Sciences; University System of Georgia; University of Georgia</t>
  </si>
  <si>
    <t>Mergelov, NS (corresponding author), Russian Acad Sci, Inst Geog, Per Staromonetnyi 29, Moscow 119017, Russia.</t>
  </si>
  <si>
    <t>mergelov@igras.ru</t>
  </si>
  <si>
    <t>Mergelov, Nikita S/D-2585-2015; Zazovskaya, Elya/J-4800-2018; Shorkunov, Ilia/A-4818-2014; Добрянский, Александр/AAG-6075-2021; Zazovskaya, Elya/C-3715-2016; Goryachkin, Sergey/H-3357-2016</t>
  </si>
  <si>
    <t>Zazovskaya, Elya/0000-0002-1202-657X; Zazovskaya, Elya/0000-0002-1202-657X; Goryachkin, Sergey/0000-0002-3489-6584; Shorkunov, Ilia/0000-0003-2465-3893; Mergelov, Nikita/0000-0001-5796-5960</t>
  </si>
  <si>
    <t>Russian Federation for the Support Young Russian Scientists-Candidates of Science [MK-5451.2011.5]; Russian Foundation for Basic Research</t>
  </si>
  <si>
    <t>Russian Federation for the Support Young Russian Scientists-Candidates of Science; Russian Foundation for Basic Research(Russian Foundation for Basic Research (RFBR)Spanish Government)</t>
  </si>
  <si>
    <t>This study was supported by the Grant of the President of the Russian Federation for the Support Young Russian Scientists-Candidates of Science (project no. MK-5451.2011.5) and by the Russian Foundation for Basic Research. The field works were supported by the Russian Antarctic Expedition.</t>
  </si>
  <si>
    <t>1064-2293</t>
  </si>
  <si>
    <t>1556-195X</t>
  </si>
  <si>
    <t>EURASIAN SOIL SCI+</t>
  </si>
  <si>
    <t>Eurasian Soil Sci.</t>
  </si>
  <si>
    <t>10.1134/S1064229312100067</t>
  </si>
  <si>
    <t>018PZ</t>
  </si>
  <si>
    <t>WOS:000309675200001</t>
  </si>
  <si>
    <t>Rodrigues, F; Galante, D; Paulino-Lima, IG; Duarte, RTD; Friaça, ACS; Lage, C; Janot-Pacheco, E; Teixeira, R; Horvath, JE</t>
  </si>
  <si>
    <t>Rodrigues, Fabio; Galante, Douglas; Paulino-Lima, Ivan G.; Duarte, Rubens T. D.; Friaca, Amancio C. S.; Lage, Claudia; Janot-Pacheco, Eduardo; Teixeira, Ramachrisna; Horvath, Jorge E.</t>
  </si>
  <si>
    <t>Astrobiology in Brazil: early history and perspectives</t>
  </si>
  <si>
    <t>INTERNATIONAL JOURNAL OF ASTROBIOLOGY</t>
  </si>
  <si>
    <t>SPASA 2011; astrobiology; Brazil; history; astrobiologia</t>
  </si>
  <si>
    <t>STAR-FORMING REGIONS; SOFT X-RAYS; AMINO-ACIDS; ORGANIC-MOLECULES; SPORE DOSIMETRY; DEINOCOCCUS-RADIODURANS; CHEMICAL ENRICHMENT; EXTRASOLAR PLANETS; PLURAL ORIGINS; EVOLUTION</t>
  </si>
  <si>
    <t>This review reports the Brazilian history in astrobiology, as well as the first delineation of a vision of the future development of the field in the country, exploring its abundant biodiversity, highly capable human resources and state-of-the-art facilities, reflecting the last few years of stable governmental investments in science, technology and education, all conditions providing good perspectives on continued and steadily growing funding for astrobiology-related research. Brazil is growing steadily and fast in terms of its worldwide economic power, an effect being reflected in different areas of the Brazilian society, including industry, technology, education, social care and scientific production. In the field of astrobiology, the country has had some important landmarks, more intensely after the First Brazilian Workshop on Astrobiology in 2006. The history of astrobiology in Brazil, however, is not so recent and had its first occurrence in 1958. Since then, researchers carried out many individual initiatives across the country in astrobiology-related fields, resulting in an ever growing and expressive scientific production. The number of publications, including articles and theses, has particularly increased in the last decade, but still counting with the effort of researchers working individually. That scenario started to change in 2009, when a formal group of Brazilian researchers working with astrobiology was organized, aiming at congregating the scientific community interested in the subject and to promote the necessary interactions to achieve a multidisciplinary work, receiving facilities and funding from the University de Sao Paulo and other funding agencies. Received 29 February 2012, accepted 17 May 2012, first published online 18 July 2012</t>
  </si>
  <si>
    <t>[Rodrigues, Fabio] Univ Sao Paulo, Inst Quim, BR-05508 Sao Paulo, Brazil; [Galante, Douglas; Friaca, Amancio C. S.; Janot-Pacheco, Eduardo; Teixeira, Ramachrisna; Horvath, Jorge E.] Univ Sao Paulo, Inst Astron Geofis &amp; Ciencias Atmosfer, BR-05508 Sao Paulo, Brazil; [Paulino-Lima, Ivan G.] NASA, Ames Res Ctr, Washington, DC USA; [Duarte, Rubens T. D.] Univ Sao Paulo, Inst Oceanog, BR-05508 Sao Paulo, Brazil; [Lage, Claudia] Univ Fed Rio de Janeiro, Inst Biofis Carlos Chagas Filho, BR-21941 Rio De Janeiro, Brazil</t>
  </si>
  <si>
    <t>Universidade de Sao Paulo; Universidade de Sao Paulo; National Aeronautics &amp; Space Administration (NASA); NASA Ames Research Center; Universidade de Sao Paulo; Universidade Federal do Rio de Janeiro</t>
  </si>
  <si>
    <t>Rodrigues, F (corresponding author), Univ Sao Paulo, Inst Quim, BR-05508 Sao Paulo, Brazil.</t>
  </si>
  <si>
    <t>farod@iq.usp.br</t>
  </si>
  <si>
    <t>Horvath, Jorge E./C-3075-2012; Paulino Lima, Ivan Glaucio/K-8908-2012; Galante, Douglas/G-8752-2011; Duarte, Rubens/AAH-1692-2019; Duarte, Rubens/E-3129-2012; Teixeira, Ramachrisna/K-4892-2017; Rodrigues, Fabio/D-2249-2017; Lage, Claudia/K-6563-2012</t>
  </si>
  <si>
    <t>Galante, Douglas/0000-0002-3265-2527; Teixeira, Ramachrisna/0000-0002-6806-6626; Rodrigues, Fabio/0000-0002-1422-5660; Janot-Pacheco, Eduardo/0000-0003-0079-3912; Lage, Claudia/0000-0001-9870-9955; Duarte, Rubens/0000-0002-9939-3400; Paulino Lima, Ivan/0000-0003-1580-8435</t>
  </si>
  <si>
    <t>FAPESP (Sao Paulo Research Foundation); National Institute of Space Research (INEspaco - MCT/CNPq); Brazilian Antarctic Program (PROANTAR - CNPq); Universidade de Sao Paulo; Brazilian Astrobiology Research Center (NAP-Astrobio)</t>
  </si>
  <si>
    <t>FAPESP (Sao Paulo Research Foundation)(Fundacao de Amparo a Pesquisa do Estado de Sao Paulo (FAPESP)); National Institute of Space Research (INEspaco - MCT/CNPq); Brazilian Antarctic Program (PROANTAR - CNPq); Universidade de Sao Paulo; Brazilian Astrobiology Research Center (NAP-Astrobio)</t>
  </si>
  <si>
    <t>The authors would like to thank FAPESP (Sao Paulo Research Foundation), the National Institute of Space Research (INEspaco - MCT/CNPq), the Brazilian Antarctic Program (PROANTAR - CNPq) and Universidade de Sao Paulo for the financial support of the Brazilian Astrobiology Research Center (NAP-Astrobio). The authors also would like to thank the Brazilian Synchrotron Light Source (LNLS - Campinas) for the use of its facilities (TGM beamline) and to Professor Dimas A. M. Zaia and Professor Jorge A. Quillfeldt for the information given about astrobiology in their institutions.</t>
  </si>
  <si>
    <t>1473-5504</t>
  </si>
  <si>
    <t>1475-3006</t>
  </si>
  <si>
    <t>INT J ASTROBIOL</t>
  </si>
  <si>
    <t>Int. J. Astrobiol.</t>
  </si>
  <si>
    <t>10.1017/S1473550412000250</t>
  </si>
  <si>
    <t>Astronomy &amp; Astrophysics; Biology; Geosciences, Multidisciplinary</t>
  </si>
  <si>
    <t>Astronomy &amp; Astrophysics; Life Sciences &amp; Biomedicine - Other Topics; Geology</t>
  </si>
  <si>
    <t>019GF</t>
  </si>
  <si>
    <t>WOS:000309724800002</t>
  </si>
  <si>
    <t>Nagel, L; Budke, C; Dreyer, A; Koop, T; Sewald, N</t>
  </si>
  <si>
    <t>Nagel, Lilly; Budke, Carsten; Dreyer, Axel; Koop, Thomas; Sewald, Norbert</t>
  </si>
  <si>
    <t>Antifreeze glycopeptide diastereomers</t>
  </si>
  <si>
    <t>BEILSTEIN JOURNAL OF ORGANIC CHEMISTRY</t>
  </si>
  <si>
    <t>bioorganic chemistry; circular dichroism; glycopeptides; ice recrystallization; microwave chemistry</t>
  </si>
  <si>
    <t>ICE RECRYSTALLIZATION; ANTARCTIC FISH; ALANINE PEPTIDES; AFGP ANALOGS; POLAR FISH; GLYCOPROTEINS; CONFORMATION; PROTEIN; DYNAMICS; SURFACE</t>
  </si>
  <si>
    <t>Antifreeze glycopeptides (AFGPs) are a special class of biological antifreeze agents, which possess the property to inhibit ice growth in the body fluids of arctic and antarctic fish and, thus, enable life under these harsh conditions. AFGPs are composed of 4-55 tripeptide units -Ala-Ala-Thr- glycosylated at the threonine side chains. Despite the structural homology among all the fish species, divergence regarding the composition of the amino acids occurs in peptides from natural sources. Although AFGPs were discovered in the early 1960s, the adsorption mechanism of these macromolecules to the surface of the ice crystals has not yet been fully elucidated. Two AFGP diastereomers containing different amino acid configurations were synthesized to study the influence of amino acid stereochemistry on conformation and antifreeze activity. For this purpose, peptides containing monosaccharide-substituted allo-L- and D-threonine building blocks were assembled by solid-phase peptide synthesis (SPPS). The retro-inverso AFGP analogue contained all amino acids in D-configuration, while the allo-L-diastereomer was composed of L-amino acids, like native AFGPs, with replacement of L-threonine by its allo-L-diastereomer. Both glycopeptides were analyzed regarding their conformational properties, by circular dichroism (CD), and their ability to inhibit ice recrystallization in microphysical experiments.</t>
  </si>
  <si>
    <t>[Nagel, Lilly; Sewald, Norbert] Univ Bielefeld, Dept Chem, D-33615 Bielefeld, Germany; [Budke, Carsten; Dreyer, Axel; Koop, Thomas] Univ Bielefeld, Dept Chem, D-33615 Bielefeld, Germany</t>
  </si>
  <si>
    <t>University of Bielefeld; University of Bielefeld</t>
  </si>
  <si>
    <t>Sewald, N (corresponding author), Univ Bielefeld, Dept Chem, Univ Str 25, D-33615 Bielefeld, Germany.</t>
  </si>
  <si>
    <t>lilly.nagel@uni-bielefeld.de; carsten.budke@uni-bielefeld.de; axel.dreyer@uni-bielefeld.de; thomas.koop@uni-bielefeld.de; norbert.sewald@uni-bielefeld.de</t>
  </si>
  <si>
    <t>Sewald, Norbert/A-2541-2012; Koop, Thomas/B-7861-2008</t>
  </si>
  <si>
    <t>Sewald, Norbert/0000-0002-0309-2655; Koop, Thomas/0000-0002-7571-3684</t>
  </si>
  <si>
    <t>Deutsche Forschungsgemeinschaft [SFB 613, A8]; PhD fellowship from Bielefeld University</t>
  </si>
  <si>
    <t>Deutsche Forschungsgemeinschaft(German Research Foundation (DFG)); PhD fellowship from Bielefeld University</t>
  </si>
  <si>
    <t>The authors gratefully acknowledge support from the Deutsche Forschungsgemeinschaft (SFB 613, project A8). L. N. was funded by a PhD fellowship from Bielefeld University.</t>
  </si>
  <si>
    <t>BEILSTEIN-INSTITUT</t>
  </si>
  <si>
    <t>FRANKFURT AM MAIN</t>
  </si>
  <si>
    <t>TRAKEHNER STRASSE 7-9, FRANKFURT AM MAIN, 60487, GERMANY</t>
  </si>
  <si>
    <t>1860-5397</t>
  </si>
  <si>
    <t>BEILSTEIN J ORG CHEM</t>
  </si>
  <si>
    <t>Beilstein J. Org. Chem.</t>
  </si>
  <si>
    <t>10.3762/bjoc.8.190</t>
  </si>
  <si>
    <t>017LS</t>
  </si>
  <si>
    <t>WOS:000309592000002</t>
  </si>
  <si>
    <t>Bjorndal, B; Vik, R; Brattelid, T; Vigerust, NF; Burri, L; Bohov, P; Nygård, O; Skorve, J; Berge, RK</t>
  </si>
  <si>
    <t>Bjorndal, Bodil; Vik, Rita; Brattelid, Trond; Vigerust, Natalya Filipchuk; Burri, Lena; Bohov, Pavol; Nygard, Ottar; Skorve, Jon; Berge, Rolf K.</t>
  </si>
  <si>
    <t>Krill powder increases liver lipid catabolism and reduces glucose mobilization in tumor necrosis factor-alpha transgenic mice fed a high-fat diet</t>
  </si>
  <si>
    <t>METABOLISM-CLINICAL AND EXPERIMENTAL</t>
  </si>
  <si>
    <t>Cholesterol; Lipogenesis; Inflammation; Omega-3 fatty acids; Phospholipids</t>
  </si>
  <si>
    <t>PPAR-ALPHA; FISH-OIL; DOCOSAHEXAENOIC ACID; ADIPOSE-TISSUE; BILE-ACIDS; RAT-LIVER; MITOCHONDRIA; MECHANISM; PROTEIN; GENES</t>
  </si>
  <si>
    <t>A promising approach to ameliorate obesity and obesity-associated diseases is the identification of new sources of dietary ingredients. The present study investigated the hepatic regulation of energy metabolism after feeding a powder isolated from Antarctic krill (Euphausia superba) in a transgenic mouse model of chronic inflammation (human tumor necrosis factor-alpha (hTNF alpha) mice) known to display unfavorable effects on lipid metabolism. Male hTNF alpha mice were fed high-fat diets (23.6%, w/w) with or without krill powder (6.4% lipids, 4.3% protein, w/w) for 6 weeks. Blood, liver lipid, and fatty acid composition, as well as hepatic enzyme activities and gene expressions, were determined. Krill powder fed mice displayed lowered hepatic and plasma triacylglycerol levels compared to mice on a high-fat casein diet. This was accompanied by down-regulated hepatic expression of genes involved in lipogenesis and glycerolipid synthesis, and increased beta-oxidation activity. In addition, the krill powder diet lowered plasma levels of cholesterol, as well as hepatic gene expression of sterol regulatory element binding transcription factor 2 (SREBP2) and enzymes involved in cholesterol synthesis. Notably, genes involved in glycolysis and gluconeogenesis were significantly reduced in liver by the krill powder diet, while genes involved in oxidative phosphorylation and uncoupling were not affected. Krill powder also reduced endogenous TNF alpha in liver, indicating an anti-inflammatory effect. In a high-fat mouse model with disturbed lipid metabolism due to persistent hTNF alpha expression, krill powder showed significant effects on hepatic glucose- and lipid metabolism, resulting in an improved lipid status in liver and plasma. (C) 2012 Elsevier Inc. All rights reserved.</t>
  </si>
  <si>
    <t>[Bjorndal, Bodil; Vik, Rita; Vigerust, Natalya Filipchuk; Burri, Lena; Bohov, Pavol; Nygard, Ottar; Skorve, Jon; Berge, Rolf K.] Univ Bergen, Inst Med, N-5021 Bergen, Norway; [Brattelid, Trond] NIFES, Natl Inst Fisheries, N-5804 Bergen, Norway; [Nygard, Ottar; Berge, Rolf K.] Haukeland Hosp, Dept Heart Dis, N-5021 Bergen, Norway</t>
  </si>
  <si>
    <t>University of Bergen; University of Bergen; Haukeland University Hospital</t>
  </si>
  <si>
    <t>Bjorndal, B (corresponding author), Univ Bergen, Inst Med, N-5021 Bergen, Norway.</t>
  </si>
  <si>
    <t>bodil.bjorndal@med.uib.no</t>
  </si>
  <si>
    <t>Bjørndal, Bodil/HDN-4287-2022; Bjørndal, Bodil/ITT-0544-2023; Bjorndal, Bodil/H-6143-2017</t>
  </si>
  <si>
    <t>Bjorndal, Bodil/0000-0001-9718-5117</t>
  </si>
  <si>
    <t>Nordforsk [070010]; MitoHealth; Research Council of Norway [190287/110]</t>
  </si>
  <si>
    <t>Nordforsk(NordForsk); MitoHealth; Research Council of Norway(Research Council of Norway)</t>
  </si>
  <si>
    <t>This work was supported by grants from Nordforsk, grant no.070010, MitoHealth, and the Research Council of Norway, grant no.190287/110.</t>
  </si>
  <si>
    <t>W B SAUNDERS CO-ELSEVIER INC</t>
  </si>
  <si>
    <t>PHILADELPHIA</t>
  </si>
  <si>
    <t>1600 JOHN F KENNEDY BOULEVARD, STE 1800, PHILADELPHIA, PA 19103-2899 USA</t>
  </si>
  <si>
    <t>0026-0495</t>
  </si>
  <si>
    <t>1532-8600</t>
  </si>
  <si>
    <t>METABOLISM</t>
  </si>
  <si>
    <t>Metab.-Clin. Exp.</t>
  </si>
  <si>
    <t>10.1016/j.metabol.2012.03.012</t>
  </si>
  <si>
    <t>Endocrinology &amp; Metabolism</t>
  </si>
  <si>
    <t>017YA</t>
  </si>
  <si>
    <t>WOS:000309625900016</t>
  </si>
  <si>
    <t>Nai, YH; Zemb, O; Gutierrez-Zamora, ML; Manefield, M; Powell, SM; Breadmore, MC</t>
  </si>
  <si>
    <t>Nai, Yi H.; Zemb, Oliver; Gutierrez-Zamora, Maria-Luisa; Manefield, Mike; Powell, Shane M.; Breadmore, Michael C.</t>
  </si>
  <si>
    <t>Capillary electrophoresis ribosomal RNA single-stranded conformation polymorphism: a new approach for characterization of low-diversity microbial communities</t>
  </si>
  <si>
    <t>ANALYTICAL AND BIOANALYTICAL CHEMISTRY</t>
  </si>
  <si>
    <t>Capillary electrophoresis; Laser-induced fluorescence; RNA; Fluorescence-labeled hybridization probe; Polydimethylacrylamide; 16S ribosomal RNA; Fingerprint; Single-stranded conformation polymorphism; Microbial community characterization</t>
  </si>
  <si>
    <t>INDUCED FLUORESCENCE DETECTION; DNA FRAGMENTS; ETHIDIUM-BROMIDE; SEPARATION; PRIMERS; SSCP; OLIGONUCLEOTIDES; QUANTIFICATION; SEQUENCES; BACTERIA</t>
  </si>
  <si>
    <t>Capillary electrophoresis (CE) has been the principle system for nucleic acid analysis since the early 1990s due to its inherent advantages such as fast analysis time, high resolution and efficiency, minimal sample requirement, high detection sensitivity, and automation. In the past few decades, microbial community fingerprinting methods such as terminal restriction fragment length polymorphism and single-stranded conformation polymorphism (SSCP) have migrated to CE to utilize its advantages over conventional slab gel electrophoresis. Recently, a gel-based direct rRNA fingerprint method was demonstrated. Different from other existing microbial community characterization approaches, this novel approach is polymerase chain reaction free and capable of providing information on the relative abundance of rRNA from individual phylotypes in low-diversity samples. As a gel-based method, it has a long analysis time and relatively large reagent and sample requirements. Here, we addressed these limitations by transferring the RNA fingerprint approach to the CE platform. Analysis time significantly improved from 24 h to 60 min, and the use of a fluorescently labeled hybridization probe as the detection strategy decreased the sample requirement by ten-fold. The combination of fast analysis time, low sample requirement, and sensitive fluorescence detection makes CE-RNA-SSCP an appealing new approach for characterizing low-diversity microbial communities.</t>
  </si>
  <si>
    <t>[Nai, Yi H.; Breadmore, Michael C.] Univ Tasmania, Sch Chem, Australian Ctr Res Separat Sci ACROSS, Hobart, Tas 7001, Australia; [Powell, Shane M.] Univ Tasmania, Tasmanian Inst Agr, Hobart, Tas 7001, Australia; [Zemb, Oliver; Gutierrez-Zamora, Maria-Luisa; Manefield, Mike] Univ New S Wales, Ctr Marine Bioinnovat, Sch Biotechnol &amp; Biomol Sci, Sydney, NSW 2025, Australia</t>
  </si>
  <si>
    <t>University of Tasmania; University of Tasmania; University of New South Wales Sydney</t>
  </si>
  <si>
    <t>Breadmore, MC (corresponding author), Univ Tasmania, Sch Chem, Australian Ctr Res Separat Sci ACROSS, Private Bag 75, Hobart, Tas 7001, Australia.</t>
  </si>
  <si>
    <t>mcb@utas.edu.au</t>
  </si>
  <si>
    <t>Powell, Shane M/C-2391-2014; Breadmore, Michael/J-7628-2014; zemb, olivier/D-2460-2014</t>
  </si>
  <si>
    <t>Powell, Shane/0000-0001-5082-1630; Nai, Ryan/0000-0003-4998-7574; Breadmore, Michael/0000-0001-5591-4326; zemb, olivier/0000-0003-3900-5522</t>
  </si>
  <si>
    <t>Australian Antarctic Division through Australia Antarctic science program grant; University of Tasmania; Australian Research Council [DP0984745, FT100100078]; Australian Research Council [FT100100078] Funding Source: Australian Research Council</t>
  </si>
  <si>
    <t>Australian Antarctic Division through Australia Antarctic science program grant; University of Tasmania; Australian Research Council(Australian Research Council); Australian Research Council(Australian Research Council)</t>
  </si>
  <si>
    <t>This study was supported by the Australian Antarctic Division through Australia Antarctic science program grant. The authors acknowledge the University of Tasmania for Tasmania Postgraduate Research Scholarship awarded to YHN. MCB would like to thank the Australian Research Council for funding and provision of a QEII Fellowship (DP0984745), and MM would like to thank the Australian Research Council for funding and provision of a Future Fellowship (FT100100078).</t>
  </si>
  <si>
    <t>SPRINGER HEIDELBERG</t>
  </si>
  <si>
    <t>HEIDELBERG</t>
  </si>
  <si>
    <t>TIERGARTENSTRASSE 17, D-69121 HEIDELBERG, GERMANY</t>
  </si>
  <si>
    <t>1618-2642</t>
  </si>
  <si>
    <t>1618-2650</t>
  </si>
  <si>
    <t>ANAL BIOANAL CHEM</t>
  </si>
  <si>
    <t>Anal. Bioanal. Chem.</t>
  </si>
  <si>
    <t>6-7</t>
  </si>
  <si>
    <t>10.1007/s00216-012-6268-0</t>
  </si>
  <si>
    <t>Biochemical Research Methods; Chemistry, Analytical</t>
  </si>
  <si>
    <t>Biochemistry &amp; Molecular Biology; Chemistry</t>
  </si>
  <si>
    <t>014AW</t>
  </si>
  <si>
    <t>WOS:000309348400028</t>
  </si>
  <si>
    <t>Trelea-Newton, M; Golledge, NR</t>
  </si>
  <si>
    <t>Trelea-Newton, Mihaela; Golledge, Nicholas R.</t>
  </si>
  <si>
    <t>The Younger Dryas glaciation in the southeastern Monadhliath Mountains, Scotland: glacier reconstruction and palaeoclimate implications</t>
  </si>
  <si>
    <t>BOREAS</t>
  </si>
  <si>
    <t>LOCH-LOMOND READVANCE; EQUILIBRIUM-LINE ALTITUDES; ICE CAP; PROTALUS RAMPARTS; CLIMATE; BALANCE; IMPACT; GEOMORPHOLOGY; NORTHWESTERN; SIMULATION</t>
  </si>
  <si>
    <t>Geomorphological mapping of locally nourished glaciers was conducted in four glens in the southeastern Monadhliath Mountains, Scotland. Three glaciers are interpreted to be of Younger Dryas age based on geomorphological similarity to features in other Scottish upland areas known to have been glaciated during the Younger Dryas, and on comparison to adjacent ice-free areas in the lower glens where landform-sediment assemblages typically reflect peri/paraglacial readjustment during the stadial. Here we reconstruct Younger Dryas glacier termini based on moraine alignments and associated geomorphological and sedimentological evidence. An adjacent wide plateau area at high altitude may have permitted extensive ice accumulation, but no unequivocal geomorphological signature is evident. To establish upper glacier limits, a series of ice profiles are modelled. The results yield a range of realistic glacier configurations bracketed between two distinct scenarios: a valley glaciation with the glaciers' upper limit on the plateau edge, and a low-domed icecap centred on the plateau with ice flowing radially into the lower glens. Reconstructed equilibrium-line altitudes are 795?m?a.s.l. for the valley-glacier scenario and 894?m?a.s.l. for the icecap scenario. Calculated mean ablation-season temperatures at the ELA are 1.2 degrees C and 0.4 degrees C for the valley-glacier and the icecap scenario, respectively, from which we infer mean annual precipitation rates between 323 and 520?mm?a-1. Palaeoclimate results indicate a stadial climate in central Scotland 6579% more arid than at present, comparable to that of western Norway for the stadial and to the present-day Canadian Arctic.</t>
  </si>
  <si>
    <t>[Trelea-Newton, Mihaela] Univ Edinburgh, Inst Geog, Sch GeoSci, Edinburgh EH8 9XP, Midlothian, Scotland; [Golledge, Nicholas R.] Victoria Univ Wellington, Antarctic Res Ctr, Wellington 6140, New Zealand</t>
  </si>
  <si>
    <t>University of Edinburgh; Victoria University Wellington</t>
  </si>
  <si>
    <t>Trelea-Newton, M (corresponding author), Univ Edinburgh, Inst Geog, Sch GeoSci, Drummond St, Edinburgh EH8 9XP, Midlothian, Scotland.</t>
  </si>
  <si>
    <t>m_trelea@yahoo.com; nick.golledge@vuw.ac.nz</t>
  </si>
  <si>
    <t>Golledge, Nicholas/0000-0001-7676-8970</t>
  </si>
  <si>
    <t>School of GeoSciences, University of Edinburgh</t>
  </si>
  <si>
    <t>David Sugden is gratefully acknowledged for his guidance and encouragement while M.T.-N. completed the MSc project that forms the foundation of this article, and also for his reviews on initial manuscripts. Thanks are also due to Simon Newton and Andrew Finlayson for technical support, to Nick Hulton and John Mendum for discussions, to Delia Gheorghiu for field assistance, and to John Gordon for access to resources. Doug Benn, two anonymous reviewers and Professor Jan A. Piotrowski (Editor-in-chief) are thanked for constructive comments, which improved the paper's clarity. The hill-shaded topographic terrain model was derived from Intermap Technologies NEXTMap Britain elevation data, copyright BGS (UK Natural Environmental Research Council). This research was carried out while M.T.-N. was in receipt of a scholarship generously provided by the School of GeoSciences, University of Edinburgh.</t>
  </si>
  <si>
    <t>0300-9483</t>
  </si>
  <si>
    <t>1502-3885</t>
  </si>
  <si>
    <t>Boreas</t>
  </si>
  <si>
    <t>10.1111/j.1502-3885.2012.00265.x</t>
  </si>
  <si>
    <t>014SA</t>
  </si>
  <si>
    <t>WOS:000309394800007</t>
  </si>
  <si>
    <t>Küttel, M; Steig, EJ; Ding, QH; Monaghan, AJ; Battisti, DS</t>
  </si>
  <si>
    <t>Kuettel, Marcel; Steig, Eric J.; Ding, Qinghua; Monaghan, Andrew J.; Battisti, David S.</t>
  </si>
  <si>
    <t>Seasonal climate information preserved in West Antarctic ice core water isotopes: relationships to temperature, large-scale circulation, and sea ice</t>
  </si>
  <si>
    <t>Antarctica; Ice cores; Water isotopes; Diffusion; Sea ice; Temperature; Atmospheric circulation</t>
  </si>
  <si>
    <t>LATE-HOLOCENE CLIMATE; ATMOSPHERIC CIRCULATION; SNOW; SURFACE; PRECIPITATION; VARIABILITY; DELTA-O-18; RECORDS; ITASE; PARAMETERS</t>
  </si>
  <si>
    <t>As part of the United States' contribution to the International Trans-Antarctic Scientific Expedition (ITASE), a network of precisely dated and highly resolved ice cores was retrieved from West Antarctica. The ITASE dataset provides a unique record of spatial and temporal variations of stable water isotopes (delta O-18 and delta D) across West Antarctica. We demonstrate that, after accounting for water vapor diffusion, seasonal information can be successfully extracted from the ITASE cores. We use meteorological reanalysis, weather station, and sea ice data to assess the role of temperature, sea ice, and the state of the large-scale atmospheric circulation in controlling seasonal average water isotope variations in West Antarctica. The strongest relationships for all variables are found in the cores on and west of the West Antarctic Ice Sheet Divide and during austral fall. During this season positive isotope anomalies in the westernmost ITASE cores are strongly related to a positive pressure anomaly over West Antarctica, low sea ice concentrations in the Ross and Amundsen Seas, and above normal temperatures. Analyses suggest that this seasonally distinct climate signal is due to the pronounced meridional oriented circulation and its linkage to enhanced sea ice variations in the adjacent Southern Ocean during fall, both of which also influence local to regional temperatures.</t>
  </si>
  <si>
    <t>[Kuettel, Marcel; Steig, Eric J.; Ding, Qinghua] Univ Washington, Dept Earth &amp; Space Sci, Seattle, WA 98195 USA; [Kuettel, Marcel; Steig, Eric J.; Ding, Qinghua] Univ Washington, Quaternary Res Ctr, Seattle, WA 98195 USA; [Monaghan, Andrew J.] Natl Ctr Atmospher Res, Boulder, CO 80307 USA; [Battisti, David S.] Univ Washington, Dept Atmospher Sci, Seattle, WA 98195 USA</t>
  </si>
  <si>
    <t>University of Washington; University of Washington Seattle; University of Washington; University of Washington Seattle; National Center Atmospheric Research (NCAR) - USA; University of Washington; University of Washington Seattle</t>
  </si>
  <si>
    <t>Steig, EJ (corresponding author), Univ Washington, Dept Earth &amp; Space Sci, Seattle, WA 98195 USA.</t>
  </si>
  <si>
    <t>mkuettel@uw.edu; steig@uw.edu</t>
  </si>
  <si>
    <t>ding, qinghua/G-1186-2011; Battisti, David/A-3340-2013; /G-9088-2015</t>
  </si>
  <si>
    <t>Monaghan, Andrew/0000-0002-8170-2359; Battisti, David/0000-0003-4871-1293; /0000-0002-8191-5549</t>
  </si>
  <si>
    <t>National Science Foundation [OPP-0837988, 0963924]; Office of Polar Programs (OPP); Directorate For Geosciences [0944348, 0837988] Funding Source: National Science Foundation; Office of Polar Programs (OPP); Directorate For Geosciences [0963924] Funding Source: National Science Foundation</t>
  </si>
  <si>
    <t>National Science Foundation(National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</si>
  <si>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We thank University of Washington IsoLab staff and students A. Schauer, J. Flaherty, D. Schneider, P. Neff, K. Samek, R. Teel, and J. Bautista for help with the analyses. P. Mayewski and D. Dixon's coordination of the U.S. ITASE fieldwork was invaluable. This work was supported by grants OPP-0837988 and 0963924 from the National Science Foundation. The National Center for Atmospheric Research is funded by the National Science Foundation.</t>
  </si>
  <si>
    <t>7-8</t>
  </si>
  <si>
    <t>10.1007/s00382-012-1460-7</t>
  </si>
  <si>
    <t>013ZZ</t>
  </si>
  <si>
    <t>WOS:000309346100018</t>
  </si>
  <si>
    <t>Huang, WR; Chen, TC; Wang, SY</t>
  </si>
  <si>
    <t>Huang, Wan-Ru; Chen, Tsing-Chang; Wang, Shih-Yu</t>
  </si>
  <si>
    <t>Co-variability of poleward propagating atmospheric energy with tropical and higher-latitude climate oscillations</t>
  </si>
  <si>
    <t>Atmospheric energy; Poleward propagation; Climate oscillations</t>
  </si>
  <si>
    <t>NORTHERN-HEMISPHERE WINTER; EDDY SENSIBLE HEAT; INTERANNUAL FLUCTUATIONS; GEOPOTENTIAL HEIGHT; ARCTIC OSCILLATION; CIRCULATION; TRANSPORT; OCEAN; TELECONNECTIONS; SIGNATURE</t>
  </si>
  <si>
    <t>One may infer from the poleward propagation of angular momentum that energy change in tropical regions may be manifested in polar regions through a poleward propagation. This idea does not seem to be extensively addressed in the literature. It has been found that the poleward propagation of total atmospheric energy appears to connect the tropics and the polar regions on the interannual timescale. The present study explores how this poleward propagation may be linked to prominent climate oscillations such as ENSO, PNA, NAO, AO, AAO, and PSA. Analysis suggests that the poleward propagation of energy is likely a result of the atmospheric circulation change modulated by the climate patterns of ENSO, PNA, NAO, AO from tropical to Arctic regions and by the climate patterns of ENSO, PSA, AAO from tropical to Antarctic regions. The existence of the poleward energy propagation may shed light on studies exploring the linkage between topical climate and polar climate.</t>
  </si>
  <si>
    <t>[Huang, Wan-Ru; Chen, Tsing-Chang] Iowa State Univ, Dept Geol &amp; Atmospher Sci, Ames, IA USA; [Wang, Shih-Yu] Utah State Univ, Utah Climate Ctr, Logan, UT 84322 USA; [Wang, Shih-Yu] Utah State Univ, Dept Plants Soils &amp; Climate, Logan, UT 84322 USA</t>
  </si>
  <si>
    <t>Iowa State University; Utah System of Higher Education; Utah State University; Utah System of Higher Education; Utah State University</t>
  </si>
  <si>
    <t>Huang, WR (corresponding author), City Univ Hong Kong, Sch Energy &amp; Environm, Guy Carpenter Asia Pacific Climate Impact Ctr, Kowloon, Hong Kong, Peoples R China.</t>
  </si>
  <si>
    <t>wrhuang@cityu.edu.hk</t>
  </si>
  <si>
    <t>Wang, S.-Y. Simon/G-2566-2010; Huang, Wan-Ru/G-7272-2014</t>
  </si>
  <si>
    <t>Huang, Wan-Ru/0000-0002-2171-4075</t>
  </si>
  <si>
    <t>Cheney Research Foundation; Utah Agricultural Experiment Station, Utah State University</t>
  </si>
  <si>
    <t>We thank anonymous reviewers for their comments and suggestions which greatly improved the manuscript. This research was partially supported by the Cheney Research Foundation. SYW was supported by the Utah Agricultural Experiment Station, Utah State University.</t>
  </si>
  <si>
    <t>10.1007/s00382-011-1238-3</t>
  </si>
  <si>
    <t>WOS:000309346100021</t>
  </si>
  <si>
    <t>Goodge, JW; Fanning, CM; Norman, MD; Bennett, VC</t>
  </si>
  <si>
    <t>Goodge, John W.; Fanning, C. Mark; Norman, Marc D.; Bennett, Vickie C.</t>
  </si>
  <si>
    <t>Temporal, Isotopic and Spatial Relations of Early Paleozoic Gondwana-Margin Arc Magmatism, Central Transantarctic Mountains, Antarctica</t>
  </si>
  <si>
    <t>JOURNAL OF PETROLOGY</t>
  </si>
  <si>
    <t>granite; petrogenesis; Ross Orogen; geochronology; isotope geochemistry</t>
  </si>
  <si>
    <t>SOUTHERN VICTORIA-LAND; LACHLAN FOLD BELT; DRY VALLEYS AREA; ROSS OROGEN; PENSACOLA MOUNTAINS; CONTINENTAL-CRUST; AGE CONSTRAINTS; BEARDMORE GROUP; PACIFIC MARGIN; PASSIVE-MARGIN</t>
  </si>
  <si>
    <t>The Cambrian-Ordovician Ross Orogeny in Antarctica produced a voluminous magmatic belt composed mainly of post-orogenic granitoids. This magmatic belt has strong calc-alkaline characteristics reflecting a convergent-margin origin associated with subduction of paleo-Pacific oceanic lithosphere beneath cratonic East Antarctica. However, it is unclear how and when magmatism began, and to what degree magmatism was associated with syn-orogenic deformation and intra-arc extension. New U-Pb zircon ages, and whole-rock geochemical and Sr-Nd isotope data for granitoids sampled along a transect across the Ross Orogen in the Nimrod Glacier area of the central Transantarctic Mountains provide constraints on the timing, spatial variation, and origin of the magmatism in this area. This transect is one of the few places where the orogenic arc extends into the East Antarctic cratonic basement, thus helping to constrain both craton and arc evolution. New U-Pb ages show that magmatism was initiated as early as similar to 590 Ma following latest Neoproterozoic rifting, that the magmatic belt is long-lived, lasting over about 100 Myr, and that the locus of magmatism shifted oceanward over time. Early syn-orogenic magmatism was focused within the leading edge of the cratonic basement, perhaps guided by strain partitioning during oblique subduction; younger magmas intruded a forearc sedimentary molasse basin, itself eroded from the earlier established arc system. Broadening of the arc during the later phases of Ross convergence indicates rollback of the subducting plate hinge and thickening of the developing forearc during continuing orogenic contraction. The granitoids mainly have calc-alkaline geochemical characteristics, but they show some similarity to adakitic compositions indicative of melt fractionation from the subducting slab; they do not show the alkaline signatures attributed in other areas to crustal extension. Inherited zircon components are compatible with melting of lower crust similar to that exposed at present in the Nimrod Group; however, the paucity of older cores suggests that melt production involved relatively large degrees of fractional melting at high temperature. Whole-rock Sr and Nd isotopic compositions vary systematically across the belt, as expected in a convergent-margin arc setting, and they show significant cratonic influence, with initial Sr-87/Sr-86 compositions as high as 0 center dot 750 and epsilon Nd values as low as -15 for granitoids intruding Nimrod Group basement. Although there is an isotopic discontinuity associated with the inferred cratonic rifted margin, the later phase of magmatism is characterized by uniformly low Sr-87/Sr-86 and high epsilon Nd, indicating that melt compositions are controlled more by subduction processes than by assimilation of existing crust in the cratonic upper plate.</t>
  </si>
  <si>
    <t>[Goodge, John W.] Univ Minnesota, Dept Geol Sci, Duluth, MN 55812 USA; [Fanning, C. Mark; Norman, Marc D.; Bennett, Vickie C.] Australian Natl Univ, Res Sch Earth Sci, Canberra, ACT 0200, Australia</t>
  </si>
  <si>
    <t>University of Minnesota System; University of Minnesota Duluth; Australian National University</t>
  </si>
  <si>
    <t>Goodge, JW (corresponding author), Univ Minnesota, Dept Geol Sci, Duluth, MN 55812 USA.</t>
  </si>
  <si>
    <t>jgoodge@d.umn.edu</t>
  </si>
  <si>
    <t>Goodge, John/GQI-3878-2022; Norman, Marc D/A-2244-2008; Yakymchuk, Chris/H-1297-2013; Fanning, C. Mark/I-6449-2016</t>
  </si>
  <si>
    <t>Bennett, Vickie/0000-0003-0937-3471; Norman, Marc/0000-0002-1357-5415; Goodge, John/0000-0003-2578-3147</t>
  </si>
  <si>
    <t>National Science Foundation [9912081, 0350039, 0440160]; Directorate For Geosciences; Division Of Polar Programs [0350039, 0440160] Funding Source: National Science Foundation</t>
  </si>
  <si>
    <t>National Science Foundation(National Science Foundation (NSF)); Directorate For Geosciences; Division Of Polar Programs(National Science Foundation (NSF)NSF - Directorate for Geosciences (GEO))</t>
  </si>
  <si>
    <t>Field and laboratory work were supported by the National Science Foundation (awards 9912081, 0350039 and 0440160 to J.W.G.).</t>
  </si>
  <si>
    <t>0022-3530</t>
  </si>
  <si>
    <t>1460-2415</t>
  </si>
  <si>
    <t>J PETROL</t>
  </si>
  <si>
    <t>J. Petrol.</t>
  </si>
  <si>
    <t>10.1093/petrology/egs043</t>
  </si>
  <si>
    <t>010YB</t>
  </si>
  <si>
    <t>WOS:000309129300003</t>
  </si>
  <si>
    <t>Yang, ZW; Han, DS; Yang, HG; Hu, HQ; Zhang, BC; Zhang, QH; Liu, RY</t>
  </si>
  <si>
    <t>Yang, Zhongwei; Han, Desheng; Yang, Huigen; Hu, Hongqiao; Zhang, Beichen; Zhang, Qinghe; Liu, Ruiyuan</t>
  </si>
  <si>
    <t>Contributions to the cross shock electric field at supercritical perpendicular shocks: impact of the pickup ions</t>
  </si>
  <si>
    <t>ASTROPHYSICS AND SPACE SCIENCE</t>
  </si>
  <si>
    <t>Pickup ions; Nonstationary shock; Particle-in-cell simulation</t>
  </si>
  <si>
    <t>SOLAR-WIND; PARTICLE SIMULATIONS; COLLISIONLESS; ACCELERATION; PROTONS; NONSTATIONARITY; THERMALIZATION; DISTRIBUTIONS; REFORMATION; TURBULENCE</t>
  </si>
  <si>
    <t>A particle-in-cell code is used to examine contributions of the pickup ions (PIs) and the solar wind ions (SWs) to the cross shock electric field at the supercritical, perpendicular shocks. The code treats the pickup ions self-consistently as a third component. Herein, two different runs with relative pickup ion density of 25 % and 55 % are presented in this paper. Present preliminary results show that: (1) in the low percentage (25 %) pickup ion case, the shock front is nonstationary. During the evolution of this perpendicular shock, a nonstationary foot resulting from the reflected solar wind ions is formed in front of the old ramp, and its amplitude becomes larger and larger. At last, the nonstationary foot grows up into a new ramp and exceeds the old one. Such a nonstationary process can be formed periodically. When the new ramp begins to be formed in front of the old ramp, the Hall term mainly contributed by the solar wind ions becomes more and more important. The electric field E (x) is dominated by the Hall term when the new ramp exceeds the old one. Furthermore, an extended and stationary foot in pickup ion gyro-scale is located upstream of the nonstationary/self-reforming region within the shock front, and is always dominated by the Lorentz term contributed by the pickup ions; (2) in the high percentage (55 %) pickup ion case, the amplitude of the stationary foot is increased as expected. One striking point is that the nonstationary region of the shock front evidenced by the self-reformation disappears. Instead, a stationary extended foot dominated by Lorentz term contributed by the pickup ions, and a stationary ramp dominated by Hall term contributed by the solar wind ions are clearly evidenced. The significance of the cross electric field on ion dynamics is also discussed.</t>
  </si>
  <si>
    <t>[Yang, Zhongwei; Han, Desheng; Yang, Huigen; Hu, Hongqiao; Zhang, Beichen; Zhang, Qinghe; Liu, Ruiyuan] Polar Res Inst China, SOA Key Lab Polar Sci, Shanghai, Peoples R China</t>
  </si>
  <si>
    <t>Polar Research Institute of China</t>
  </si>
  <si>
    <t>Yang, ZW (corresponding author), Polar Res Inst China, SOA Key Lab Polar Sci, Shanghai, Peoples R China.</t>
  </si>
  <si>
    <t>yangzhongwei@pric.gov.cn</t>
  </si>
  <si>
    <t>Han, Desheng/P-2663-2017; Zhang, Qing-He/G-4572-2014; Han, Desheng/H-6971-2018</t>
  </si>
  <si>
    <t>Zhang, Qing-He/0000-0003-2429-4050; Zhang, Beichen/0000-0002-0927-9568; Han, Desheng/0000-0002-6635-9214</t>
  </si>
  <si>
    <t>National Science Foundation of China [40974083, 40974103, 41031064, 40890164, 40931053]; Public Science and Technology Research Funds Projects of Ocean [201005017]; Chinese Academy of Sciences [KJCX2-YW-N28]; Youth Fund of Polar Research Institute of China [CX20120101]; Chinese Arctic and Antarctic Administration [10/11YR09]</t>
  </si>
  <si>
    <t>National Science Foundation of China(National Natural Science Foundation of China (NSFC)); Public Science and Technology Research Funds Projects of Ocean; Chinese Academy of Sciences(Chinese Academy of Sciences); Youth Fund of Polar Research Institute of China; Chinese Arctic and Antarctic Administration</t>
  </si>
  <si>
    <t>This work was supported by the National Science Foundation of China (40974083, 40974103, 41031064, 40890164, and 40931053), Public Science and Technology Research Funds Projects of Ocean (201005017), Chinese Academy of Sciences KJCX2-YW-N28, and the Youth Fund of Polar Research Institute of China (CX20120101). Thanks are also given for the financial support of the Chinese Arctic and Antarctic Administration (10/11YR09).</t>
  </si>
  <si>
    <t>0004-640X</t>
  </si>
  <si>
    <t>1572-946X</t>
  </si>
  <si>
    <t>ASTROPHYS SPACE SCI</t>
  </si>
  <si>
    <t>Astrophys. Space Sci.</t>
  </si>
  <si>
    <t>10.1007/s10509-012-1111-9</t>
  </si>
  <si>
    <t>008MI</t>
  </si>
  <si>
    <t>WOS:000308960700004</t>
  </si>
  <si>
    <t>Rödel, F</t>
  </si>
  <si>
    <t>Roedel, F.</t>
  </si>
  <si>
    <t>From an Expedition to the Antarctic</t>
  </si>
  <si>
    <t>JOURNAL DER DEUTSCHEN DERMATOLOGISCHEN GESELLSCHAFT</t>
  </si>
  <si>
    <t>German</t>
  </si>
  <si>
    <t>1610-0379</t>
  </si>
  <si>
    <t>J DTSCH DERMATOL GES</t>
  </si>
  <si>
    <t>J. Dtsch. Dermatol. Ges.</t>
  </si>
  <si>
    <t>E7</t>
  </si>
  <si>
    <t>Dermatology</t>
  </si>
  <si>
    <t>011SZ</t>
  </si>
  <si>
    <t>WOS:000309186700025</t>
  </si>
  <si>
    <t>Ikeda, T</t>
  </si>
  <si>
    <t>Ikeda, Tsutomu</t>
  </si>
  <si>
    <t>Metabolism and chemical composition of zooplankton from 500 to 5,000 m depth of the western subarctic Pacific Ocean</t>
  </si>
  <si>
    <t>JOURNAL OF OCEANOGRAPHY</t>
  </si>
  <si>
    <t>Chemical composition; Deep-sea zooplankton; Respiration; Subarctic Pacific Ocean; 500-5,000 m depth; C:N ratio</t>
  </si>
  <si>
    <t>MIDWATER CRUSTACEANS; ENZYMATIC-ACTIVITIES; PELAGIC COPEPODS; BODY-MASS; RATES; CHAETOGNATHS; RESPIRATION; LAYER</t>
  </si>
  <si>
    <t>Respiration (=oxygen consumption) rates of 28 zooplankton species belonging to 10 taxa from 500 to 5,000 m depth of the western subarctic Pacific Ocean were determined as 0.027-0.44 mu LO2 mg dry mass(-1) h(-1) at in situ temperatures (1.5-3 A degrees C), which are 80 % lower than the rates of the epipelagic Antarctic zooplankton with similar body mass and at a comparable temperature. In terms of adjusted metabolic rate to 1 mg body N (AMR; mu LO2 mg N-0.8 h(-1)) at 1 A degrees C, the present results (mean 1.66) fall well within the range (0.84-3.32) reported for copepods, chaetognaths, and mixed crustaceans from 500 to 7,000 m in the subarctic Pacific Ocean and Antarctic waters. Judging from their body C:N elemental ratios and ash-free dry mass (=organic matter) data, the major component of organic matter is deduced to be protein (C:N = 3.4-8.1, by mass) for 19 out of 28 species and lipids (C:N = 8.6-13.0) for the remaining 9 species.</t>
  </si>
  <si>
    <t>[Ikeda, Tsutomu] Hokkaido Univ, Grad Sch Fisheries Sci, Hakodate, Hokkaido 0418611, Japan</t>
  </si>
  <si>
    <t>Hokkaido University</t>
  </si>
  <si>
    <t>Ikeda, T (corresponding author), 16-3-1001 Toyokawa Cho, Hakodate, Hokkaido 0400065, Japan.</t>
  </si>
  <si>
    <t>ikeda.tutomu@sepia.plala.or.jp</t>
  </si>
  <si>
    <t>JSPS KAKENSHI [14209001]; Grants-in-Aid for Scientific Research [14209001] Funding Source: KAKEN</t>
  </si>
  <si>
    <t>JSPS KAKENSHI(Ministry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</si>
  <si>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I am grateful to two anonymous referees for their comments which improved the text. I thank A. D. McKinnon for reviewing earlier drafts of this paper, and H. Kaeriyama for the identification of ostracods. Thanks are due to the Captain, officers and crew members of the T.S. Oshoro-Maru for their help in field sampling, and H. Matsumoto and A. Maeda of the Center for Instrumental Analysis of Hokkaido University for CHN elemental analysis. Part of this study was supported by grant JSPS KAKENSHI 14209001.</t>
  </si>
  <si>
    <t>0916-8370</t>
  </si>
  <si>
    <t>1573-868X</t>
  </si>
  <si>
    <t>J OCEANOGR</t>
  </si>
  <si>
    <t>J. Oceanogr.</t>
  </si>
  <si>
    <t>10.1007/s10872-012-0124-x</t>
  </si>
  <si>
    <t>012HH</t>
  </si>
  <si>
    <t>WOS:000309226400004</t>
  </si>
  <si>
    <t>Hirabara, M; Tsujino, H; Nakano, H; Yamanaka, G</t>
  </si>
  <si>
    <t>Hirabara, Mikitoshi; Tsujino, Hiroyuki; Nakano, Hideyuki; Yamanaka, Goro</t>
  </si>
  <si>
    <t>Formation mechanism of the Weddell Sea Polynya and the impact on the global abyssal ocean</t>
  </si>
  <si>
    <t>OGCM; COREs; Weddell Sea; Southern Ocean; Abyssal circulation</t>
  </si>
  <si>
    <t>BOTTOM WATER; SOUTHERN-OCEAN; CIRCULATION MODELS; WORLD OCEAN; DEEP-WATER; MAUD RISE; ICE; TEMPERATURE; CONVECTION; GYRE</t>
  </si>
  <si>
    <t>An experiment using a global ocean-ice model with an interannual forcing data set was conducted to understand the variability in the Southern Ocean. A winter-persisting polynya in the Weddell Sea (the Weddell Polynya, WP) was simulated. The process of WP breaking out after no-WP years was explored using the successive WPs found in the late 1950s. The results suggested that the anomalously warm deep water, saline surface layer, and a cyclonic wind stress over the Maud polynya region in early winter are essential for the surface layer to be dense enough to trigger deep convections which maintain a winter-persisting polynya; also, the reanalyzed surface air temperature (SAT) over the observed polynya region is too high for an ocean-ice model's bulk formula to yield sufficient upward heat fluxes to induce WP formation. Therefore the Weddell Polynya, a series of WPs observed from satellite in the mid-1970s, is reproduced by replacing the SAT with a climatological one. Subsequent to the successive WP events, density anomalies excited in the Weddell Sea propagate northward in the Atlantic deep basins. The Antarctic Circumpolar Current (ACC) is enhanced through the increased meridional density gradient. The enhanced ACC and its meandering over the abyssal ridges excite buoyancy anomalies near the bottom at the southwestern end of the South Pacific basin. The buoyancy signals propagate northward and eventually arrive in the northern North Pacific.</t>
  </si>
  <si>
    <t>[Hirabara, Mikitoshi; Tsujino, Hiroyuki; Nakano, Hideyuki; Yamanaka, Goro] Meteorol Res Inst, Tsukuba, Ibaraki 3050052, Japan</t>
  </si>
  <si>
    <t>Meteorological Research Institute - Japan</t>
  </si>
  <si>
    <t>Hirabara, M (corresponding author), Meteorol Res Inst, 1-1 Nagamine, Tsukuba, Ibaraki 3050052, Japan.</t>
  </si>
  <si>
    <t>mhirabar@mri-jma.go.jp</t>
  </si>
  <si>
    <t>Meteorological Research Institute; Grants-in-Aid for Scientific Research [22540455] Funding Source: KAKEN</t>
  </si>
  <si>
    <t>Meteorological Research Institute; Grants-in-Aid for Scientific Research(Ministry of Education, Culture, Sports, Science and Technology, Japan (MEXT)Japan Society for the Promotion of ScienceGrants-in-Aid for Scientific Research (KAKENHI))</t>
  </si>
  <si>
    <t>We thank the members of the Oceanographic Division of the Meteorological Research Institute for pleasant discussions and helpful comments. Two anonymous reviewers are acknowledged for their valuable comments which helped to improve the manuscript. Graphics were produced with the Grid Analysis and Display System (GrADS). This work was funded by the Meteorological Research Institute.</t>
  </si>
  <si>
    <t>10.1007/s10872-012-0139-3</t>
  </si>
  <si>
    <t>WOS:000309226400013</t>
  </si>
  <si>
    <t>de Oliveira, LR; De Castro, RL; Cárdenas-Alayza, S; Bonatto, SL</t>
  </si>
  <si>
    <t>Rosa de Oliveira, Larissa; Loizaga De Castro, Rocio; Cardenas-Alayza, Susana; Bonatto, Sandro Luis</t>
  </si>
  <si>
    <t>Conservation genetics of South American aquatic mammals: an overview of gene diversity, population structure, phylogeography, non-invasive methods and forensics</t>
  </si>
  <si>
    <t>MAMMAL REVIEW</t>
  </si>
  <si>
    <t>Cetaceans; molecular markers; pinnipeds; sirenians; South America</t>
  </si>
  <si>
    <t>MITOCHONDRIAL-DNA VARIATION; LION OTARIA-FLAVESCENS; CEPHALORHYNCHUS-COMMERSONII LACEPEDE; FRANCISCANA PONTOPORIA-BLAINVILLEI; EVOLUTIONARILY-SIGNIFICANT-UNITS; DOLPHINS SOTALIA-GUIANENSIS; ANTARCTIC FUR SEALS; MEGAPTERA-NOVAEANGLIAE; HUMPBACK WHALE; PHYLOGENETIC-RELATIONSHIPS</t>
  </si>
  <si>
    <t>1 Most aquatic mammals have high dispersal potential, and there are often severe conservation concerns related to their legal or illegal harvesting. Therefore, economic, social and forensic factors often arise in decisions relating to their population management. Molecular markers are essential tools in modern conservation genetics, revealing previously unknown aspects of aquatic mammal behaviour, natural history, population structure and demography. Molecular markers also have been used to define management units, to recognize taxonomic units, to conduct forensic analyses and to control illegal wildlife trade, providing valuable information for decision-making in wildlife conservation and management. 2 We review studies published in peer-reviewed journals between 1993 and 2010, in which genetic approaches have been applied to conservation-related issues involving natural populations of 25 species of aquatic mammals in South America. These studies cover just 34% of the 70 aquatic mammal species recorded in South America. 3 Most of the studies are related to population structure, phylogeography, gene flow and dispersal movements. In addition, recent findings relate to evolutionarily significant units, management units, forensics and conservation policy. 4 Finally, we look to the future and, based on numbers of studies and conservation concerns, suggest which species, geographic areas and genetic studies should be prioritized. Moreover, we discuss constraints on research and suggest collaborative works that would provide critical information towards the effective conservation and management of aquatic mammals in South America.</t>
  </si>
  <si>
    <t>[Rosa de Oliveira, Larissa] Univ Vale Rio dos Sinos UNISINOS, Lab Ecol Mamiferos, BR-93022000 Sao Leopoldo, RS, Brazil; [Rosa de Oliveira, Larissa] Grp Estudos Mamiferos Aquat Rio Grande Sul GEMARS, BR-95625000 Imbe, RS, Brazil; [Rosa de Oliveira, Larissa] UPCH, Ctr Sostenibilidad Ambiental, Lima 18, Peru; [Loizaga De Castro, Rocio] Ctr Nacl Patagon CONICET, Lab Mamiferos Marinos, Chubut, Argentina; [Loizaga De Castro, Rocio] Univ Nacl Patagonia San Juan Bosco, Chubut, Argentina; [Cardenas-Alayza, Susana] UPCH, Ctr Sostenibilidad Ambiental, Lima 18, Peru; [Bonatto, Sandro Luis] Univ Catolica Rio Grande do Sul PUCRS, Lab Biol Genom &amp; Mol Pontificia, Fac Biociencias, BR-90619900 Porto Alegre, RS, Brazil</t>
  </si>
  <si>
    <t>Universidad Peruana Cayetano Heredia; Centro Nacional Patagonico (CENPAT); Consejo Nacional de Investigaciones Cientificas y Tecnicas (CONICET); Universidad Nacional de la Patagonia San Juan Bosco; Universidad Peruana Cayetano Heredia; Pontificia Universidade Catolica Do Rio Grande Do Sul</t>
  </si>
  <si>
    <t>de Oliveira, LR (corresponding author), Univ Vale Rio dos Sinos UNISINOS, Lab Ecol Mamiferos, Ave Unisinos 950, BR-93022000 Sao Leopoldo, RS, Brazil.</t>
  </si>
  <si>
    <t>lari.minuano@gmail.com; rocio@cenpat.edu.ar; scardenas@csa-upch.org; slbonatto@pucrs.br</t>
  </si>
  <si>
    <t>Oliveira, Larissa Rosa de/I-5640-2012; Cárdenas-Alayza, Susana/IQW-7038-2023; Bonatto, Sandro L/A-1240-2010; Cárdenas-Alayza, Susana/AAP-1748-2021</t>
  </si>
  <si>
    <t>Oliveira, Larissa Rosa de/0000-0002-5735-3697; Cárdenas-Alayza, Susana/0000-0002-8828-9552; Loizaga, Rocio/0000-0001-5270-7401; Bonatto, Sandro/0000-0002-0064-467X</t>
  </si>
  <si>
    <t>Conselho Nacional de Desenvolvimento Cientifico e Tecnologico [MCT/CNPq 14/2010-479199/2010-8]; Fundacao de Amparo a Pesquisa do Estado de Sao Paulo (FAPESP) [FAPESP 07/58728-9]; National Research Council of Argentina (CENPAT-CONICET)</t>
  </si>
  <si>
    <t>Conselho Nacional de Desenvolvimento Cientifico e Tecnologico(Conselho Nacional de Desenvolvimento Cientifico e Tecnologico (CNPQ)); Fundacao de Amparo a Pesquisa do Estado de Sao Paulo (FAPESP)(Fundacao de Amparo a Pesquisa do Estado de Sao Paulo (FAPESP)); National Research Council of Argentina (CENPAT-CONICET)</t>
  </si>
  <si>
    <t>We thank all the researchers who shared information about their studies on conservation genetics of aquatic mammals in South America. We are also grateful to the participants of the MARMAM e-mail group, which is an important communication tool for marine mammal scientists. We also thank Susana Caballero, Alana Phillips and one anonymous referee for comments and suggestions on this manuscript. Support for this research was provided by Conselho Nacional de Desenvolvimento Cientifico e Tecnologico (MCT/CNPq 14/2010-479199/2010-8), Fundacao de Amparo a Pesquisa do Estado de Sao Paulo (FAPESP), which provided a post-doctoral fellowship to Larissa Rosa de Oliveira (FAPESP 07/58728-9) and by the National Research Council of Argentina (CENPAT-CONICET), which provided a PhD Scholarship to Rocio Loizaga de Castro. This paper is GEMARS contribution no. 34.</t>
  </si>
  <si>
    <t>0305-1838</t>
  </si>
  <si>
    <t>1365-2907</t>
  </si>
  <si>
    <t>MAMMAL REV</t>
  </si>
  <si>
    <t>Mammal Rev.</t>
  </si>
  <si>
    <t>10.1111/j.1365-2907.2011.00201.x</t>
  </si>
  <si>
    <t>Ecology; Zoology</t>
  </si>
  <si>
    <t>Environmental Sciences &amp; Ecology; Zoology</t>
  </si>
  <si>
    <t>007FW</t>
  </si>
  <si>
    <t>WOS:000308875200002</t>
  </si>
  <si>
    <t>Dudeney, JR; Walton, DWH</t>
  </si>
  <si>
    <t>Dudeney, John R.; Walton, David W. H.</t>
  </si>
  <si>
    <t>From Scotia to 'Operation Tabarin': developing British policy for Antarctica</t>
  </si>
  <si>
    <t>POLAR RECORD</t>
  </si>
  <si>
    <t>The roots of a British Antarctic policy can be traced, paradoxically, back to the establishment of a meteorological station by the Scottish Antarctic Expedition in the South Orkneys, in 1903, and the indifference of the British Government to its almost immediate transfer to the Argentine Government. It was from that modest physical presence upon Laurie Island that Argentina came increasingly to challenge British claims to the sovereignty of the Falkland Islands Dependencies (FID), first in the late 1920s and then more extensively in the second world war. This challenge shaped British policy for the next forty years, with further complications caused by overlapping territorial claims made by Chile and the possible territorial ambitions of the USA. Britain's eventual response, at the height of World War II, was to establish permanent occupation of Antarctica from the southern summer of 1943-1944. This occupation was given the military codename Operation Tabarin. However, it was never a military operation as such, although monitoring the activities of enemy surface raiders and submarines provided a convenient cover story, as did scientific research once the operation became public. Whilst successive parties, rich in professional scientists, considerably expanded the pre-war survey and research of the Discovery Investigations Committee, their physical occupancy of the Antarctic islands and Peninsula was essentially a political statement, whereby the Admiralty and Colonial Office (CO) strove to protect British territorial rights, whilst the Foreign Office (FO) endeavoured to minimise disruption to Britain's long-standing economic and cultural ties with Argentina, and most critically, the shipment of war-time meat supplies. In meeting that immediate need, Tabarin also provided the basis from which Britain's subsequent post-war leadership in Antarctic affairs developed.</t>
  </si>
  <si>
    <t>[Walton, David W. H.] British Antarctic Survey, NERC, Cambridge CB3 0ET, Cambs, England</t>
  </si>
  <si>
    <t>Dudeney, JR (corresponding author), 10 Church Lane, Wilburton CB6 3RQ, Cambs, England.</t>
  </si>
  <si>
    <t>dwhw@bas.ac.uk</t>
  </si>
  <si>
    <t>Walton, David/0000-0002-7103-4043</t>
  </si>
  <si>
    <t>award of Leverhulme Emeritus Fellowships; Trans-Antarctic Association and British Antarctic Territory funds; guidance and assistance of The National Archives; Scott Polar Research Institute Archives; British Antarctic Survey Archives; Churchill College Cambridge archive</t>
  </si>
  <si>
    <t>award of Leverhulme Emeritus Fellowships(Leverhulme Trust); Trans-Antarctic Association and British Antarctic Territory funds; guidance and assistance of The National Archives; Scott Polar Research Institute Archives; British Antarctic Survey Archives; Churchill College Cambridge archive</t>
  </si>
  <si>
    <t>The authors gratefully acknowledge the support provided by the award of Leverhulme Emeritus Fellowships, awards made by the Trans-Antarctic Association and British Antarctic Territory funds, and the guidance and assistance of The National Archives, Scott Polar Research Institute Archives, British Antarctic Survey Archives and Churchill College Cambridge archive. Our thanks go to Peter Fretwell of the Mapping and Geographic Information Centre at BAS for the map. The quality of our arguments was materially improved in responding to questions raised by two reviewers, for whose comments we are most grateful.</t>
  </si>
  <si>
    <t>0032-2474</t>
  </si>
  <si>
    <t>POLAR REC</t>
  </si>
  <si>
    <t>POLAR REC.</t>
  </si>
  <si>
    <t>10.1017/S0032247411000520</t>
  </si>
  <si>
    <t>Ecology; Environmental Sciences</t>
  </si>
  <si>
    <t>004YD</t>
  </si>
  <si>
    <t>WOS:000308716500008</t>
  </si>
  <si>
    <t>Russell, DGD; Sladen, WJL; Ainley, DG</t>
  </si>
  <si>
    <t>Russell, Douglas G. D.; Sladen, William J. L.; Ainley, David G.</t>
  </si>
  <si>
    <t>Dr. George Murray Levick (1876-1956): unpublished notes on the sexual habits of the Adelie penguin</t>
  </si>
  <si>
    <t>BEHAVIOR</t>
  </si>
  <si>
    <t>A previously unpublished four-page pamphlet by Dr. George Murray Levick R.N. (1876-1956) on the 'Sexual habits of the Adelie penguin' was recently rediscovered at the Natural History Museum (NHM) at Tring. It was printed in 1915 but declined for publication with the official expedition reports. The account, based upon Levick's detailed field observations at Cape Adare (71 degrees 18'S, 170 degrees 09'E) during the course of the British Antarctic (Terra Nova) Expedition 1910, commented on frequency of sexual activity, autoerotic behaviour, and seemingly aberrant behaviour of young unpaired males and females including necrophilia, sexual coercion, sexual and physical abuse of chicks, non-procreative sex and homosexual behaviour. His observations were however accurate, valid and, with the benefit of hindsight, deserving of publication. Here we publish the pamphlet in its entirety, reinterpret selected observations and comment on its significance as a forgotten work by the pioneer of research on Adelie penguin Pygoscelis adeliae (Hombron and Jacquinot 1841) biology.</t>
  </si>
  <si>
    <t>[Russell, Douglas G. D.] Nat Hist Museum, Dept Zool, Bird Grp, Tring HP23 6AP, England; [Sladen, William J. L.] Johns Hopkins Med Inst, Warrenton, VA 20188 USA; [Ainley, David G.] HT Harvey &amp; Associates, Los Gatos, CA 95032 USA</t>
  </si>
  <si>
    <t>Natural History Museum London; Johns Hopkins University; Johns Hopkins Medicine</t>
  </si>
  <si>
    <t>Russell, DGD (corresponding author), Nat Hist Museum, Dept Zool, Bird Grp, Akeman St, Tring HP23 6AP, England.</t>
  </si>
  <si>
    <t>d.russell@nhm.ac.uk</t>
  </si>
  <si>
    <t>Russell, Douglas G. D./KBA-1459-2024</t>
  </si>
  <si>
    <t>Russell, Douglas G. D./0000-0002-1799-7842</t>
  </si>
  <si>
    <t>National Science Foundation [ANT-0944411]; Directorate For Geosciences; Office of Polar Programs (OPP) [0944411] Funding Source: National Science Foundation</t>
  </si>
  <si>
    <t>At the NHM we thank Dr. Robert Prys-Jones for comments on earlier drafts of this manuscript and Dr. Eva Valsami-Jones for her help on deciphering the Greek text. We also are grateful to Matt Lowe and Peter Carey for providing helpful comments on an earlier draft. We are also indebted to Richard Kossow for granting access to G. M. Levick's 'Zoological notes from Cape Adare' (Vol. I-II) and permission to reproduce sections of these important original manuscripts. DA was funded in reviewing this material by National Science Foundation grant ANT-0944411.</t>
  </si>
  <si>
    <t>10.1017/S0032247412000216</t>
  </si>
  <si>
    <t>WOS:000308716500011</t>
  </si>
  <si>
    <t>Skotnicki, ML; Selkirk, PM; Boger, SD</t>
  </si>
  <si>
    <t>Skotnicki, M. L.; Selkirk, P. M.; Boger, S. D.</t>
  </si>
  <si>
    <t>New records of three moss species (Ptychostomum pseudotriquetrum, Schistidium antarctici, and Coscinodon lawianus) from the southern Prince Charles Mountains, Mac.Robertson Land, Antarctica</t>
  </si>
  <si>
    <t>VICTORIA LAND; GENETIC DIVERSITY; PAGODROMA GROUP; AMERY OASIS; RADOK LAKE; SENSITIVITY</t>
  </si>
  <si>
    <t>We have used a combination of traditional morphological examination and molecular DNA analysis to characterise 16 moss specimens collected from the Mawson Escarpment and Clemence Massif, exposures of bedrock and glacial debris in the southern Prince Charles Mountains of East Antarctica. The nuclear ribosomal ITS region and the chloroplast rps4 gene were sequenced and compared with those of other mosses known from coastal East Antarctica. The moss specimens from the southern Prince Charles Mountains were identified as Ptychostomum pseudotriquetrum (Hedw.) D. T. Holyoak and N. Pedersen, Schistidium antarctici (Cardot) 'L.I. Savicz &amp; Smirnova' and Coscinodon lawianus (J.H. Willis) Ochyra. These constitute a new record for S. antarctici in the Prince Charles Mountains, and confirm and extend southwards previous records for P. pseudotriquetrum and C. lawianus in the region.</t>
  </si>
  <si>
    <t>[Skotnicki, M. L.] Australian Natl Univ, Res Sch Biol, Div Plant Sci, Canberra, ACT 2601, Australia; [Selkirk, P. M.] Macquarie Univ, Dept Biol Sci, Sydney, NSW 2109, Australia; [Boger, S. D.] Univ Melbourne, Sch Earth Sci, Melbourne, Vic 3010, Australia</t>
  </si>
  <si>
    <t>Australian National University; Macquarie University; University of Melbourne; Melbourne Bioinformatics</t>
  </si>
  <si>
    <t>Skotnicki, ML (corresponding author), Australian Natl Univ, Res Sch Biol, Div Plant Sci, GPO Box 4, Canberra, ACT 2601, Australia.</t>
  </si>
  <si>
    <t>mary.skotnicki@grapevine.com.au</t>
  </si>
  <si>
    <t>Boger, Steven/B-8799-2013</t>
  </si>
  <si>
    <t>Boger, Steven/0000-0003-0739-6266</t>
  </si>
  <si>
    <t>Antarctic Science Research Grant; Hermon Slade Foundation</t>
  </si>
  <si>
    <t>We thank Duanne White and other members of the PC-MEGA expedition for assistance with sample collection, Helen Peat of the British Antarctic Survey Herbarium and Perpetua Turner of the Australian Antarctic Division Herbarium for providing herbarium specimens, Anne Mackenzie for assistance with DNA sequencing, two referees for helpful comments, and the Australian Antarctic Programme for major logistical support for fieldwork in the Prince Charles Mountains, Antarctica. This work was supported by an Antarctic Science Research Grant and the Hermon Slade Foundation.</t>
  </si>
  <si>
    <t>1475-3057</t>
  </si>
  <si>
    <t>10.1017/S0032247412000186</t>
  </si>
  <si>
    <t>WOS:000308716500012</t>
  </si>
  <si>
    <t>O'Reilly, J; Oreskes, N; Oppenheimer, M</t>
  </si>
  <si>
    <t>O'Reilly, Jessica; Oreskes, Naomi; Oppenheimer, Michael</t>
  </si>
  <si>
    <t>The rapid disintegration of projections: The West Antarctic Ice Sheet and the Intergovernmental Panel on Climate Change</t>
  </si>
  <si>
    <t>SOCIAL STUDIES OF SCIENCE</t>
  </si>
  <si>
    <t>climate science; institutions; IPCC; modeling</t>
  </si>
  <si>
    <t>BOUNDARY ORGANIZATIONS; SCIENCE; POLICY; UNCERTAINTY; MODEL</t>
  </si>
  <si>
    <t>How and why did the scientific consensus about sea level rise due to the disintegration of the West Antarctic Ice Sheet (WAIS), expressed in the third Intergovernmental Panel on Climate Change (IPCC) assessment, disintegrate on the road to the fourth? Using ethnographic interviews and analysis of IPCC documents, we trace the abrupt disintegration of the WAIS consensus. First, we provide a brief historical overview of scientific assessments of the WAIS. Second, we provide a detailed case study of the decision not to provide a WAIS prediction in the Fourth Assessment Report. Third, we discuss the implications of this outcome for the general issue of scientists and policymakers working in assessment organizations to make projections. IPCC authors were less certain about potential WAIS futures than in previous assessment reports in part because of new information, but also because of the outcome of cultural processes within the IPCC, including how people were selected for and worked together within their writing groups. It became too difficult for IPCC assessors to project the range of possible futures for WAIS due to shifts in scientific knowledge as well as in the institutions that facilitated the interpretations of this knowledge.</t>
  </si>
  <si>
    <t>[O'Reilly, Jessica] St Johns Univ, Coll St Benedict, Dept Sociol, Collegeville, MN 56321 USA; [Oreskes, Naomi] Univ Calif San Diego, Dept Hist, La Jolla, CA 92093 USA; [Oreskes, Naomi] Univ Calif San Diego, Program Sci Studies, La Jolla, CA 92093 USA; [Oppenheimer, Michael] Princeton Univ, Dept Geosci, Princeton, NJ 08544 USA; [Oppenheimer, Michael] Princeton Univ, Woodrow Wilson Sch, Princeton, NJ 08544 USA</t>
  </si>
  <si>
    <t>Saint Johns University Collegeville; College of Saint Benedict &amp; Saint Johns University; University of California System; University of California San Diego; University of California System; University of California San Diego; Princeton University; Princeton University</t>
  </si>
  <si>
    <t>O'Reilly, J (corresponding author), St Johns Univ, Coll St Benedict, Dept Sociol, 205 Simons Hall, Collegeville, MN 56321 USA.</t>
  </si>
  <si>
    <t>jloreilly@csbsju.edu</t>
  </si>
  <si>
    <t>Oppenheimer, Michael/0000-0002-9708-5914</t>
  </si>
  <si>
    <t>National Science Foundation [SES-0958378]; High Meadows Foundation; Direct For Social, Behav &amp; Economic Scie; Divn Of Social and Economic Sciences [0958378] Funding Source: National Science Foundation</t>
  </si>
  <si>
    <t>National Science Foundation(National Science Foundation (NSF)); High Meadows Foundation; Direct For Social, Behav &amp; Economic Scie; Divn Of Social and Economic Sciences(National Science Foundation (NSF)NSF - Directorate for Social, Behavioral &amp; Economic Sciences (SBE))</t>
  </si>
  <si>
    <t>This research was conducted with the support of National Science Foundation Grant Number SES-0958378 and the High Meadows Foundation. The authors also thank the following scientists for participating in our interviews: Richard Alley, Hermann Engelhardt, Jonathan Gregory, Philippe Huybrechts, Johannes Oerlemans, Tony Payne, Stefan Rahmstorf, Susan Solomon, and David Vaughan. Finally, we gratefully acknowledge the reviewers whose insightful comments helped improve this article.</t>
  </si>
  <si>
    <t>SAGE PUBLICATIONS LTD</t>
  </si>
  <si>
    <t>1 OLIVERS YARD, 55 CITY ROAD, LONDON EC1Y 1SP, ENGLAND</t>
  </si>
  <si>
    <t>0306-3127</t>
  </si>
  <si>
    <t>1460-3659</t>
  </si>
  <si>
    <t>SOC STUD SCI</t>
  </si>
  <si>
    <t>Soc. Stud. Sci.</t>
  </si>
  <si>
    <t>10.1177/0306312712448130</t>
  </si>
  <si>
    <t>Science Citation Index Expanded (SCI-EXPANDED); Social Science Citation Index (SSCI); Arts &amp; Humanities Citation Index (A&amp;HCI)</t>
  </si>
  <si>
    <t>011CN</t>
  </si>
  <si>
    <t>WOS:000309141100005</t>
  </si>
  <si>
    <t>Mou, SL; Xu, D; Ye, NH; Zhang, XW; Liang, CW; Liang, Q; Zheng, Z; Zhuang, ZM; Miao, JL</t>
  </si>
  <si>
    <t>Mou, Shanli; Xu, Dong; Ye, Naihao; Zhang, Xiaowen; Liang, Chengwei; Liang, Qiang; Zheng, Zhou; Zhuang, Zhimeng; Miao, Jinlai</t>
  </si>
  <si>
    <t>Rapid estimation of lipid content in an Antarctic ice alga (Chlamydomonas sp.) using the lipophilic fluorescent dye BODIPY505/515</t>
  </si>
  <si>
    <t>JOURNAL OF APPLIED PHYCOLOGY</t>
  </si>
  <si>
    <t>Chlamydomonas sp ICE-L; Lipid content; BODIPY505/515; Rapid estimation</t>
  </si>
  <si>
    <t>BIODIESEL PRODUCTION; BIOFUEL PRODUCTION; BIOMASS PRODUCTION; FATTY-ACIDS; NILE-RED; MICROALGAE; ACCUMULATION; DROPLETS; STRAINS; CULTURE</t>
  </si>
  <si>
    <t>Chlamydomonas sp. ICE-L, isolated from Antarctic coastal marine environments, was selected as a high lipid producer, which may be useful for biodiesel production. The lipophilic fluorescent dye BODIPY505/515 was used to determine the algal lipid content. Lipid bodies stained with BODIPY505/515 have a characteristic green fluorescence, and their volumes were determined using the sphere volume formula. In this study, lipid accumulation by Chlamydomonas ICE-L was analyzed under different cultivation conditions (nitrogen deficiency and UV-B radiation). The results demonstrated that nitrogen deficiency and UV-B radiation could significantly promote the accumulation of lipid content per cell. The highest yields of total lipid content (reaching 84 mu L L-1) were obtained in full Provasoli medium after 12 days of cultivation, but not in the nitrogen-deficient medium. The inoculum used in this experiment was obtained from the late-exponential growth phase. The main reason was that the cell numbers in nitrogen-deficient medium had not increased and total lipid contents were offset by the lower growth rate. Considering the high lipid content in Chlamydomonas sp. ICE-L, this alga might be a promising alternative species for production of microalgal oil for the production of renewable biodiesel in the future.</t>
  </si>
  <si>
    <t>[Mou, Shanli; Liang, Qiang; Zheng, Zhou; Miao, Jinlai] State Ocean Adm, Inst Oceanog 1, Key Lab Marine Bioact Subst, Qingdao 266061, Peoples R China; [Xu, Dong; Ye, Naihao; Zhang, Xiaowen; Zhuang, Zhimeng] Chinese Acad Fishery Sci, Yellow Sea Fisheries Res Inst, Qingdao 266071, Peoples R China; [Liang, Chengwei] Qingdao Univ Sci &amp; Technol, Qingdao 266042, Peoples R China</t>
  </si>
  <si>
    <t>First Institute of Oceanography, Ministry of Natural Resources; Chinese Academy of Fishery Sciences; Yellow Sea Fisheries Research Institute, CAFS; Qingdao University of Science &amp; Technology</t>
  </si>
  <si>
    <t>Miao, JL (corresponding author), State Ocean Adm, Inst Oceanog 1, Key Lab Marine Bioact Subst, Qingdao 266061, Peoples R China.</t>
  </si>
  <si>
    <t>yenh@ysfri.ac.cn; miaojinlai@163.com</t>
  </si>
  <si>
    <t>Zheng, Zhou/JJD-0602-2023</t>
  </si>
  <si>
    <t>National Natural Science Foundation of China [40876102, 40876107, 41176153]; Shandong Science and Technology plan project [2011GHY11528]; National special fund for transgenic project [2009ZX08009-019B]; Hi-Tech Research and Development Program (863) of China [2009AA10Z106]; Natural Science Foundation of Shandong Province [2009ZRA02075]; Qingdao Municipal Science and Technology plan project [09-2-5-8-hy, 10-4-1-13-hy]; National Marine Public Welfare Research Project [200805069]; National Science &amp; Technology Pillar Program [2008BAD95B11]</t>
  </si>
  <si>
    <t>National Natural Science Foundation of China(National Natural Science Foundation of China (NSFC)); Shandong Science and Technology plan project; National special fund for transgenic project; Hi-Tech Research and Development Program (863) of China(National High Technology Research and Development Program of China); Natural Science Foundation of Shandong Province(Natural Science Foundation of Shandong Province); Qingdao Municipal Science and Technology plan project; National Marine Public Welfare Research Project; National Science &amp; Technology Pillar Program</t>
  </si>
  <si>
    <t>This work was supported by the National Natural Science Foundation of China (40876102 and 40876107), Shandong Science and Technology plan project (2011GHY11528), National Natural Science Foundation of China (41176153), National special fund for transgenic project (2009ZX08009-019B), the Hi-Tech Research and Development Program (863) of China (2009AA10Z106), Natural Science Foundation of Shandong Province (2009ZRA02075), Qingdao Municipal Science and Technology plan project (09-2-5-8-hy, 10-4-1-13-hy), National Marine Public Welfare Research Project (200805069) and the National Science &amp; Technology Pillar Program, (2008BAD95B11).</t>
  </si>
  <si>
    <t>0921-8971</t>
  </si>
  <si>
    <t>1573-5176</t>
  </si>
  <si>
    <t>J APPL PHYCOL</t>
  </si>
  <si>
    <t>J. Appl. Phycol.</t>
  </si>
  <si>
    <t>10.1007/s10811-011-9746-4</t>
  </si>
  <si>
    <t>Biotechnology &amp; Applied Microbiology; Marine &amp; Freshwater Biology</t>
  </si>
  <si>
    <t>000XD</t>
  </si>
  <si>
    <t>WOS:000308423100018</t>
  </si>
  <si>
    <t>Iuliano-Burns, S; Ayton, J; Hillam, S; Jones, G; King, K; Macleod, S; Seeman, E</t>
  </si>
  <si>
    <t>Iuliano-Burns, S.; Ayton, J.; Hillam, S.; Jones, G.; King, K.; Macleod, S.; Seeman, E.</t>
  </si>
  <si>
    <t>Skeletal and hormonal responses to vitamin D supplementation during sunlight deprivation in Antarctic expeditioners</t>
  </si>
  <si>
    <t>OSTEOPOROSIS INTERNATIONAL</t>
  </si>
  <si>
    <t>Antarctica; Sunlight deprivation; Vitamin D supplementation</t>
  </si>
  <si>
    <t>BONE TURNOVER; PARATHYROID-HORMONE; CONTROLLED-TRIAL; D INSUFFICIENCY; MARKERS; WOMEN; MEN; DENSITY; WINTER; CHOLECALCIFEROL</t>
  </si>
  <si>
    <t>Sunlight deprivation results in vitamin D deficiency but serum vitamin D levels can be maintained above 50nmol/L when supplemented with 50,000IU at least every alternate month. Antarctic expeditioners are exposed to prolonged sunlight deprivation resulting in vitamin D deficiency. We hypothesised that monthly dosing of 50,000 IU vitamin D (similar to 1,600 IU daily) will increase serum 25-hydroxyvitamin D (25(OH)D), suppress parathyroid hormone (PTH) and improve bone mineral density (BMD), 50,000 IU alternate months (similar to 800 IU daily) will maintain these measures, while a single 50,000 IU dose pre-departure (similar to 1,00 IU daily) will not be protective. This was a randomised double-blind study involving 110 healthy adults: 91 males, mean age 41 years (range 24-65 years) working in Antarctica for up to 12 months, who we administered 50,000 IU vitamin D3 monthly, alternate months or a single dose pre-departure. Serum 25(OH)D, PTH, osteocalcin, CTx and calcium were assessed at baseline, mid- and end of expedition. Proximal femur and lumbar spine BMD were assessed pre- and post-expedition. Baseline 25(OH)D was 59 +/- 14 nmol/L. By mid-expedition, 25(OH)D increased by 7 nmol/L in those supplemented monthly (p &lt; 0.05) and remained unchanged in those supplemented in alternate months. In those given a single dose pre-departure, 25(OH)D decreased by 8 nmol/L (p &lt; 0.05) and PTH increased by 27% (p &lt; 0.09). Serum osteocalcin increased by similar to 22% in all groups but BMD remained unchanged. If serum 25(OH)D was &gt; 50 nmol/L at baseline, 25(OH)D was maintained above this level with all regimens. If 25(OH)D was &lt; 50 nmol/L at baseline, monthly or alternate month regimens were needed to achieve levels &gt; 50 nmol/L, the single pre-departure dose was ineffective. During sunlight deprivation of up to 12 months, serum 25(OH)D levels can be maintained above 50 nmol/L when expeditioners are provided with 50,000 I U at least every alternate month.</t>
  </si>
  <si>
    <t>[Iuliano-Burns, S.; King, K.; Macleod, S.; Seeman, E.] Univ Melbourne, Parkville, Vic 3052, Australia; [Ayton, J.; Hillam, S.] Australian Antarctic Div, Kingston, Tas, Australia; [Jones, G.] Univ Tasmania, Menzies Res Inst, Hobart, Tas, Australia</t>
  </si>
  <si>
    <t>University of Melbourne; Australian Antarctic Division; University of Tasmania; Menzies Institute for Medical Research</t>
  </si>
  <si>
    <t>Iuliano-Burns, S (corresponding author), Univ Melbourne, Parkville, Vic 3052, Australia.</t>
  </si>
  <si>
    <t>sandraib@unimelb.edu.au</t>
  </si>
  <si>
    <t>Seeman, Ego/AAC-3656-2019</t>
  </si>
  <si>
    <t>Seeman, Ego/0000-0002-9692-048X; jones, graeme/0000-0002-9814-0006; Ayton, Jeffrey/0000-0003-4012-6719</t>
  </si>
  <si>
    <t>Trans-Antarctic Association; Austin Hospital Medical Research Foundation</t>
  </si>
  <si>
    <t>We thank the expeditioners for their involvement in the study, the station medical officers for their invaluable contribution to the day-to-day running of the trial, to the staff at the Australian Antarctic Division for their behind-the-scene and in-kind support and staff at the Menzies research Institute for conducting BMD measurements. This study was supported by grants from the Trans-Antarctic Association and the Austin Hospital Medical Research Foundation.</t>
  </si>
  <si>
    <t>SPRINGER LONDON LTD</t>
  </si>
  <si>
    <t>236 GRAYS INN RD, 6TH FLOOR, LONDON WC1X 8HL, ENGLAND</t>
  </si>
  <si>
    <t>0937-941X</t>
  </si>
  <si>
    <t>OSTEOPOROSIS INT</t>
  </si>
  <si>
    <t>Osteoporosis Int.</t>
  </si>
  <si>
    <t>10.1007/s00198-011-1858-9</t>
  </si>
  <si>
    <t>006KO</t>
  </si>
  <si>
    <t>WOS:000308818300006</t>
  </si>
  <si>
    <t>Palma-Cerda, F; Di Fiore, MM; Sepúlveda, M; Duran, LR; Raucci, F</t>
  </si>
  <si>
    <t>Palma-Cerda, Francisco; Di Fiore, Maria Maddalena; Sepulveda, Maritza; Rene Duran, Luis; Raucci, Franca</t>
  </si>
  <si>
    <t>Ovarian folliculogenesis in the southern sea lion Otaria flavescens</t>
  </si>
  <si>
    <t>ACTA ZOOLOGICA</t>
  </si>
  <si>
    <t>folliculogenesis; ovary; morphology; reproduction; Otaria flavescens</t>
  </si>
  <si>
    <t>ANTARCTIC FUR-SEAL; HALICHOERUS-GRYPUS; CALLORHINUS-URSINUS; FOLLICLE GROWTH; PHOCA-VITULINA; CORPUS-LUTEUM; CYCLE; REPRODUCTION; PROGESTERONE; LOCALIZATION</t>
  </si>
  <si>
    <t>Palma-Cerda, F., Di Fiore, M.M., Sepulveda, M., Duran L.R. and Raucci, F. 2011. Ovarian folliculogenesis in the southern sea lion Otaria flavescens. Acta Zoologica (Stockholm) 93: 444452. In Otaria flavescens, folliculogenesis occurs within ovary cortex. This process attains successively higher level of organization through cell proliferation and differentiation. Here, we identified eight major follicular stages from I to VIII, plus corpus luteum and corpus albicans. Otaria folliculogenesis is divided into (1) primordial follicle recruitment; (2) pre-antral follicle development; (3) growth of antral follicle; and (4) follicle atresia. The primordial follicle is surrounded by thin and flat granulosa cells. As recruitment occurs, granulosa cells organize into cuboidal monolayer marking the transition into pre-antral phase. Pre-antral phase (from stage I to stage V) is characterized by follicular growth and theca layer formation. The typical feature of the antral phase (from stage V to pre-ovulatory Graafian follicle or stage VIII) is the formation of a fluid-filled cavity (antrum) within the follicle. In the Graafian preovulatory follicle, theca cells organize two distinguishable layers surrounding the follicle. In gravid females, the corpus luteum persists. In nongravid females, the corpus luteum transforms into corpus albicans. The corpus albicans is formed by granulosa, thecal cells, and invading blood tissue. Our results provide a detailed histological description of follicular development in O. flavescens and add new knowledge to the reproductive biology of this species.</t>
  </si>
  <si>
    <t>[Palma-Cerda, Francisco; Sepulveda, Maritza; Rene Duran, Luis] Univ Valparaiso, Fac Ciencias, Ctr Invest &amp; Gest Recursos Nat CIGREN, Valparaiso, Chile; [Di Fiore, Maria Maddalena; Raucci, Franca] Univ Naples 2, Dipartimento Sci Vita, I-81100 Caserta, Italy</t>
  </si>
  <si>
    <t>Universidad de Valparaiso; Universita della Campania Vanvitelli</t>
  </si>
  <si>
    <t>Palma-Cerda, F (corresponding author), Univ ParisDescartes, Lab Physiol Cerebrale, UMR8118, 45 Rue St Peres, F-75006 Paris, France.</t>
  </si>
  <si>
    <t>francisco.palma-cerda@parisdescartes.fr; franca.raucci@inserm.fr</t>
  </si>
  <si>
    <t>Di Fiore, Maria Maddalena/ABE-4398-2020</t>
  </si>
  <si>
    <t>Di Fiore, Maria Maddalena/0000-0003-4673-6729</t>
  </si>
  <si>
    <t>0001-7272</t>
  </si>
  <si>
    <t>ACTA ZOOL-STOCKHOLM</t>
  </si>
  <si>
    <t>Acta Zool.</t>
  </si>
  <si>
    <t>10.1111/j.1463-6395.2011.00519.x</t>
  </si>
  <si>
    <t>Anatomy &amp; Morphology; Zoology</t>
  </si>
  <si>
    <t>004VV</t>
  </si>
  <si>
    <t>WOS:000308710300008</t>
  </si>
  <si>
    <t>Tsujimoto, M; Imura, S</t>
  </si>
  <si>
    <t>Tsujimoto, Megumu; Imura, Satoshi</t>
  </si>
  <si>
    <t>Does a new transportation system increase the risk of importing non-native species to Antarctica?</t>
  </si>
  <si>
    <t>ANTARCTIC SCIENCE</t>
  </si>
  <si>
    <t>alien; biological invasions; dispersal pathway; logistics; propagule pressure</t>
  </si>
  <si>
    <t>IMPACTS; COMMUNITIES; INVASIONS</t>
  </si>
  <si>
    <t>Antarctic terrestrial ecosystems are not immune to the threat of biological invasions, and the urgent need for implementation of effective mitigation measures to minimize the risk has been highlighted. Recently, the transportation and logistic support system of the Japanese Antarctic Research Expedition has undergone substantial changes after the relocation of the cargo handling facility and the commissioning of a new icebreaker in 2009. The potential risk of introducing non-native species into Antarctica through the newly adopted cargo transportation system in comparison with the previously existing system was determined by quantifying both changes in the form of cargo transported and the frequency of propagule attachment on different types of cargo item. We obtained 1022 propagules of at least 26 species, including species known to have resistance to the stresses of cold environments. Larger numbers of propagules, and a greater proportion of affected cargo items, were encountered in the newly adopted transportation system than in its predecessor. The increased risks in the new system were identified as being associated with the major cargo packing type and the cargo storage location. Based upon those findings, we propose appropriate preventative measures in order to minimize the risk of transfer of non-native species into Antarctica.</t>
  </si>
  <si>
    <t>[Tsujimoto, Megumu; Imura, Satoshi] Grad Univ Adv Studies SOKENDAI, Tachikawa, Tokyo 1908518, Japan; [Tsujimoto, Megumu] Japan Soc Promot Sci, Chiyoda Ku, Tokyo 1028472, Japan; [Imura, Satoshi] Natl Inst Polar Res, Tachikawa, Tokyo 1908518, Japan</t>
  </si>
  <si>
    <t>Graduate University for Advanced Studies - Japan; Japan Society for the Promotion of Science; Research Organization of Information &amp; Systems (ROIS); National Institute of Polar Research (NIPR) - Japan</t>
  </si>
  <si>
    <t>Tsujimoto, M (corresponding author), Grad Univ Adv Studies SOKENDAI, 10-3 Midori Cho, Tachikawa, Tokyo 1908518, Japan.</t>
  </si>
  <si>
    <t>tsujimoto@nipr.ac.jp</t>
  </si>
  <si>
    <t>Tsujimoto, Megumu/JCE-5500-2023</t>
  </si>
  <si>
    <t>Tsujimoto, Megumu/0000-0001-5160-6086</t>
  </si>
  <si>
    <t>Grants-in-Aid for Scientific Research [23247012] Funding Source: KAKEN</t>
  </si>
  <si>
    <t>0954-1020</t>
  </si>
  <si>
    <t>1365-2079</t>
  </si>
  <si>
    <t>ANTARCT SCI</t>
  </si>
  <si>
    <t>Antarct. Sci.</t>
  </si>
  <si>
    <t>10.1017/S0954102012000272</t>
  </si>
  <si>
    <t>Environmental Sciences; Geography, Physical; Geosciences, Multidisciplinary</t>
  </si>
  <si>
    <t>Environmental Sciences &amp; Ecology; Physical Geography; Geology</t>
  </si>
  <si>
    <t>004ZZ</t>
  </si>
  <si>
    <t>WOS:000308721400003</t>
  </si>
  <si>
    <t>Claeson, KM; Eastman, JT; Macphee, RDE</t>
  </si>
  <si>
    <t>Claeson, Kerin M.; Eastman, Joseph T.; Macphee, Ross D. E.</t>
  </si>
  <si>
    <t>Definitive specimens of Merlucciidae (Gadiformes) from the Eocene James Ross Basin of Isla Marambio (Seymour Island), Antarctic Peninsula</t>
  </si>
  <si>
    <t>cod; dentary; hake; Notothenioidei</t>
  </si>
  <si>
    <t>FISH; PALEOGENE; RECORD; SKULL</t>
  </si>
  <si>
    <t>An isolated partial right dentary (BAS D.515.2) collected by the British Antarctic Survey prompted a re-evaluation of gadiform remains from the La Meseta Formation (conventionally middle Eocene) of Isla Marambio (Seymour Island), Antarctic Peninsula. Modern gadiforms (hakes and cods) range from the Arctic to Antarctic, inhabiting deep sea benthic, shore, estuarine, and freshwater environments. Based on a fossil record primarily composed of otoliths, they are known to extend back to the Eocene and Oligocene. The new specimen was recovered from the fossil penguin locality D.515. It is characterized by a single row of sharp, ankylosed teeth set upon robust bony pedestals. The surface anterior to the mental foramen exhibits ascending and descending ridges with slightly rugose texture. The ascending ridge is fractured, but partially covers the lateral aspect of the tooth row. BAS D.515.2 is unlike the dentary of macrourid gadiforms, also recovered from the Eocene of Antarctica. BAS D.515.2 preserves several features similar to previously published accounts of the gadiform dagger Mesetaichthys from Isla Marambio. These specimens are probably the same taxon and their combined character suite indicates it is a member of Merluccidae. Thus, these are the only non-otolithic skeletal specimens of an Eocene hake known outside of the London Clay's dagger Rhinocephalus.</t>
  </si>
  <si>
    <t>[Claeson, Kerin M.; Eastman, Joseph T.] Ohio Univ, Heritage Coll Osteopath Med, Dept Biomed Sci, Athens, OH 45701 USA; [Macphee, Ross D. E.] Amer Museum Nat Hist, Div Vertebrate Zool, New York, NY 10024 USA</t>
  </si>
  <si>
    <t>University System of Ohio; Ohio University; American Museum of Natural History (AMNH)</t>
  </si>
  <si>
    <t>Claeson, KM (corresponding author), Ohio Univ, Heritage Coll Osteopath Med, Dept Biomed Sci, Athens, OH 45701 USA.</t>
  </si>
  <si>
    <t>claeson@ohio.edu</t>
  </si>
  <si>
    <t>Eastman, Joseph T./O-6150-2019; Eastman, Joseph T/A-9786-2008</t>
  </si>
  <si>
    <t>Eastman, Joseph T./0000-0003-3868-261X;</t>
  </si>
  <si>
    <t>10.1017/S0954102012000247</t>
  </si>
  <si>
    <t>WOS:000308721400005</t>
  </si>
  <si>
    <t>Kipf, A; Mortimer, N; Werner, R; Gohl, K; Van Den Bogaard, P; Hauff, F; Hoernle, K</t>
  </si>
  <si>
    <t>Kipf, Andrea; Mortimer, Nicholas; Werner, Reinhard; Gohl, Karsten; Van Den Bogaard, Paul; Hauff, Folkmar; Hoernle, Kaj</t>
  </si>
  <si>
    <t>Granitoids and dykes of the Pine Island Bay region, West Antarctica</t>
  </si>
  <si>
    <t>40Ar/39Ar geochronology; geochemistry; Gondwana; granites; tectonics</t>
  </si>
  <si>
    <t>MARIE-BYRD-LAND; NEW-ZEALAND; ELLSWORTH LAND; PALMER LAND; PACIFIC; MAGMATISM; MANTLE; GEOCHRONOLOGY; GEOCHEMISTRY; SUBDUCTION</t>
  </si>
  <si>
    <t>We present geochronological and geochemical data for eight plutonic rocks from five locations in the Pine Island Bay area of West Antarctica, collected during RV Polarstern expedition ANT-XXIII/4. Ar-Ar laser method dating yielded closure temperatures ages of c. 147-98 Ma for dioritic and granitic plutonic rocks and an age range of c. 97-95 Ma for granitoid and trachyandesitic dykes. Major and trace element compositions indicate that all rocks have an I-type subduction-related chemistry. There are no A-type granitic rocks in our dataset, and none are yet reported from the Pine Island Bay area. Our results confirm earlier models of post 100 Ma subduction on this part of the Gondwana margin.</t>
  </si>
  <si>
    <t>[Kipf, Andrea; Werner, Reinhard; Van Den Bogaard, Paul; Hauff, Folkmar; Hoernle, Kaj] Helmholtz Zentrum Ozeanforsch Kiel GEOMAR, D-24148 Kiel, Germany; [Mortimer, Nicholas] GNS Sci, Dunedin, New Zealand; [Gohl, Karsten] Alfred Wegener Inst Polar &amp; Marine Res, D-27515 Bremerhaven, Germany</t>
  </si>
  <si>
    <t>Helmholtz Association; GEOMAR Helmholtz Center for Ocean Research Kiel; GNS Science - New Zealand; Helmholtz Association; Alfred Wegener Institute, Helmholtz Centre for Polar &amp; Marine Research</t>
  </si>
  <si>
    <t>Werner, R (corresponding author), Helmholtz Zentrum Ozeanforsch Kiel GEOMAR, Wischhofstr 1-3, D-24148 Kiel, Germany.</t>
  </si>
  <si>
    <t>rwerner@geomar.de</t>
  </si>
  <si>
    <t>Hoernle, Kaj/AAF-9500-2021; Werner, Reinhard/AAF-5445-2021; Hauff, Folkmar/AAG-3630-2021; Mortimer, Nick/D-5791-2011</t>
  </si>
  <si>
    <t>Hauff, Folkmar/0000-0001-9503-9714; Mortimer, Nick/0000-0002-6812-3379; Gohl, Karsten/0000-0002-9558-2116</t>
  </si>
  <si>
    <t>German Research Foundation (DFG) [HO1833/15-1, HO1833/15-2, HO1833/15-3]; New Zealand Ministry of Science and Innovation</t>
  </si>
  <si>
    <t>German Research Foundation (DFG)(German Research Foundation (DFG)); New Zealand Ministry of Science and Innovation</t>
  </si>
  <si>
    <t>We are grateful to Captain Pahl, the ship and helicopter crews, and shipboard scientific party for their excellent support during RV Polarstern cruise ANT-XXIII/4. S. Hauff and J. Sticklus are thanked for technical assistance, and W. Borchert for creating Figs 1 &amp; 2. Robert D. Larter kindly provided the dredge sample DR193.1. Discussions with Maxim Portnyagin, Jan Grobys, Graeme Eagles, Andreas Veit, and Christian Timm helped significantly to develop this paper. Comments on earlier versions of the manuscript by Phil Leat, Christine Siddoway, Alan Vaughan and an anonymous reviewer are appreciated. The German Research Foundation (DFG, grants HO1833/15-1 to -3 to KH and FH) and the New Zealand Ministry of Science and Innovation funded this research.</t>
  </si>
  <si>
    <t>10.1017/S0954102012000259</t>
  </si>
  <si>
    <t>Green Submitted, Green Accepted</t>
  </si>
  <si>
    <t>WOS:000308721400006</t>
  </si>
  <si>
    <t>Carmona, E; Almendros, J; Serrano, I; Stich, D; Ibáñez, JM</t>
  </si>
  <si>
    <t>Carmona, Enrique; Almendros, Javier; Serrano, Inmaculada; Stich, Daniel; Ibanez, Jesus M.</t>
  </si>
  <si>
    <t>Results of seismic monitoring surveys of Deception Island volcano, Antarctica, from 1999-2011</t>
  </si>
  <si>
    <t>seismic array; seismic network; volcano seismology</t>
  </si>
  <si>
    <t>SOUTH-SHETLAND-ISLANDS; ARRAY; ATTENUATION; PARAMETERS; TECTONICS; EVOLUTION; FIELD</t>
  </si>
  <si>
    <t>Deception Island volcano (South Shetland Islands, Antarctica) has been monitored in summer surveys since 1994. We analyse the seismicity recorded from 1999-2011 with a local network and seismic arrays. It includes long-period (LP) events, volcanic tremor episodes and volcano-tectonic (VT) earthquakes. Long-period events are conspicuous, ranging from 58 (2007-08) to 2868 events (2003-04). The highest number of LP events in one day is 243 on 2 February 2001, and there are several discrete periods of intense LP activity. These variations may be related to alterations in the shallow hydrothermal system of Deception Island. The number of VT earthquakes recorded during the surveys range from 4 (2008-09) to 125 (2007-08). In some periods VT distributions are temporally and spatially homogeneous, with a generally low level of seismicity. In other periods we observe a peak of VT activity lasting a few days, concentrated in a particular area. These two patterns may respond to different processes, involving regional stresses and local tectonic destabilization induced by volcanic activity. Overall, this study indicates that over the period 1999-2011 the volcano presented a moderate level of seismicity, and suggests that there has been no significant reactivation of the volcano since the 1999 seismic crisis.</t>
  </si>
  <si>
    <t>[Carmona, Enrique; Almendros, Javier; Serrano, Inmaculada; Stich, Daniel; Ibanez, Jesus M.] Univ Granada, Inst Andaluz Geofis, E-18071 Granada, Spain; [Almendros, Javier; Serrano, Inmaculada; Stich, Daniel; Ibanez, Jesus M.] Univ Granada, Fac Ciencias, Dpto Fis Teor &amp; Cosmos, E-18071 Granada, Spain</t>
  </si>
  <si>
    <t>University of Granada; University of Granada</t>
  </si>
  <si>
    <t>Almendros, J (corresponding author), Univ Granada, Inst Andaluz Geofis, Campus Cartuja, E-18071 Granada, Spain.</t>
  </si>
  <si>
    <t>alm@iag.ugr.es</t>
  </si>
  <si>
    <t>IBANEZ, JESUS M/G-9910-2019; Stich, Daniel/H-6174-2015; Almendros, Javier/M-2468-2014; Serrano, Inmaculada/L-2969-2014</t>
  </si>
  <si>
    <t>IBANEZ, JESUS M/0000-0002-9846-8781; Stich, Daniel/0000-0001-7178-9887; Almendros, Javier/0000-0001-5936-6160;</t>
  </si>
  <si>
    <t>Spanish Army at the Gabriel de Castilla Antarctic base; Spanish Navy on the RV Hesperides and RV Las Palmas; Marine Technology Unit; [ANT98-1111]; [REN2000-2897]; [REN2001-3833]; [CGL2005-05789]; [POL2006-08663]; [CGL2007-28855]; [CTM2008-03062]; [CGL2008-01660]; [CTM2009-07705]; [CTM2009-08085]; [CTM2010-11740]; [CGL2011-29499-C02-01]</t>
  </si>
  <si>
    <t>Spanish Army at the Gabriel de Castilla Antarctic base; Spanish Navy on the RV Hesperides and RV Las Palmas; Marine Technology Unit; ; ; ; ; ; ; ; ; ; ; ;</t>
  </si>
  <si>
    <t>We thank Steve McNutt, Mario Castellano, and Alan Vaughan for their useful comments and suggestions. We also thank all the participants in the surveys at Deception Island from 1999-2011, including M. Abril, F. Lorenzo, J.A. Pena, C. Martinez-Arevalo, J.A. Esquivel, M. Breton, J.B. Martin, M. La Rocca, J.L. Perez-Cuadrado, M. Feriche, F. Torcal, G. Saccorotti, D. Zandomeneghi, F. Carrion, N. Sanchez, A. Bidone, F. Fernandez-Ibanez, L. Buontempo, L. Zuccarello, G. Badi, R. Perez, A. Jimenez, N. Rossi, A. Ontiveros, A. Garcia-Yeguas, C. Bengoa, J.J. Redondo, A. Villasenor, R. Martin, B. Gaite, P. Danecek, and J. Galeano. We acknowledge the support of the Spanish Army at the Gabriel de Castilla Antarctic base, Spanish Navy on the RV Hesperides and RV Las Palmas, Marine Technology Unit, and remaining institutions involved in the Spanish Antarctic Research Programme. This work has been partially funded by projects ANT98-1111, REN2000-2897, REN2001-3833, CGL2005-05789, POL2006-08663, CGL2007-28855, CTM2008-03062, CGL2008-01660, CTM2009-07705, CTM2009-08085, CTM2010-11740 and CGL2011-29499-C02-01.</t>
  </si>
  <si>
    <t>10.1017/S0954102012000314</t>
  </si>
  <si>
    <t>WOS:000308721400007</t>
  </si>
  <si>
    <t>Mansilla, HG; De Valais, S; Stinnesbeck, W; Varela, NA; Leppe, MA</t>
  </si>
  <si>
    <t>Mansilla, Hector G.; De Valais, Silvina; Stinnesbeck, Wolfgang; Varela, Natalia A.; Leppe, Marcelo A.</t>
  </si>
  <si>
    <t>New Avian tracks from the lower to middle Eocene at Fossil Hill, King George Island, Antarctica</t>
  </si>
  <si>
    <t>avian footprints; Cenozoic; Gondwana; ichnotaxonomy</t>
  </si>
  <si>
    <t>BIRDS</t>
  </si>
  <si>
    <t>Trace fossils are long known to exist in the Fossil Hill Formation (lower to middle Eocene) at Fildes Peninsula, King George Island, Antarctica. During fieldwork in 2009, abundant new avian tracks were recovered, which are analysed here. Three avian ichnotaxa are distinguished. The most common impressions are tridactyls and tetradactyls with slender digit imprints II-IV and a posterior hallux. They are included in the ichnogenus Gruipeda. In addition tridactyl and tetradactyl footprints with short and thick digit impressions are conferred to Uhangrichnus. The third ichnotaxon is a tridactyl impression with broad and short digits assigned to Avipeda. The latter taxon is here documented for the first time from Antarctica. These avian tracks are preserved in volcaniclastic sediments consisting in reddish-brown layers of mudstone intercalated with coarse sandstone. The sequence represents lacustrine environments which seasonally dried and were episodically refilled.</t>
  </si>
  <si>
    <t>[Mansilla, Hector G.; Varela, Natalia A.; Leppe, Marcelo A.] Inst Antartico Chileno INACH, Lab Palaeobiol, Punta Arenas, Chile; [De Valais, Silvina] Univ Nacl Rio Negro, Inst Invest Paleobiol &amp; Geol, CONICET, RA-8332 Gen Roca, Rio Negro, Argentina; [Stinnesbeck, Wolfgang] Heidelberg Univ, Inst Geowissensch, D-69120 Heidelberg, Germany</t>
  </si>
  <si>
    <t>Consejo Nacional de Investigaciones Cientificas y Tecnicas (CONICET); Ruprecht Karls University Heidelberg</t>
  </si>
  <si>
    <t>Mansilla, HG (corresponding author), Inst Antartico Chileno INACH, Lab Palaeobiol, Plaza Munoz Gamero 1055, Punta Arenas, Chile.</t>
  </si>
  <si>
    <t>mansilla_83@yahoo.com</t>
  </si>
  <si>
    <t>Leppe, Marcelo/L-5447-2014</t>
  </si>
  <si>
    <t>Leppe, Marcelo/0000-0002-1545-8167; Varela, Natalia/0000-0002-9611-9393</t>
  </si>
  <si>
    <t>FONDECYT [11080223]; Bundesministerium fur Bildung und Forschung [BMBF CHL10/A09]; Universidad Nacional de Rio Negro</t>
  </si>
  <si>
    <t>FONDECYT(Comision Nacional de Investigacion Cientifica y Tecnologica (CONICYT)CONICYT FONDECYT); Bundesministerium fur Bildung und Forschung(Federal Ministry of Education &amp; Research (BMBF)); Universidad Nacional de Rio Negro</t>
  </si>
  <si>
    <t>We thank Prof Dr E. Frey and Dr D. Rubilar-Rogers for their valuable comments. We are also grateful to Dr A. Rubilar and G. Vilches, the curators of the Departamento de Geologia, Universidad de Chile, for providing access to their palaeontological collections. Editor Alan Vaughan and reviewers George Mustoe and Carolina Acosta Hospitaleche made valuable comments that greatly improved the manuscript. Financial support for this work was obtained from FONDECYT Project 11080223, the Bundesministerium fur Bildung und Forschung (BMBF CHL10/A09), to WS, ML and HM, and from the Universidad Nacional de Rio Negro to SdV.</t>
  </si>
  <si>
    <t>10.1017/S0954102012000260</t>
  </si>
  <si>
    <t>WOS:000308721400008</t>
  </si>
  <si>
    <t>Qin, Z; Zou, X; Weng, F</t>
  </si>
  <si>
    <t>Qin, Z.; Zou, X.; Weng, F.</t>
  </si>
  <si>
    <t>Arctic and Antarctic four-month oscillations detected from Advanced Microwave Sounding Unit-A measurements</t>
  </si>
  <si>
    <t>polar regions; satellite; surface temperature</t>
  </si>
  <si>
    <t>CLIMATE VARIABILITY; TEMPERATURE TRENDS; TIME-SERIES; MSU; REANALYSIS; CONSTRUCTION</t>
  </si>
  <si>
    <t>Satellite microwave measurements can penetrate through clouds and therefore provide unique information of surface and near-surface temperatures and surface emissivity. In this study, the brightness temperatures from NOAA-15 Advanced Microwave Sounding Unit-A (AMSU-A) are used to analyse the surface temperature variation in the Arctic and Antarctic regions during the past 13 years from 1998-2010. The data from four AMSU-A channels sensitive to surface are analysed with wavelet and Fourier spectrum techniques. A very pronounced maximum is noticed in the period range centred around four months. Application of a statistical significance test confirms that it is a dominant mode of variability over polar regions besides the annual and semi-annual oscillations in the data. No evidence of this feature could be found in middle and low latitudes. The four-month oscillation is 908 out of phase at the Arctic and Antarctic, with the Arctic four-month oscillation reaching its maximum in the beginning of March, July and November and the Antarctic four-month oscillation in the middle of April, August and December. The intensity of the four-month oscillation varies interannually. The years with pronounced four-month oscillation were 2002-03, 2005-06 and 2008-09. The strongest year for the Arctic and Antarctic four-month oscillations occurred in 2005-06 and 2008-09, respectively. The sign of four-month oscillation is also found in the surface skin temperatures and two-metre air temperatures from ERA-Interim reanalysis, with strongest signal in 2005-06 when this oscillation is strongest in the data. It is hypothesized that the Arctic and Antarctic four-month oscillations are a combined result of unique features of solar radiative forcing and snow/sea ice formation and metamorphosis.</t>
  </si>
  <si>
    <t>[Qin, Z.; Zou, X.] Nanjing Univ Informat Sci &amp; Technol, Ctr Data Assimilat Res &amp; Applicat, Nanjing 210044, Jiangsu, Peoples R China; [Zou, X.] Florida State Univ, Dept Earth Ocean &amp; Atmospher Sci, Tallahassee, FL 32306 USA; [Weng, F.] NOAA, Natl Environm Satellite Data &amp; Informat Serv, Camp Springs, MD 20746 USA</t>
  </si>
  <si>
    <t>Nanjing University of Information Science &amp; Technology; State University System of Florida; Florida State University; National Oceanic Atmospheric Admin (NOAA) - USA</t>
  </si>
  <si>
    <t>Qin, Z (corresponding author), Nanjing Univ Informat Sci &amp; Technol, Ctr Data Assimilat Res &amp; Applicat, Nanjing 210044, Jiangsu, Peoples R China.</t>
  </si>
  <si>
    <t>wqin@fsu.edu</t>
  </si>
  <si>
    <t>Weng, Fuzhong/F-5633-2010</t>
  </si>
  <si>
    <t>Weng, Fuzhong/0000-0003-0150-2179</t>
  </si>
  <si>
    <t>Chinese Ministry of Science and Technology under 973 project [2010CB951600]; NOAA/NESDIS grant</t>
  </si>
  <si>
    <t>Chinese Ministry of Science and Technology under 973 project; NOAA/NESDIS grant</t>
  </si>
  <si>
    <t>This work was supported by Chinese Ministry of Science and Technology under 973 project no. 2010CB951600 and the NOAA/NESDIS grant to Florida State University. The constructive comments of the reviewers are also gratefully acknowledged.</t>
  </si>
  <si>
    <t>10.1017/S0954102012000417</t>
  </si>
  <si>
    <t>WOS:000308721400009</t>
  </si>
  <si>
    <t>Robinson, NJ; Williams, MJM</t>
  </si>
  <si>
    <t>Robinson, N. J.; Williams, M. J. M.</t>
  </si>
  <si>
    <t>Iceberg-induced changes to polynya operation and regional oceanography in the southern Ross Sea, Antarctica, from in situ observations</t>
  </si>
  <si>
    <t>iceberg perturbation; ice-ocean interaction; ice shelf water; McMurdo Sound; ocean circulation</t>
  </si>
  <si>
    <t>MCMURDO SOUND; GIANT ICEBERGS; ICE CONDITIONS; CIRCULATION; WATER; VARIABILITY; BENEATH; IMPACT; ISLAND; SHELF</t>
  </si>
  <si>
    <t>Two massive tabular icebergs calved from the Ross Ice Shelf in 2000 (B-15) and 2002 (C-19) and perturbed regional ocean processes for several years. Here we document the ocean's response in McMurdo Sound to the icebergs using in situ data collected before, during and after the icebergs' residence in the Ross Sea. Departures from typical McMurdo Sound seasonal oceanography included the nonappearance of Antarctic Surface Water in summer, a cooler and more homogeneous water column during winter and 'super-fresh' High Salinity Shelf Water that gradually recovered its salinity. We found that each iceberg triggered a distinct response to regional ocean processes. B-15a, the largest piece of iceberg B-15, restricted surface circulation, cooled and freshened the upper water column and reduced melting near the ice shelf front for four years. Iceberg C-19 interrupted the operation of the Ross Sea polynya, from which McMurdo Sound took three to four years to recover, and was responsible for a geographic shift in the dense water formation region for the south-western Ross Sea. These results differ from earlier modelling studies and highlight the challenges of modelling the polar ocean. We also show that one pathway previously thought to supply dense water to the Ross Ice Shelf cavity was not operating at that time.</t>
  </si>
  <si>
    <t>[Robinson, N. J.; Williams, M. J. M.] Natl Inst Water &amp; Atmospher Res, Wellington 6021, New Zealand; [Robinson, N. J.] Univ Otago, Dept Marine Sci &amp; Phys, Dunedin 9054, New Zealand</t>
  </si>
  <si>
    <t>National Institute of Water &amp; Atmospheric Research (NIWA) - New Zealand; University of Otago</t>
  </si>
  <si>
    <t>Robinson, NJ (corresponding author), Natl Inst Water &amp; Atmospher Res, 301 Evans Bay Parade, Wellington 6021, New Zealand.</t>
  </si>
  <si>
    <t>n.robinson@niwa.co.nz</t>
  </si>
  <si>
    <t>Robinson, Natalie J/I-4460-2015; Williams, Michael/H-9674-2014</t>
  </si>
  <si>
    <t>University of Otago Postgraduate Scholarship; New Zealand Foundation for Research, Science and Technology</t>
  </si>
  <si>
    <t>University of Otago Postgraduate Scholarship; New Zealand Foundation for Research, Science and Technology(New Zealand Foundation for Research, Science and Technology)</t>
  </si>
  <si>
    <t>The authors gratefully acknowledge the generous provision of datasets by Nicole Albrect, Craig Stevens, Lionel Carter, Christina Cheng, Greg Leonard, and Andy Mahoney. Logistical support was provided by Antarctica New Zealand through events led by Tim Haskell and Alex Pyne. We wish to thank the anonymous reviewer for their thoughtful review and positive comments. Valuable comments on previous versions of this manuscript have been made by Stan Jacobs, Claudia Guilivi, Craig Stevens, Pat Langhorne and Inga Smith. The work was funded through a University of Otago Postgraduate Scholarship and the New Zealand Foundation for Research, Science and Technology.</t>
  </si>
  <si>
    <t>10.1017/S0954102012000296</t>
  </si>
  <si>
    <t>WOS:000308721400010</t>
  </si>
  <si>
    <t>Budgeon, AL; Roberts, D; Gasparon, M; Adams, N</t>
  </si>
  <si>
    <t>Budgeon, A. L.; Roberts, D.; Gasparon, M.; Adams, N.</t>
  </si>
  <si>
    <t>Direct evidence of aeolian deposition of marine diatoms to an ice sheet</t>
  </si>
  <si>
    <t>aeolian transport; ice core; snow; source; Windmill Islands</t>
  </si>
  <si>
    <t>SOUTHERN-OCEAN SEDIMENTS; WATER-COLUMN ASSEMBLAGES; EAST ANTARCTICA; WINDMILL ISLANDS; SURFACE SEDIMENTS; GREENLAND ICE; WEDDELL SEA; ROSS SEA; PHYTOPLANKTON; BIOGEOGRAPHY</t>
  </si>
  <si>
    <t>Antarctic snow samples collected from the Wilkins Runway, c. 50 km inland from the Windmill Islands, East Antarctica, contain aeolian-derived diatoms. The diatom assemblage preserved is exclusively of marine origin. As diatoms are excellent indicators of source conditions, we are able to confirm that an unusual weather event, with anomalous north-westerly winds blowing at around 10 m s(-1), resulted in the deposition of coastal marine species at the Wilkins Runway. The composition of the floral assemblage collected indicate that the parent water mass was from a coastal marine region undergoing typical Antarctic summer conditions with periods of both consolidated sea ice and open water. On inspection of available satellite imagery, these conditions were found upwind of the deposition site. This study provides a methodology for diatoms found within ice cores to be identified and the source region to be determined. It also provides evidence for a large-scale aeolian deposition of marine diatoms to an ice sheet, which may have implications for the interpretation of controversial marine diatoms found in sediments that have been used as evidence for the retreat of the East Antarctic Ice Sheet.</t>
  </si>
  <si>
    <t>[Budgeon, A. L.; Gasparon, M.] Univ Queensland, Sch Earth Sci, St Lucia, Qld 4072, Australia; [Roberts, D.] Univ Tasmania, Antarctic Climate &amp; Ecosyst CRC, Hobart, Tas 7001, Australia; [Adams, N.] Ctr Australian Weather &amp; Climate Res, Bur Meteorol, Hobart, Tas 7001, Australia</t>
  </si>
  <si>
    <t>University of Queensland; University of Tasmania; Bureau of Meteorology - Australia; Commonwealth Scientific &amp; Industrial Research Organisation (CSIRO)</t>
  </si>
  <si>
    <t>Budgeon, AL (corresponding author), Univ Queensland, Sch Earth Sci, St Lucia, Qld 4072, Australia.</t>
  </si>
  <si>
    <t>a.budgeon@uq.edu.au</t>
  </si>
  <si>
    <t>Roberts, Donna/0000-0001-6701-6662</t>
  </si>
  <si>
    <t>Australian Antarctic Division [07/768]; Australian Government</t>
  </si>
  <si>
    <t>Australian Antarctic Division; Australian Government(Australian Government)</t>
  </si>
  <si>
    <t>This research was a part of the Airlink Environmental Impact Monitoring Program that was funded by the Australian Antarctic Division under project reference number 07/768. A. Budgeon would like to thank the Australian Government for the Australian Postgraduate Award scholarship that made this possible. A. Budgeon would also like to thank everyone on station who assisted with sampling. The authors would also like to acknowledge the important contributions of two anonymous reviewers for their helpful comments.</t>
  </si>
  <si>
    <t>10.1017/S0954102012000235</t>
  </si>
  <si>
    <t>WOS:000308721400011</t>
  </si>
  <si>
    <t>Nomura, D; Simizu, D; Chavanich, S; Shinagawa, H; Fukuchi, M</t>
  </si>
  <si>
    <t>Nomura, Daiki; Simizu, Daisuke; Chavanich, Suchana; Shinagawa, Hideo; Fukuchi, Mitsuo</t>
  </si>
  <si>
    <t>An artificial pool experiment in Antarctic sea ice: effects of sea ice melting on physical and biogeochemical components of pool water</t>
  </si>
  <si>
    <t>dissolved inorganic carbon; nutrients; phytoplankton bloom; Southern Ocean; water stratification</t>
  </si>
  <si>
    <t>NUTRIENT DEPLETION; WEDDELL SEA; GAP LAYERS; CARBON; EDGE; CO2; MATTER; DIATOM; BLOOM</t>
  </si>
  <si>
    <t>We performed an artificial pool experiment in the Antarctic multi-year land-fast ice to examine and simulate the effect of sea ice melting on physical and biogeochemical components of the sea ice field. The input of snow and ice meltwater resulted in warmer, low salinity water at the surface of the pool and probably stratification of the less dense water. Current speed measurements also pointed to water stratification within the pool. Rapid phytoplankton growth in the pool resulted in drastic decreases in concentrations of dissolved inorganic carbon and nutrients (NO3- and Si(OH)(4)) in the surface waters of the pool, particularly depleted for NO3-. There was high correlation between variations of dissolved inorganic carbon and nutrient concentrations, but the apparent uptake ratios of these components deviated from that generally applied to marine phytoplankton. The sequence of changes in the physical and biogeochemical components of the pool water suggests that the onset of rapid phytoplankton growth was closely related to the water stratification, which provided stable conditions for phytoplankton bloom even though the supply of nutrients from under-ice water would have declined.</t>
  </si>
  <si>
    <t>[Nomura, Daiki; Fukuchi, Mitsuo] Natl Inst Polar Res, Tachikawa, Tokyo 1908501, Japan; [Nomura, Daiki] Japan Soc Promot Sci, Chiyoda Ku, Tokyo 1028471, Japan; [Simizu, Daisuke] Hokkaido Univ, Inst Low Temp Sci, Kita Ku, Sapporo, Hokkaido 0600819, Japan; [Chavanich, Suchana] Chulalongkorn Univ, Fac Sci, Dept Marine Sci, Reef Biol Res Grp, Bangkok 10330, Thailand; [Shinagawa, Hideo] Univ Tsukuba, Shimoda Marine Res Ctr, Shizuoka 4150025, Japan</t>
  </si>
  <si>
    <t>Research Organization of Information &amp; Systems (ROIS); National Institute of Polar Research (NIPR) - Japan; Japan Society for the Promotion of Science; Hokkaido University; Chulalongkorn University; University of Tsukuba</t>
  </si>
  <si>
    <t>Nomura, D (corresponding author), Norwegian Polar Res Inst, Fram Ctr, NO-9296 Tromso, Norway.</t>
  </si>
  <si>
    <t>daiki.nomura@npolar.no</t>
  </si>
  <si>
    <t>Chavanich, Suchana/AAU-8266-2020</t>
  </si>
  <si>
    <t>SIMIZU, Daisuke/0000-0003-4214-6756</t>
  </si>
  <si>
    <t>National Research University Project of CHE Fund [CC1043A]; National Institute of Polar Research</t>
  </si>
  <si>
    <t>National Research University Project of CHE Fund; National Institute of Polar Research(National Institute of Polar Research (NIPR) - Japan)</t>
  </si>
  <si>
    <t>We express heartfelt thanks to Dr S. Kudoh for his help in making the artificial pool. We thank Dr Y.W. Watanabe for providing the instrument for DIC analysis, and to Prof J. Kanda, Ms S. Yasui and Ms C. Oouchida for nutrient analyses. We also thank Dr P. Assmy, Dr S. Koga, Mr H. Shimoda, Ms S. Youkongkaew and all of the members of the 51st Japanese Antarctic Research Expedition (JARE-51) for their comment and support in the field. We also thank National Research University Project of CHE Fund (CC1043A). This paper was supported by funds from the National Institute of Polar Research for English proofreading. The constructive comments of the reviewers are also gratefully acknowledged.</t>
  </si>
  <si>
    <t>10.1017/S0954102012000284</t>
  </si>
  <si>
    <t>WOS:000308721400012</t>
  </si>
  <si>
    <t>Voight, JR; Lee, RW; Reft, AJ; Bates, AE</t>
  </si>
  <si>
    <t>Voight, Janet R.; Lee, Raymond W.; Reft, Abigail J.; Bates, Amanda E.</t>
  </si>
  <si>
    <t>Scientific Gear as a Vector for Non-Native Species at Deep-Sea Hydrothermal Vents</t>
  </si>
  <si>
    <t>CONSERVATION BIOLOGY</t>
  </si>
  <si>
    <t>Gorda Ridge; hydrothermal vent; Lepetodrilus; species introduction; stable isotope; subsea vehicle; Juan de Fuca Ridge; Borde Juan de Fuca; Borde Gorda; conducto hidrotermal; introduccion de especies; isotopo estable; Lepetodrilus; vehiculo submarino</t>
  </si>
  <si>
    <t>NORTHEAST PACIFIC; BIODIVERSITY; LEPETODRILIDAE; COMMUNITIES; GASTROPODS; BIVALVES; MUSSELS; LIMPETS; OCEAN</t>
  </si>
  <si>
    <t>The fauna of deep-sea hydrothermal vents are among the most isolated and inaccessible biological communities on Earth. Most vent sites can only be visited by subsea vehicles, which can and do move freely among these communities. Researchers assume individuals of the regionally homogeneous vent fauna are killed by the change in hydrostatic pressure the animals experience when the subsea vehicles, which collected them, rise to the surface. After an Alvin dive, we found 38 apparently healthy individuals of a vent limpet in a sample from a hydrothermally inactive area. Prompted by our identification of these specimens as Lepetodrilus gordensis, a species restricted to vents 635 km to the south of our dive site, we tested whether they were from a novel population or were contaminants from the dive made 36 h earlier. The 16S gene sequences, morphology, sex ratio, bacterial colonies, and stable isotopes uniformly indicated the specimens came from the previous dive. We cleaned the sampler, but assumed pressure changes would kill any organisms we did not remove and that the faunas of the 2 areas were nearly identical and disease-free. Our failure to completely clean the gear on the subsea vehicle meant we could have introduced the species and any diseases it carried to a novel location. Our findings suggest that the nearly inaccessible biological communities at deep-sea vents may be vulnerable to anthropogenic alteration, despite their extreme physical conditions.</t>
  </si>
  <si>
    <t>[Voight, Janet R.] Field Museum Nat Hist, Dept Zool, Chicago, IL 60605 USA; [Lee, Raymond W.] Washington State Univ, Sch Biol Sci, Pullman, WA 99164 USA; [Reft, Abigail J.] Ohio State Univ, Dept Evolut Ecol &amp; Organismal Biol, Columbus, OH 43212 USA; [Bates, Amanda E.] Univ Tasmania, Inst Marine &amp; Antarctic Studies, Taroona 7001, Australia</t>
  </si>
  <si>
    <t>Field Museum of Natural History (Chicago); Washington State University; University System of Ohio; Ohio State University; University of Tasmania</t>
  </si>
  <si>
    <t>Voight, JR (corresponding author), Field Museum Nat Hist, Dept Zool, 1400 S Lake Shore Dr, Chicago, IL 60605 USA.</t>
  </si>
  <si>
    <t>jvoight@fieldmuseum.org</t>
  </si>
  <si>
    <t>Bates, Amanda E./ABD-6874-2021</t>
  </si>
  <si>
    <t>Bates, Amanda E./0000-0002-0198-4537</t>
  </si>
  <si>
    <t>National Science Foundation [DEB-0103690]</t>
  </si>
  <si>
    <t>National Science Foundation(National Science Foundation (NSF))</t>
  </si>
  <si>
    <t>A National Science Foundation grant (DEB-0103690) to J. R. V. supported this research. We thank J. Bates, T. Bird, M. Daly, K. Feldheim, and D. Lindberg for comments on earlier versions of the manuscript and the reviewers and editors for their comments. L. Kanellos provided the figure. The pilots of the Alvin and the captain and crew of the R/V Atlantis performed their duties with excellence, meeting, and exceeding all expectations.</t>
  </si>
  <si>
    <t>0888-8892</t>
  </si>
  <si>
    <t>CONSERV BIOL</t>
  </si>
  <si>
    <t>Conserv. Biol.</t>
  </si>
  <si>
    <t>10.1111/j.1523-1739.2012.01864.x</t>
  </si>
  <si>
    <t>001UB</t>
  </si>
  <si>
    <t>WOS:000308484500020</t>
  </si>
  <si>
    <t>Seiler, J; Williams, A; Barrett, N</t>
  </si>
  <si>
    <t>Seiler, Jan; Williams, Alan; Barrett, Neville</t>
  </si>
  <si>
    <t>Assessing size, abundance and habitat preferences of the Ocean Perch Helicolenus percoides using a AUV-borne stereo camera system</t>
  </si>
  <si>
    <t>FISHERIES RESEARCH</t>
  </si>
  <si>
    <t>Size assessment; Abundance assessment; Stereo camera system; AUV; Habitat preferences; Ocean Perch; Fishery-independent data</t>
  </si>
  <si>
    <t>SPATIAL AUTOCORRELATION; ROCKFISHES; BEHAVIOR; FISHES; CANYON</t>
  </si>
  <si>
    <t>Traditional fishery resource assessment methods using trawl gear are unable to sample rocky substratum and are prone to underestimating the biomass of species having partial or strong association with rocky reefs. This study successfully used an Autonomous Underwater Vehicle (AUV) and image-yielding methods to estimate size, abundance and habitat preference of an abundant and commercially important 'rockfish' - the Ocean Perch (Helicolenus percoides) - in rocky habitats on the continental shelf off Tasmania, SE Australia. More than half (53%) of the Ocean Perch observed were photogrammetrically measured with known accuracy using a stereo camera system yielding length-frequency distributions. Observations of juvenile and adult H. percoides across a depth gradient showed that adults preferred rocky substrates over soft substrates, whereas juveniles preferred soft substrate over hard substrate. We found a positive relationship between rockfish abundance and increasing depth in most habitat types. These results demonstrate the utility of image-based methods for determining size composition and habitat preferences of some reef-associated species. However, there is scope to improve image-based methods using length estimation procedures that enable higher proportions of individuals to be measured (compared to the proportion achieved in this study), and by incorporating automated image annotation to decrease image analysis times, particularly when examining species/habitat relationships. The importance of analytical procedures that account for autocorrelation in non-independent image data on habitats and associated species is discussed. We conclude that rapidly maturing image-based observational methods have potential utility in complementing fishery stock assessments of some reef-associated species. Image-based methods are also well-suited to simultaneously provide additional quantitative measures of benthic habitats, invertebrate fauna and fishery environments. (C) 2012 Elsevier B.V. All rights reserved.</t>
  </si>
  <si>
    <t>[Seiler, Jan; Barrett, Neville] Univ Tasmania, Inst Marine &amp; Antarctic Studies, Taroona, Tas 7053, Australia; [Seiler, Jan; Williams, Alan] CSIRO Marine &amp; Atmospher Res Hobart, Wealth Oceans Natl Res Flagship, Hobart, Tas 7000, Australia</t>
  </si>
  <si>
    <t>University of Tasmania; Commonwealth Scientific &amp; Industrial Research Organisation (CSIRO)</t>
  </si>
  <si>
    <t>Seiler, J (corresponding author), Univ Tasmania, Inst Marine &amp; Antarctic Studies, Taroona, Tas 7053, Australia.</t>
  </si>
  <si>
    <t>janseiler@gmx.de</t>
  </si>
  <si>
    <t>Williams, Alan/C-6999-2012; Barrett, Neville/J-7593-2014</t>
  </si>
  <si>
    <t>Williams, Alan/0000-0002-2867-7713; Barrett, Neville/0000-0002-6167-1356</t>
  </si>
  <si>
    <t>Commonwealth Environment Research Facilities (CERF) program; Australian Government initiative supporting world class, public good research</t>
  </si>
  <si>
    <t>Commonwealth Environment Research Facilities (CERF) program; Australian Government initiative supporting world class, public good research(Australian Government)</t>
  </si>
  <si>
    <t>This work was funded through the Commonwealth Environment Research Facilities (CERF) program, an Australian Government initiative supporting world class, public good research. The CERF Marine Biodiversity Hub is a collaborative partnership between the University of Tasmania, CSIRO Wealth from Oceans Flagship, Geoscience Australia, Australian Institute of Marine Science and Museum Victoria. AUV 'Sirius' is an integral part of the Integrated Marine Observing System and is run by the University of Sydney's Australian Centre for Field Robotics. The assistance and support of the following people is greatly appreciated; Colin Buxton and Justin Hulls (Institute for Marine and Antarctic Studies), Stefan Williams, Oscar Pizzaro, Michael Jakuba, Duncan Mercer and George Powell (University of Sydney) and Matthew Francis and Jac Gibson (R/V Challenger crew). Richard Coleman (Australian Research Council) initiated the use of the AUV in Tasmanian waters.</t>
  </si>
  <si>
    <t>0165-7836</t>
  </si>
  <si>
    <t>1872-6763</t>
  </si>
  <si>
    <t>FISH RES</t>
  </si>
  <si>
    <t>Fish Res.</t>
  </si>
  <si>
    <t>10.1016/j.fishres.2012.06.011</t>
  </si>
  <si>
    <t>Fisheries</t>
  </si>
  <si>
    <t>996BA</t>
  </si>
  <si>
    <t>WOS:000308057800009</t>
  </si>
  <si>
    <t>Dymowska, AK; Manfredi, T; Rosenthal, JJC; Seibel, BA</t>
  </si>
  <si>
    <t>Dymowska, Agnieszka K.; Manfredi, Thomas; Rosenthal, Joshua J. C.; Seibel, Brad A.</t>
  </si>
  <si>
    <t>Temperature compensation of aerobic capacity and performance in the Antarctic pteropod, Clione antarctica, compared with its northern congener, C. limacina</t>
  </si>
  <si>
    <t>mitochondria; cristae; citrate synthase; cold; temperature; Antarctica</t>
  </si>
  <si>
    <t>METABOLIC COLD ADAPTATION; LUGWORM ARENICOLA-MARINA; FISH SKELETAL-MUSCLE; MITOCHONDRIAL-FUNCTION; THERMAL-ACCLIMATION; SEASONAL ACCLIMATIZATION; ENZYMATIC-ACTIVITIES; ADAPTIVE-CHANGES; MOLLUSK; ECTOTHERMS</t>
  </si>
  <si>
    <t>In ectotherms living in cold waters, locomotory performance is constrained by a slower generation of the ATP that is needed to fuel muscle contraction. Both polar and temperate pteropods of the genus Clione, however, are able to swim continuously by flapping their parapodia (wings) at comparable frequencies at their respective habitat temperatures. Therefore, we expected polar species to have increased aerobic capacities in their wing muscles when measured at common temperatures. We investigated muscle and mitochondrial ultrastructure of Clione antarctica from the Southern Ocean (-1.8 degrees C) and populations of a sister species, Clione limacina, from the Arctic (-0.5 to 3 degrees C) and from the North Atlantic (10 degrees C). We also measured oxygen consumption and the activity of the mitochondrial enzyme citrate synthase (CS) in isolated wings of the two species. The Antarctic species showed a substantial up-regulation of the density of oxidative muscle fibers, but at the expense of fast-twitch muscle fibers. Mitochondrial capacity was also substantially increased in the Antarctic species, with the cristae surface density (58.2 +/- 1.3 mu m(2)mu m(-3)) more than twice that found in temperate species (34.3 +/- 0.8 mu m(2)mu m(-3)). Arctic C. limacina was intermediate between these two populations (43.7 +/- 0.5 mu m(2)mu m(-3)). The values for cold-adapted populations are on par with those found in high-performance vertebrates. As a result of oxidative muscle proliferation, CS activity was 4-fold greater in C. antarctica wings than in temperate C. limacina when measured at a common temperature (20 degrees C). Oxygen consumption of isolated wing preparations was comparable in the two species when measured at their respective habitat temperatures. These findings indicate complete compensation of ATP generation in wing muscles across a 10 degrees C temperature range, which supports similar wing-beat frequencies during locomotion at each species' respective temperature. The elevated capacity in the wing muscles is reflected in the partial compensation of whole-animal oxygen consumption and feeding rates.</t>
  </si>
  <si>
    <t>[Dymowska, Agnieszka K.; Seibel, Brad A.] Univ Rhode Isl, Dept Biol Sci, Kingston, RI 02891 USA; [Manfredi, Thomas] Univ Rhode Isl, Dept Kinesiol, Kingston, RI 02891 USA; [Rosenthal, Joshua J. C.] Univ Puerto Rico, Inst Neurobiol, San Juan, PR 00901 USA; [Rosenthal, Joshua J. C.] Univ Puerto Rico, Dept Biochem, San Juan, PR 00901 USA</t>
  </si>
  <si>
    <t>University of Rhode Island; University of Rhode Island; University of Puerto Rico; University of Puerto Rico</t>
  </si>
  <si>
    <t>Seibel, BA (corresponding author), Univ Rhode Isl, Dept Biol Sci, Kingston, RI 02891 USA.</t>
  </si>
  <si>
    <t>seibel@uri.edu</t>
  </si>
  <si>
    <t>National Science Foundation [OPP-9980360, OCE-0526493, OPP-0538479]</t>
  </si>
  <si>
    <t>This project was funded by National Science Foundation grants OPP-9980360 (to R. Dudley) and OCE-0526493 and OPP-0538479 (to B.A.S.).</t>
  </si>
  <si>
    <t>10.1242/jeb.070607</t>
  </si>
  <si>
    <t>004IY</t>
  </si>
  <si>
    <t>WOS:000308676300012</t>
  </si>
  <si>
    <t>Song, WZ; Lin, XZ; Huang, XH</t>
  </si>
  <si>
    <t>Song, Weizhi; Lin, Xuezheng; Huang, Xiaohang</t>
  </si>
  <si>
    <t>Characterization and expression analysis of three cold shock protein (CSP) genes under different stress conditions in the Antarctic bacterium Psychrobacter sp G</t>
  </si>
  <si>
    <t>Psychrobacter; Cold shock protein; Stress response; qRT-PCR</t>
  </si>
  <si>
    <t>ARTHROBACTER-GLOBIFORMIS SI55; ESCHERICHIA-COLI; LOW-TEMPERATURE; MESSENGER-RNA; GROWTH; FAMILY; IDENTIFICATION; DNA; CLONING; REGION</t>
  </si>
  <si>
    <t>Low temperature is one of the major environmental challenges that Antarctic bacteria must face. Detailed studies of cold shock responses of cold-adapted microorganisms are still insufficient. Here, we cloned three cold shock protein (CSP) genes (Csp1137, Csp2039, and Csp2531) in the Antarctic bacterium Psychrobacter sp. G and their regulatory sequences were identified. The three CSPs were highly conserved with other known CspAs. qRT-PCR was performed to evaluate their expression characteristics under stress conditions, and the potential influence of regulatory sequences also was analyzed. The expression of Csp1137 was enhanced both by low (0, 10 A degrees C) and high temperature (30 A degrees C). The expression of Csp2039 was enhanced by low temperature (0 A degrees C), but was lower than that of Csp1137. This can be explained by the absence in Csp2039 of the AT-rich UP element. Different from Csp1137, the expression of Csp2531 was inhibited by low temperature (0 A degrees C), even with the presence of AT-rich UP element, and it was not sensitive to high temperature (30 A degrees C). The expression of Csp1137 was enhanced by high salinity (90, 120), whereas that of Csp2531was enhanced by low salinity (0, 15). At 0 A degrees C and a salinity of 15, the expression of Csp1137 was repressed initially, but then it increased greatly during the next 10 h. The expressions of Csp2039 and Csp2531 were repressed significantly under four different combinations of stress conditions. Our results showed that the role of the upstream regulation sequences were much more complex than previously thought. Also, gene expressions were also affected by the environmental salinity. These are helpful in further clarification of the adaptation mechanism of Psychrobacter sp. G.</t>
  </si>
  <si>
    <t>[Song, Weizhi; Lin, Xuezheng; Huang, Xiaohang] SOA, Inst Oceanog 1, Qingdao 266061, Peoples R China; [Song, Weizhi; Lin, Xuezheng; Huang, Xiaohang] SOA, Key Lab Marine Bioact Subst, Qingdao 266061, Peoples R China</t>
  </si>
  <si>
    <t>First Institute of Oceanography, Ministry of Natural Resources</t>
  </si>
  <si>
    <t>Lin, XZ (corresponding author), SOA, Inst Oceanog 1, Qingdao 266061, Peoples R China.</t>
  </si>
  <si>
    <t>linxz@fio.org.cn</t>
  </si>
  <si>
    <t>Song, Weizhi/0000-0001-5890-5361</t>
  </si>
  <si>
    <t>National Natural Science Foundation of China [41176174]</t>
  </si>
  <si>
    <t>National Natural Science Foundation of China(National Natural Science Foundation of China (NSFC))</t>
  </si>
  <si>
    <t>This work was supported financially by the National Natural Science Foundation of China (41176174). We thank the International Science Editing for the help they offered in language modification.</t>
  </si>
  <si>
    <t>10.1007/s00300-012-1191-6</t>
  </si>
  <si>
    <t>999RJ</t>
  </si>
  <si>
    <t>WOS:000308331600006</t>
  </si>
  <si>
    <t>Jiang, XD; Zhao, SY; Xu, ZH; Wang, GZ; He, JF; Cai, MH</t>
  </si>
  <si>
    <t>Jiang, Xiaodong; Zhao, Shiye; Xu, Zhihuan; Wang, Guizhong; He, Jianfeng; Cai, Minghong</t>
  </si>
  <si>
    <t>Abundance and age of viable resting eggs of the calanoid copepod Boeckella poppei Mrazek in sediments: evidence of egg banks in two Antarctic maritime lakes</t>
  </si>
  <si>
    <t>Resting egg; Egg bank; Boeckella poppei; Maritime lakes; King George Island; Pb-210 dating</t>
  </si>
  <si>
    <t>ZOOPLANKTON; LIFE; BAY; EVOLUTIONARY; VIABILITY; PLANKTON; ECOLOGY</t>
  </si>
  <si>
    <t>The existence of egg banks not only ensures the survival of zooplankton through harsh periods, but could also affect microevolutionary dynamics. Whether zooplankton at high latitudes can build up an egg bank in sediments, as occurs at lower latitudes, is still unknown. The distribution and age of viable resting eggs of the calanoid copepod Boeckella poppei Mrazek in sediments of two small freshwater lakes on King George Island were determined by slicing sediment cores at 1-cm intervals. Most viable resting eggs were found near the sediment surface, with abundance sharply declining to very low values at the depth of 5 cm, although eggs were present as deep as 9 cm in the sediments of Yanouhu Lake. The egg abundances in Xihu Lake and Yanouhu Lake were estimated to be 9.2 x 10(4) and 7.2 x 10(4) eggs m(-2), respectively. Pb-210 dating indicated a relatively constant sedimentation rate (0.023 cm year(-1)) in Xihu Lake, which was used to estimate the mean age (46.8 year), the maximum age (195.7 year), and the mortality rate (1.64 % year(-1)) of resting eggs of B. poppei in Xihu Lake. The accumulation of resting eggs with long-term viability in sediments provided the first evidence for the existence of egg banks in two Antarctic maritime lakes. An egg bank may serve as an overwintering strategy for B. poppei in Antarctica, enhance their ability to cope with random extreme changes, and contribute to their broad distribution.</t>
  </si>
  <si>
    <t>[Jiang, Xiaodong; Zhao, Shiye] E China Normal Univ, Sch Life Sci, Shanghai 200241, Peoples R China; [Xu, Zhihuan; Wang, Guizhong] Xiamen Univ, Dept Oceanog, State Key Lab Marine Environm Sci, Xiamen 361005, Peoples R China; [He, Jianfeng; Cai, Minghong] Polar Res Inst China, Shanghai 200136, Peoples R China</t>
  </si>
  <si>
    <t>East China Normal University; Xiamen University; Polar Research Institute of China</t>
  </si>
  <si>
    <t>Jiang, XD (corresponding author), E China Normal Univ, Sch Life Sci, Shanghai 200241, Peoples R China.</t>
  </si>
  <si>
    <t>xdjiang@bio.ecnu.edu.cn</t>
  </si>
  <si>
    <t>Wang, GZ/G-4644-2010; Jiang, Xiaodong/F-9678-2013</t>
  </si>
  <si>
    <t>Zhao, Shiye/0000-0003-1559-502X; Jiang, Xiaodong/0000-0001-7998-0440</t>
  </si>
  <si>
    <t>National Science Foundation of China [40506002]; Fundamental Research Funds for the Central Universities; Shanghai Committee of Science and Technology [08DZ1203102, 09DZ120010A]</t>
  </si>
  <si>
    <t>National Science Foundation of China(National Natural Science Foundation of China (NSFC)); Fundamental Research Funds for the Central Universities(Fundamental Research Funds for the Central Universities); Shanghai Committee of Science and Technology(Shanghai Science &amp; Technology Committee)</t>
  </si>
  <si>
    <t>We thank three anonymous reviewers for their constructive comments. The study was supported by the National Science Foundation of China (40506002), the Fundamental Research Funds for the Central Universities, and Shanghai Committee of Science and Technology (08DZ1203102 and 09DZ120010A).</t>
  </si>
  <si>
    <t>10.1007/s00300-012-1192-5</t>
  </si>
  <si>
    <t>WOS:000308331600007</t>
  </si>
  <si>
    <t>La Mesa, M; Catalano, B; Kock, KH; Jones, CD</t>
  </si>
  <si>
    <t>La Mesa, Mario; Catalano, Barbara; Kock, Karl-Hermann; Jones, Christopher D.</t>
  </si>
  <si>
    <t>Age and growth of the Antarctic dragonfish Parachaenichthys charcoti (Pisces, Bathydraconidae) from the southern Scotia Arc</t>
  </si>
  <si>
    <t>Ageing; Bathydraconid; Parachaenichthys; Southern ocean</t>
  </si>
  <si>
    <t>FISH; PRECISION; ECOLOGY; SUMMER; WINTER</t>
  </si>
  <si>
    <t>The Antarctic dragonfish Parachaenichthys charcoti is commonly found in shelf waters of islands in the southern Scotia Arc. Its northern congener P. georgianus is distributed on the shelves of South Georgia and the South Sandwich Islands. Biological information on P. charcoti is limited and restricted largely to reproductive traits and feeding habits. The present study fills this gap, providing the first data on age and growth of this species by otolith reading. Age was estimated in juveniles and adults by counting annuli on otoliths. Age of early juveniles was determined by microincrement counts (considered to be daily rings). Age estimates of juveniles and adults ranged from 1 to 9 years, with a high percentage agreement between readings and low values of counting variability indices APE (3.3 %) and CV (4.7 %). Age of early juveniles ranged from 160 to 204 days, all showing an evident check at 32-35 days of age, tentatively linked to the first larval exogenous feeding. The estimated values of von Bertalanffy growth parameters L (a) and k were 53.55 cm and 0.22, respectively, and the index of growth performance P was 2.33. Hatching in P. charcoti takes place in late winter, from August to September. Compared to other notothenioids inhabiting the Seasonal Pack-ice Zone, P. charcoti is a relatively fast growing species with moderate longevity, sharing several biological characteristics with its sister species P. georgianus.</t>
  </si>
  <si>
    <t>[La Mesa, Mario] ISMAR CNR, Ist Sci Marine, I-60125 Ancona, Italy; [Catalano, Barbara] Ist Super Protez &amp; Ric Ambientale, ISPRA, I-00166 Rome, Italy; [Kock, Karl-Hermann] Johann Heinrich von Thunen Inst, Inst Seefischerei, D-22767 Hamburg, Germany; [Jones, Christopher D.] NOAA, SW Fisheries Sci Ctr, Natl Marine Fisheries Serv, La Jolla, CA 92037 USA</t>
  </si>
  <si>
    <t>Consiglio Nazionale delle Ricerche (CNR); Istituto di Scienze Marine (ISMAR-CNR); Italian Institute for Environmental Protection &amp; Research (ISPRA); Johann Heinrich von Thunen Institute; National Oceanic Atmospheric Admin (NOAA) - USA</t>
  </si>
  <si>
    <t>La Mesa, M (corresponding author), ISMAR CNR, Ist Sci Marine, I-60125 Ancona, Italy.</t>
  </si>
  <si>
    <t>m.lamesa@ismar.cnr.it</t>
  </si>
  <si>
    <t>Catalano, Barbara/GRR-7882-2022; CNR, Ismar/P-1247-2014</t>
  </si>
  <si>
    <t>CNR, Ismar/0000-0001-5351-1486</t>
  </si>
  <si>
    <t>PNRA (Italian National Antarctic Research Program)</t>
  </si>
  <si>
    <t>We thank all the crew members, personnel and scientific staff aboard of RV Polarstern and RV Moana Wave for their invaluable support in sampling activities. This study was supported by the PNRA (Italian National Antarctic Research Program). We thank J.T. Eastman, J.S. Christiansen and an anonymous referee for their useful advices.</t>
  </si>
  <si>
    <t>10.1007/s00300-012-1194-3</t>
  </si>
  <si>
    <t>WOS:000308331600009</t>
  </si>
  <si>
    <t>Vacchi, M; DeVries, AL; Evans, CW; Bottaro, M; Ghigliotti, L; Cutroneo, L; Pisano, E</t>
  </si>
  <si>
    <t>Vacchi, Marino; DeVries, Arthur L.; Evans, Clive W.; Bottaro, Massimiliano; Ghigliotti, Laura; Cutroneo, Laura; Pisano, Eva</t>
  </si>
  <si>
    <t>A nursery area for the Antarctic silverfish Pleuragramma antarcticum at Terra Nova Bay (Ross Sea): first estimate of distribution and abundance of eggs and larvae under the seasonal sea-ice</t>
  </si>
  <si>
    <t>Pleuragramma antarcticum; Sea-ice; Platelet ice; Terra Nova Bay; Antarctica</t>
  </si>
  <si>
    <t>EARLY-LIFE STAGES; DUMONT DURVILLE SEA; SPATIAL-DISTRIBUTION; INTERANNUAL VARIATIONS; MCMURDO SOUND; PLATELET ICE; PELAGIC LIFE; NOTOTHENIIDAE; FISHES; PISCES</t>
  </si>
  <si>
    <t>Pleuragramma antarcticum is the dominant pelagic fish in the waters of the continental shelf in high Antarctic regions, where it plays a key role in the food web. A nursery ground for eggs of this species was first identified in 2002 in Terra Nova Bay (Ross Sea), where eggs were found trapped in ice platelets under the sea-ice during the spring. As part of a monitoring program aimed at understanding the geographic and temporal characteristics of this nursery ground, the present study reports on surveys carried out in the austral springs of 2005 and 2006 using a simple and effective method for sampling from the sea-ice. These surveys enabled the evaluation of the spatial range of the nursery area of the Antarctic silverfish in the sea-ice of the coastal area of Victoria Land between the Coulman Island and the Drygalski Glacier Tongue. P. antarcticum eggs were concentrated in an area of Terra Nova Bay of about 270 km(2), encompassing two adjacent sites, Gerlache Inlet and Silverfish Bay. The present results add information on life cycle and hatching period of the Antarctic silverfish and confirm the importance of the Terra Nova Bay as a nursery area for this important species. Moreover, the survey points to the sea-ice cover and platelet ice as important environmental features of the nursery area.</t>
  </si>
  <si>
    <t>[Vacchi, Marino; Bottaro, Massimiliano] Univ Genoa, Museo Nazl Antartide, Inst Environm Protect &amp; Res ISPRA, I-16132 Genoa, Italy; [DeVries, Arthur L.] Univ Illinois, Dept Anim Biol, Urbana, IL 61801 USA; [Evans, Clive W.] Univ Auckland, Sch Biol Sci, Auckland 1142, New Zealand; [Ghigliotti, Laura; Cutroneo, Laura; Pisano, Eva] Univ Genoa, DipTeRis, I-16132 Genoa, Italy</t>
  </si>
  <si>
    <t>Italian Institute for Environmental Protection &amp; Research (ISPRA); University of Genoa; University of Illinois System; University of Illinois Urbana-Champaign; University of Auckland; University of Genoa</t>
  </si>
  <si>
    <t>Vacchi, M (corresponding author), Univ Genoa, Museo Nazl Antartide, Inst Environm Protect &amp; Res ISPRA, Viale Benedetto XV 3, I-16132 Genoa, Italy.</t>
  </si>
  <si>
    <t>m.vacchi@unige.it</t>
  </si>
  <si>
    <t>Ghigliotti, Laura/AAN-6843-2021; Evans, Clive/AAZ-4699-2021; Ghigliotti, Laura/J-3076-2012</t>
  </si>
  <si>
    <t>Ghigliotti, Laura/0000-0003-2139-1381; Evans, Clive/0000-0003-2888-842X; Bottaro, Massimiliano/0000-0001-7995-5288; Cutroneo, Laura/0000-0002-5480-419X</t>
  </si>
  <si>
    <t>Italian National Programme for Research in Antarctica (PNRA) [2004/8.04]</t>
  </si>
  <si>
    <t>Italian National Programme for Research in Antarctica (PNRA)</t>
  </si>
  <si>
    <t>This work was carried out within the project ECOFISH, supported by Italian National Programme for Research in Antarctica (PNRA project 2004/8.04). We thank John MacDonald for his input and Mike Taler and Federico Mazzei for their help and companionship in the field. Sara Ferrando helped in the preparation of figures.</t>
  </si>
  <si>
    <t>10.1007/s00300-012-1199-y</t>
  </si>
  <si>
    <t>WOS:000308331600012</t>
  </si>
  <si>
    <t>Rombolá, E; Marschoff, E; Coria, N</t>
  </si>
  <si>
    <t>Rombola, Emilce; Marschoff, Enrique; Coria, Nestor</t>
  </si>
  <si>
    <t>Analysis of the sources of variance in the mean size of krill consumed by Chinstrap and Adelie penguins at South Orkney Islands</t>
  </si>
  <si>
    <t>Chinstrap penguin; Adelie penguin; Euphausia superba; Size distribution-diet</t>
  </si>
  <si>
    <t>DIVING BEHAVIOR; EUPHAUSIA-SUPERBA; ANTARCTIC KRILL; PYGOSCELIS-ADELIAE; POPULATION-DYNAMICS; SHETLAND ISLANDS; PREDATORS; NETS; SEA; PERFORMANCE</t>
  </si>
  <si>
    <t>The CCAMLR Ecosystem Monitoring Program aims at detecting possible impacts of the krill fishery on predator populations. Population parameters of Chinstrap and Ad,lie penguins are monitored at Point Martin, Laurie Island, South Orkneys Islands as part of the Program. Diet information is collected to aid in the interpretation of population data. In the present study, the diet of both species is compared in order to detect differences between them as well as to ascertain whether the krill consumed by both species might be pooled in single estimates of prey parameters. A nested ANOVA model was fitted to the dataset obtained in the seasons from 1997/1998 to 2005/2006. The overall variance was decomposed into variance components: within penguins (krill in stomachs), between penguins (means within each date), between dates (date means in each season), and between years (annual means). The within penguins component was similar in both species (18 % difference), while the between penguins was 64 % larger in Adelies. The within and between penguins variance components of both species showed consistent interannual changes. The annual means of both species differed significantly in three seasons, but not consistently. The sources of variance are tentatively attributed to biological characteristics: the within penguins component would reflect searching and feeding at the individual level; the between penguins might be associated with their foraging ranges, an assumption to be tested tracking individuals. Given their differences, the information from both species should be viewed as complementary and not be pooled.</t>
  </si>
  <si>
    <t>[Rombola, Emilce; Marschoff, Enrique; Coria, Nestor] Inst Antartico Argentino, Buenos Aires, DF, Argentina</t>
  </si>
  <si>
    <t>Instituto Antartico Argentino</t>
  </si>
  <si>
    <t>Rombolá, E (corresponding author), Inst Antartico Argentino, Cerrito 1248,C1010AAZ, Buenos Aires, DF, Argentina.</t>
  </si>
  <si>
    <t>rombola_emilce@hotmail.com</t>
  </si>
  <si>
    <t>Rombola, Emilce Florencia/0000-0003-1863-1911</t>
  </si>
  <si>
    <t>10.1007/s00300-012-1201-8</t>
  </si>
  <si>
    <t>WOS:000308331600014</t>
  </si>
  <si>
    <t>Dartnall, HJG; Smith, VR</t>
  </si>
  <si>
    <t>Dartnall, Herbert J. G.; Smith, Valdon R.</t>
  </si>
  <si>
    <t>Freshwater invertebrates of sub-Antarctic Marion Island</t>
  </si>
  <si>
    <t>AFRICAN ZOOLOGY</t>
  </si>
  <si>
    <t>Marion Island; sub-Antarctic; freshwater invertebrates</t>
  </si>
  <si>
    <t>PRINCE-EDWARD-ISLANDS; COMMUNITIES; ANOMOPODA; FAUNA</t>
  </si>
  <si>
    <t>The freshwater habitats (mires, streams, lakes, pools and wallows) on sub-Antarctic Marion Island were examined for invertebrates. Sixty-eight species were found, including 45 new records for the Island. Of these 56 were bona fide aquatic invertebrates, the rest being terrestrial or brackish interlopers that had fallen or been blown into the water. The aquatic species include five platyhelminthes, a gastrotrich, three tardigrades, 28 rotifers, six nematodes, two annelids and 11 arthropods. Most are familiar species that have been recorded on other sub-Antarctic islands. The invertebrate faunas of the various freshwater habitats were basically similar in species composition, with the abundances of particular species dependent upon the water body's size, distance from the sea and degree of eutrophication resulting from seal and seabird manuring.</t>
  </si>
  <si>
    <t>[Dartnall, Herbert J. G.] Macquarie Univ, Dept Biol Sci, Sydney, NSW 2109, Australia; [Smith, Valdon R.] Univ Stellenbosch, Dept Bot &amp; Zool, ZA-7600 Stellenbosch, South Africa</t>
  </si>
  <si>
    <t>Macquarie University; Stellenbosch University</t>
  </si>
  <si>
    <t>Dartnall, HJG (corresponding author), Macquarie Univ, Dept Biol Sci, Sydney, NSW 2109, Australia.</t>
  </si>
  <si>
    <t>South African National Research Foundation [SNA200608-1600002]; Antarctica and Islands Directorate of the South African Department of Environmental Affairs and Tourism</t>
  </si>
  <si>
    <t>South African National Research Foundation(National Research Foundation - South Africa); Antarctica and Islands Directorate of the South African Department of Environmental Affairs and Tourism</t>
  </si>
  <si>
    <t>This study was funded by the South African National Research Foundation (grant SNA200608-1600002) and the fieldwork was supported logistically by the Antarctica and Islands Directorate of the South African Department of Environmental Affairs and Tourism. We thank J.U. Grobbelaar (University of the Free State) and U. Deutschlander for their companionship and assistance with the invertebrate sampling in 2007 and 2008, respectively. Our thanks also to I. Meiklejohn (University of Pretoria) who composed the map showing the locations of the water bodies sampled in this study; and to the following for their help the identifications, J. Cooper (University of Cape Town fishes), C. Erseus (Gothenburg University annelids), S. McInnes (British Antarctic Survey, Cambridge tardigrades), U. Nielsen (University of Western Sydney nematodes) and P.J.A. Pugh (Anglia Ruskin University, Cambridge mites).</t>
  </si>
  <si>
    <t>ZOOLOGICAL SOC SOUTHERN AFRICA</t>
  </si>
  <si>
    <t>SCOTTSVILLE</t>
  </si>
  <si>
    <t>AFRICAN ZOOLOGY CIRCULATION OFFICE, UNIV KWAZULU-NATAL, SCHOOL BIOL &amp; CONSERVATION SCI, P B X01, SCOTTSVILLE 3209, SOUTH AFRICA</t>
  </si>
  <si>
    <t>1562-7020</t>
  </si>
  <si>
    <t>2224-073X</t>
  </si>
  <si>
    <t>AFR ZOOL</t>
  </si>
  <si>
    <t>Afr. Zool.</t>
  </si>
  <si>
    <t>10.3377/004.047.0207</t>
  </si>
  <si>
    <t>V30VN</t>
  </si>
  <si>
    <t>WOS:000208843600002</t>
  </si>
  <si>
    <t>Wanless, RM; Ratcliffe, N; Angel, A; Bowie, BC; Cita, K; Hilton, GM; Kritzinger, P; Ryan, PG; Slabber, M</t>
  </si>
  <si>
    <t>Wanless, R. M.; Ratcliffe, N.; Angel, A.; Bowie, B. C.; Cita, K.; Hilton, G. M.; Kritzinger, P.; Ryan, P. G.; Slabber, M.</t>
  </si>
  <si>
    <t>Predation of Atlantic Petrel chicks by house mice on Gough Island</t>
  </si>
  <si>
    <t>ANIMAL CONSERVATION</t>
  </si>
  <si>
    <t>islands; house mouse; predation; seabirds; breeding success; daily survival estimates; demographic model; invasive species</t>
  </si>
  <si>
    <t>BREEDING BIOLOGY; REPRODUCTIVE SUCCESS; PTERODROMA; BIRDS; CONSERVATION; ERADICATION; MANAGEMENT; RAT</t>
  </si>
  <si>
    <t>The impacts of predation by invasive mammals on island fauna are a major driver of insular biodiversity loss. Devastating, hitherto unsuspected impacts of predatory house mice on breeding seabirds have been described recently. We studied the fate of 178 Atlantic Petrel Pterodroma incerta nests at Gough Island, over four seasons, from October 2003 to January 2008. Introduced house mice Mus musculus were found in all study burrows checked for mouse visits. From October 2003 to September 2004, we video-recorded attacks by mice on six (of 13) live, healthy Atlantic Petrel chicks and on one (of three) great shearwater Puffinus gravis chicks. In all years, chicks died from mouse attacks. Stage-specific daily nest survival rates were modelled, from which estimates of breeding success were derived that accounted for the variable exposure periods studied among years. Average daily survival rate of eggs was 0.998, and hatching success through the entire incubation period (55.5 days) was 0.924 [95% confidence interval (CI) 0.9030.940]. Daily chick survival rates were 0.990, which gave a modelled fledging success of 0.247 (CI 0.1650.338) over the 138-day chick period, and average annual breeding success (chicks fledged per breeding attempt) of 0.228 (CI 0.1500.318), which is low compared with congeners. Productivity estimates were used as a parameter in a population simulation model, which predicted a population multiplication rate (?) of 0.993 (CI?=?0.9661.021). However, in the one season studied from laying to fledging (2007), from 58 nests, only one chick fledged (1.7%). This suggests the wide errors on the model results may obscure a more severe reality. More than 60% of model simulations resulted in an International Union for Conservation of Nature classification of Endangered. Our results add support to calls to eradicate mice from Gough Island. More generally, mice cannot be ignored as a potential threat to island fauna, and island restoration and management plans should routinely include eradication of introduced mice.</t>
  </si>
  <si>
    <t>[Wanless, R. M.; Ryan, P. G.] Univ Cape Town, Percy FitzPatrick Inst, DST NRF Ctr Excellence, ZA-7701 Rondebosch, South Africa; [Ratcliffe, N.] NERC, British Antarct Survey, Cambridge, England; [Angel, A.] CORE Initiat, Rondebosch, South Africa; [Bowie, B. C.; Cita, K.; Kritzinger, P.; Slabber, M.] Directorate Antarct &amp; Isl, SANAP, Dept Environm Affairs, Cape Town, South Africa; [Hilton, G. M.] Royal Soc Protect Birds, Sandy SG19 2DL, Beds, England</t>
  </si>
  <si>
    <t>University of Cape Town; National Research Foundation - South Africa; UK Research &amp; Innovation (UKRI); Natural Environment Research Council (NERC); NERC British Antarctic Survey; Department of Environment, Forestry &amp; Fisheries; Royal Society for Protection of Birds</t>
  </si>
  <si>
    <t>Wanless, RM (corresponding author), Univ Cape Town, Percy FitzPatrick Inst, DST NRF Ctr Excellence, ZA-7701 Rondebosch, South Africa.</t>
  </si>
  <si>
    <t>rosswanless@gmail.com</t>
  </si>
  <si>
    <t>Hilton, Geoff/H-3086-2017</t>
  </si>
  <si>
    <t>Hilton, Geoff/0000-0001-9062-3030; Ryan, Peter/0000-0002-3356-2056</t>
  </si>
  <si>
    <t>Royal Society for the Protection of Birds; (South African) National Research Foundation; University of Cape Town; Natural Environment Research Council [bas0100025] Funding Source: researchfish; NERC [bas0100025] Funding Source: UKRI</t>
  </si>
  <si>
    <t>Royal Society for the Protection of Birds; (South African) National Research Foundation(National Research Foundation - South Africa); University of Cape Town; Natural Environment Research Council(UK Research &amp; Innovation (UKRI)Natural Environment Research Council (NERC)); NERC(UK Research &amp; Innovation (UKRI)Natural Environment Research Council (NERC))</t>
  </si>
  <si>
    <t>Logistical support was provided by the then South African Department of Environmental Affairs and Tourism (DEAT) through the South African National Antarctic Programme. Research was conducted with the permission of the Administrator and Island Council of Tristan da Cunha and with the approval of the Tristan Biodiversity Advisory Group. RMW received financial support from the Royal Society for the Protection of Birds, the (South African) National Research Foundation and the University of Cape Town.</t>
  </si>
  <si>
    <t>1367-9430</t>
  </si>
  <si>
    <t>1469-1795</t>
  </si>
  <si>
    <t>ANIM CONSERV</t>
  </si>
  <si>
    <t>Anim. Conserv.</t>
  </si>
  <si>
    <t>10.1111/j.1469-1795.2012.00534.x</t>
  </si>
  <si>
    <t>014VA</t>
  </si>
  <si>
    <t>WOS:000309402600009</t>
  </si>
  <si>
    <t>Barnes, J; Christian, C</t>
  </si>
  <si>
    <t>Barnes, James; Christian, Claire</t>
  </si>
  <si>
    <t>Protecting the Ross Sea</t>
  </si>
  <si>
    <t>10.1017/S0954102012000661</t>
  </si>
  <si>
    <t>WOS:000308721400001</t>
  </si>
  <si>
    <t>Pistorius, PA; Baylis, A; Crofts, S; Pütz, K</t>
  </si>
  <si>
    <t>Pistorius, Pierre A.; Baylis, Alastair; Crofts, Sarah; Puetz, Klemens</t>
  </si>
  <si>
    <t>Population development and historical occurrence of king penguins at the Falkland Islands</t>
  </si>
  <si>
    <t>Atlantic; census; monitoring; population recovery; seabirds</t>
  </si>
  <si>
    <t>APTENODYTES-PATAGONICUS; SOUTHERN-OCEAN; TRENDS; DIET; ROCKHOPPER; GENTOO; AVAILABILITY; VARIABILITY; INDICATORS; PREDATORS</t>
  </si>
  <si>
    <t>After an extended period of sporadic sightings of small numbers of king penguins at the Falkland Islands, they established themselves on Volunteer Point, situated at the north-east of the islands, by the late 1970s. By 1980, a small breeding population was present which yielded some 40 fledglings during that same year. Since 1991, the population has been monitored annually and the resulting fledgling counts analysed to assess population trends. The population demonstrated a significant increase over the past three decades, at about 10% per annum, with time explaining 75% of the variation in count data. The current population is estimated to be 720 breeding pairs. Despite several authors having alluded to the existence of a large colony of king penguins at the Falklands prior to human exploitation, we found no evidence in support of this. We furthermore found no evidence in the literature in support of exploitation for king penguin oil during the 19th century. Unlike at other breeding sites, increasing numbers of king penguins at the Falklands is consequently unlikely to be a recovery response following exploitation, but rather an indication of either increased immigration or of improved feeding conditions.</t>
  </si>
  <si>
    <t>[Pistorius, Pierre A.] Nelson Mandela Metropolitan Univ, Dept Zool, Percy Fitzpatrick Inst African Ornithol, DST NRF Ctr Excellence, ZA-6031 Port Elizabeth, South Africa; [Puetz, Klemens] Antarctic Res Trust, D-27432 Bremervorde, Germany</t>
  </si>
  <si>
    <t>Nelson Mandela University; National Research Foundation - South Africa</t>
  </si>
  <si>
    <t>Pistorius, PA (corresponding author), Nelson Mandela Metropolitan Univ, Dept Zool, Percy Fitzpatrick Inst African Ornithol, DST NRF Ctr Excellence, South Campus, ZA-6031 Port Elizabeth, South Africa.</t>
  </si>
  <si>
    <t>Pierre.pistorius@nmmu.ac.za</t>
  </si>
  <si>
    <t>Baylis, Alastair/H-9471-2019</t>
  </si>
  <si>
    <t>Baylis, Alastair/0000-0002-5167-0472; Pistorius, Pierre/0000-0001-6561-7069; Puetz, Klemens/0000-0003-1375-2669</t>
  </si>
  <si>
    <t>Falkland Islands Government through the Environmental Studies Budget</t>
  </si>
  <si>
    <t>The Falkland Islands Seabird Monitoring Programme is financially supported by the Falkland Islands Government through the Environmental Studies Budget. Falklands Conservation thanks the landowners who supported the study in different ways and everyone who participated in data collection throughout the years. Special thanks are due to Ian Strange and Robin Woods for their input and contributions in terms of the historical occurrence of king penguins at the Falkland Islands. Comments from two anonymous reviewers greatly improved the manuscript and were much appreciated.</t>
  </si>
  <si>
    <t>10.1017/S0954102012000302</t>
  </si>
  <si>
    <t>WOS:000308721400002</t>
  </si>
  <si>
    <t>Klein, AG; Sweet, ST; Wade, TL; Sericano, JL; Kennicutt, MC</t>
  </si>
  <si>
    <t>Klein, Andrew G.; Sweet, Stephen T.; Wade, Terry L.; Sericano, Jose L.; Kennicutt, Mahlon C., II</t>
  </si>
  <si>
    <t>Spatial patterns of total petroleum hydrocarbons in the terrestrial environment at McMurdo Station, Antarctica</t>
  </si>
  <si>
    <t>Antarctic Treaty; environmental monitoring; soil; TPH</t>
  </si>
  <si>
    <t>NATURAL ATTENUATION; CONTAMINATION; SOILS; SPILLS; BIODEGRADATION; ASSOCIATION; SEDIMENTS</t>
  </si>
  <si>
    <t>Fossil fuels are used throughout the United States Antarctic Program. Accidental releases of petroleum hydrocarbons are the leading source of environmental contamination. Since 1999 McMurdo Station has been the site of the most extensive environmental monitoring programme in Antarctica. Nearly 2500 surface soil samples were collected from 1999-2007 to determine the spatial footprint of petroleum hydrocarbons. Total petroleum hydrocarbons (TPH) concentrations were measured using a high-resolution capillary gas chromatographic method with flame ionization detection. Three distinct TPH patterns were detected: low molecular weight gasoline/JP5/AN8, residual weathered petroleum and an unresolved complex mixture of high molecular weight material. Overall TPH concentrations were low with 38% of the samples having TPH concentrations below 30 ppm and 58% below 100 ppm. Total petroleum hydrocarbon concentrations above 30 ppm are largely confined to the central portions of the station, along roads and in other areas where elevated TPH would be expected. Peripheral areas typically have TPH concentrations below 15 ppm. Areas of elevated TPH concentrations are patchy and of limited spatial extent, seldom extending over distances of 100 m. This environmental monitoring programme is ongoing and can serve as an example to other Antarctic programmes concerned with monitoring environmental impacts.</t>
  </si>
  <si>
    <t>[Klein, Andrew G.] Texas A&amp;M Univ, Dept Geog, College Stn, TX 77843 USA; [Sweet, Stephen T.; Wade, Terry L.; Sericano, Jose L.] Texas A&amp;M Univ, Geochem &amp; Environm Res Grp, College Stn, TX 77843 USA; [Kennicutt, Mahlon C., II] Texas A&amp;M Univ, Dept Oceanog, College Stn, TX 77843 USA</t>
  </si>
  <si>
    <t>Texas A&amp;M University System; Texas A&amp;M University College Station; Texas A&amp;M University System; Texas A&amp;M University College Station; Texas A&amp;M University System; Texas A&amp;M University College Station</t>
  </si>
  <si>
    <t>Klein, AG (corresponding author), Texas A&amp;M Univ, Dept Geog, MS 3147, College Stn, TX 77843 USA.</t>
  </si>
  <si>
    <t>klein@geog.tamu.edu</t>
  </si>
  <si>
    <t>Klein, Andrew/AGK-9609-2022</t>
  </si>
  <si>
    <t>Klein, Andrew/0000-0003-3804-8205; Sweet, Stephen/0000-0002-1441-8198</t>
  </si>
  <si>
    <t>National Science Foundation's Office of Polar Programs [OPP-0354573, OPP-9909445]; DOD - Army Corp of Engineers Cold Regions Research &amp; Engineering Laboratory [W913E5-05-C-00002, W913E5-06-C-0009, W913E5-07-C-0005, W913E5-08-C-0008]</t>
  </si>
  <si>
    <t>National Science Foundation's Office of Polar Programs(National Science Foundation (NSF)); DOD - Army Corp of Engineers Cold Regions Research &amp; Engineering Laboratory</t>
  </si>
  <si>
    <t>Financial support for this study was provided by the National Science Foundation's Office of Polar Programs Grant Numbers: OPP-0354573, and OPP-9909445. Contract support was provided by DOD - Army Corp of Engineers Cold Regions Research &amp; Engineering Laboratory Contract Numbers: W913E5-05-C-00002 (Phase 1), W913E5-06-C-0009 (Phase 2), W913E5-07-C-0005 (Phase 3), and W913E5-08-C-0008 (Phase 4). The authors are indebted to the large number of individuals who have helped collect soil samples over the years including: Dianna Gielstra, John Hinton, Guy Denoux, Sally Morehead, Kristi Jones, Terrence Palmer, April Gossman, Marietta Cleckley, Larry Hyde, Ann Linsley and Jennifer Pollack. The authors also wish to thank Raytheon Polar Services Environmental Health and Safety personnel, including Cindy Dean. The constructive comments of the reviewers are also gratefully acknowledged.</t>
  </si>
  <si>
    <t>10.1017/S0954102012000429</t>
  </si>
  <si>
    <t>WOS:000308721400004</t>
  </si>
  <si>
    <t>Del Vento, S; Halsall, C; Gioia, R; Jones, K; Dachs, J</t>
  </si>
  <si>
    <t>Del Vento, Sabino; Halsall, Crispin; Gioia, Rosalinda; Jones, Kevin; Dachs, Jordi</t>
  </si>
  <si>
    <t>Volatile per- and polyfluoroalkyl compounds in the remote atmosphere of the western Antarctic Peninsula: an indirect source of perfluoroalkyl acids to Antarctic waters?</t>
  </si>
  <si>
    <t>Polar region; Contaminants; Precursors; Air mass; Long-range transport</t>
  </si>
  <si>
    <t>PERFLUORINATED COMPOUNDS; PERFLUOROCARBOXYLIC ACIDS; CHEMISTRY; TRANSPORT; OXIDATION; ALCOHOLS; TRENDS; FATE</t>
  </si>
  <si>
    <t>Volatile per- and polyfluoroalkyl compounds were measured in air in the vicinity of the Western Antarctic Peninsula during February 2009 (Austral summer). The 6: 2, 8: 2 and 10: 2 fluorotelomer alcohols (FTOHs) were the most abundant compounds with 8: 2 and 10: 2 FTOH concentrations averaging 9.9 and 7.4 pg m(-3) respectively, followed by the shorter chain (C-4) compounds of methyl perfluorobutane sulfonamide (MeFBSA) and sulfonamidoethanol (MeFBSE) with average concentrations of similar to 3 to 4 pg m(-3). Methyl/ethyl fluorooctane sulfonamides and sulfonamidoethanols (FOSA/Es) were &lt;1 pg m(-3) in all air samples (n = 8). The concentrations of FTOHs and FOSAs were in good agreement with a previous study (2007) that measured these chemicals in the background atmosphere of the Southern Ocean, although the levels of the MeFBSA/E were found to be similar to 10-fold higher and possibly indicative of the increased use of these chemicals. Air mass back trajectories revealed that air mass movement was from the Antarctic landmass or from the Southern Ocean, the latter in keeping with the prevailing direction of the Antarctic Circulation Current. Those samples corresponding to air passing over the Antarctic Peninsula did not show notable differences in chemical concentrations or profile indicating that the scientific bases located on or near the Peninsula did not appear to influence PFC levels in the regional atmosphere. Given the lack of air mass incursions from the north (i.e. from the South American continent) then the levels measured here are representative of background concentrations around Antarctica. However, the relatively high levels of MeFBSE were surprising given the reported reactivity of this chemical and short atmospheric residence time. It is likely that this compound, alongside MeFBSA, is providing a source of C-2-C-4 perfluoroalkyl acids (PFAs) to Antarctic surface waters. We recommend that long-term air monitoring be established in Antarctica for volatile PFCs and possibly accompanied by deposition monitoring for the PFAs. (C) Author(s) 2012. This work is distributed under the Creative Commons Attribution 3.0 License.</t>
  </si>
  <si>
    <t>[Del Vento, Sabino; Halsall, Crispin; Jones, Kevin] Univ Lancaster, Lancaster Environm Ctr, Lancaster LA1 4YQ, England; [Gioia, Rosalinda; Dachs, Jordi] IDAEA CSIC, Dept Environm Chem, Barcelona 08034, Catalunya, Spain</t>
  </si>
  <si>
    <t>Lancaster University; Consejo Superior de Investigaciones Cientificas (CSIC); CSIC - Centro de Investigacion y Desarrollo Pascual Vila (CID-CSIC); CSIC - Instituto de Diagnostico Ambiental y Estudios del Agua (IDAEA)</t>
  </si>
  <si>
    <t>Halsall, C (corresponding author), Univ Lancaster, Lancaster Environm Ctr, Lancaster LA1 4YQ, England.</t>
  </si>
  <si>
    <t>c.halsall@lancaster.ac.uk</t>
  </si>
  <si>
    <t>Jones, Kevin C/F-4296-2014; Halsall, Crispin/D-8135-2014</t>
  </si>
  <si>
    <t>Jones, Kevin Christopher/0000-0001-7108-9776; Dachs, Jordi/0000-0002-4237-169X; Halsall, Crispin/0000-0001-8007-9756</t>
  </si>
  <si>
    <t>Spanish ATOS-II campaign; UK NERC [NE/E00511X/1]; NERC [NE/E00511X/1] Funding Source: UKRI; Natural Environment Research Council [NE/E00511X/1, ceh010010] Funding Source: researchfish</t>
  </si>
  <si>
    <t>Spanish ATOS-II campaign; UK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</si>
  <si>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wish to thank the captain and crew of the RV Hesperides for help and support during the campaign. The work was funded through the Spanish ATOS-II campaign and through the UK NERC; grant NE/E00511X/1 'ArcPOP'. The authors also acknowledge the NOAA Air Resources Laboratory (ARL) for the provision of the HYSPLIT transport and dispersion model (http://ready.arl.noaa.gov) used in this publication.</t>
  </si>
  <si>
    <t>10.5094/APR.2012.051</t>
  </si>
  <si>
    <t>hybrid, Green Accepted, Green Submitted</t>
  </si>
  <si>
    <t>WOS:000310516300013</t>
  </si>
  <si>
    <t>Nagel, L; Budke, C; Erdmann, RS; Dreyer, A; Wennemers, H; Koop, T; Sewald, N</t>
  </si>
  <si>
    <t>Nagel, Lilly; Budke, Carsten; Erdmann, Roman S.; Dreyer, Axel; Wennemers, Helma; Koop, Thomas; Sewald, Norbert</t>
  </si>
  <si>
    <t>Influence of Sequential Modifications and Carbohydrate Variations in Synthetic AFGP Analogues on Conformation and Antifreeze Activity</t>
  </si>
  <si>
    <t>CHEMISTRY-A EUROPEAN JOURNAL</t>
  </si>
  <si>
    <t>POLYPROLINE-II CONFORMATION; FISH ANTIFREEZE; ICE RECRYSTALLIZATION; CIRCULAR-DICHROISM; HYDROGEN-BONDS; ANTARCTIC FISH; TRIPLE-HELIX; SOLID-PHASE; GLYCOPROTEINS; PEPTIDES</t>
  </si>
  <si>
    <t>Certain Arctic and Antarctic ectotherm species have developed strategies for survival under low temperature conditions that, among others, consist of antifreeze glycopeptides (AFGP). AFGP form a class of biological antifreeze agents that exhibit the ability to inhibit ice growth in vitro and in vivo and, hence, enable life at temperatures below the freezing point. AFGP usually consist of a varying number of (Ala-Ala-Thr)(n) units (n=4-55) with the disaccharide beta-D-galactosyl-(1 -&gt; 3)-alpha-N-acetyl-d-galactosamine glycosidically attached to every threonine side chain hydroxyl group. AFGP have been shown to adopt polyproline II helical conformation. Although this pattern is highly conserved among different species, microheterogeneity concerning the amino acid composition usually occurs; for example, alanine is occasionally replaced by proline in smaller AFGP. The influence of minor and major sequence mutations on conformation and antifreeze activity of AFGP analogues was investigated by replacement of alanine by proline and glycosylated threonine by glycosylated hydroxyproline. The target compounds were prepared by using microwave-enhanced solid phase peptide synthesis. Furthermore, artificial analogues were obtained by copper-catalyzed azide-alkyne cycloaddition (CuAAC): propargyl glycosides were treated with polyproline helix II-forming peptides comprising (Pro-Azp-Pro)(n) units (n = 2-4) that contained 4-azidoproline (Azp). The conformations of all analogues were examined by circular dichroism (CD). In addition, microphysical analysis was performed to provide information on their inhibitory effect on ice recrystallization.</t>
  </si>
  <si>
    <t>[Nagel, Lilly; Budke, Carsten; Dreyer, Axel; Koop, Thomas; Sewald, Norbert] Univ Bielefeld, D-33615 Bielefeld, Germany; [Erdmann, Roman S.; Wennemers, Helma] ETH, Organ Chem Lab, CH-8093 Zurich, Switzerland</t>
  </si>
  <si>
    <t>University of Bielefeld; Swiss Federal Institutes of Technology Domain; ETH Zurich</t>
  </si>
  <si>
    <t>Sewald, N (corresponding author), Univ Bielefeld, Univ Str 25, D-33615 Bielefeld, Germany.</t>
  </si>
  <si>
    <t>norbert.sewald@uni-bielefeld.de</t>
  </si>
  <si>
    <t>Sewald, Norbert/0000-0002-0309-2655; Wennemers, Helma/0000-0002-3075-5741; Koop, Thomas/0000-0002-7571-3684</t>
  </si>
  <si>
    <t>Deutsche Forschungsgemeinschaft [SFB 613]; Bielefeld University</t>
  </si>
  <si>
    <t>Deutsche Forschungsgemeinschaft(German Research Foundation (DFG)); Bielefeld University</t>
  </si>
  <si>
    <t>The authors gratefully acknowledge support from Deutsche Forschungsgemeinschaft (SFB 613, Project A8). L.N. was funded by a PhD fellowship of Bielefeld University. Zsuzsa Majer (Eotvos Lorand University Budapest) contributed helpful suggestions.</t>
  </si>
  <si>
    <t>WILEY-V C H VERLAG GMBH</t>
  </si>
  <si>
    <t>WEINHEIM</t>
  </si>
  <si>
    <t>POSTFACH 101161, 69451 WEINHEIM, GERMANY</t>
  </si>
  <si>
    <t>0947-6539</t>
  </si>
  <si>
    <t>1521-3765</t>
  </si>
  <si>
    <t>CHEM-EUR J</t>
  </si>
  <si>
    <t>Chem.-Eur. J.</t>
  </si>
  <si>
    <t>10.1002/chem.201202119</t>
  </si>
  <si>
    <t>Chemistry, Multidisciplinary</t>
  </si>
  <si>
    <t>012LT</t>
  </si>
  <si>
    <t>WOS:000309238400030</t>
  </si>
  <si>
    <t>Du, H; Doblas-Reyes, FJ; García-Serrano, J; Guemas, V; Soufflet, Y; Wouters, B</t>
  </si>
  <si>
    <t>Du, H.; Doblas-Reyes, F. J.; Garcia-Serrano, J.; Guemas, V.; Soufflet, Y.; Wouters, B.</t>
  </si>
  <si>
    <t>Sensitivity of decadal predictions to the initial atmospheric and oceanic perturbations</t>
  </si>
  <si>
    <t>Decadal; Ensemble; Perturbation; Prediction; Spread</t>
  </si>
  <si>
    <t>TERM CLIMATE-CHANGE; SURFACE-TEMPERATURE; PROBABILISTIC FORECASTS; SEA-ICE; REANALYSIS; SYSTEM</t>
  </si>
  <si>
    <t>A coupled global atmosphere-ocean model is employed to investigate the impact of initial perturbation methods on the behaviour of five-member ensemble decadal re-forecasts. Three initial-condition perturbation strategies, atmosphere only, ocean only and atmosphere-ocean, have been used and the impact on selected variables have been investigated. The impact has been assessed in terms of climate drift, forecast quality and spread. The simulated global means of near-surface air temperature (T2M), sea surface temperature (SST) and sea ice area (SIA) for both Arctic and Antarctic show reasonably good quality, in spite of the non-negligible drift of the model. The skill in terms of correlation is not significantly affected by the particular perturbation method employed. The ensemble spread generated for T2M, SST and land surface precipitation (PCP) saturates quickly with any of the perturbation methods. However, for SIA, Atlantic meridional overturning circulation (AMOC) and ocean heat content (OHC), the spread increases substantially during the forecast time when ocean perturbations are applied. Ocean perturbations are particularly important for Antarctic SIA and OHC for the middle and deep layers of the ocean. The results will be helpful in the design of ensemble prediction experiments.</t>
  </si>
  <si>
    <t>[Du, H.; Doblas-Reyes, F. J.; Garcia-Serrano, J.; Guemas, V.; Soufflet, Y.] IC3, Barcelona, Spain; [Doblas-Reyes, F. J.] ICREA, Barcelona, Spain; [Wouters, B.] Royal Netherlands Meteorol Inst KNMI, De Bilt, Netherlands</t>
  </si>
  <si>
    <t>Institut Catala de Ciencies del Clima (IC3); ICREA; Royal Netherlands Meteorological Institute</t>
  </si>
  <si>
    <t>Du, H (corresponding author), IC3, Barcelona, Spain.</t>
  </si>
  <si>
    <t>vguemas@ic3.cat</t>
  </si>
  <si>
    <t>García-Serrano, Javier/I-5058-2015; Wouters, Bert/AAA-4254-2019; Guemas, Virginie/B-9090-2016; Doblas-Reyes, Francisco/C-1228-2016</t>
  </si>
  <si>
    <t>García-Serrano, Javier/0000-0003-3913-0876; Wouters, Bert/0000-0002-1086-2435; Guemas, Virginie/0000-0002-6340-3558; Doblas-Reyes, Francisco/0000-0002-6622-4280</t>
  </si>
  <si>
    <t>EU [FP7-ENV-2009-1-243964]; MICINN [CGL2010-20657]; ICREA Funding Source: Custom</t>
  </si>
  <si>
    <t>EU(European Union (EU)); MICINN(Spanish Government); ICREA(ICREA)</t>
  </si>
  <si>
    <t>This work was supported by the EU-funded QWeCI (FP7-ENV-2009-1-243964) and the MICINN-funded RUCSS (CGL2010-20657) projects. The authors thankfully acknowledge the computer resources, technical expertise and assistance provided by the Red Espanola de Supercomputacion (RES).</t>
  </si>
  <si>
    <t>10.1007/s00382-011-1285-9</t>
  </si>
  <si>
    <t>WOS:000309346100028</t>
  </si>
  <si>
    <t>Koh, EY; Cowie, ROM; Simpson, AM; O'Toole, R; Ryan, KG</t>
  </si>
  <si>
    <t>Koh, Eileen Y.; Cowie, Rebecca O. M.; Simpson, Aimee M.; O'Toole, Ronan; Ryan, Ken G.</t>
  </si>
  <si>
    <t>The origin of cyanobacteria in Antarctic sea ice: marine or freshwater?</t>
  </si>
  <si>
    <t>ENVIRONMENTAL MICROBIOLOGY REPORTS</t>
  </si>
  <si>
    <t>16S RIBOSOMAL-RNA; LARGE-SUBUNIT GENES; COMMUNITY STRUCTURE; DIVERSITY; MICROBES; LAKE; PCR</t>
  </si>
  <si>
    <t>Cyanobacteria play an important role in the primary productivity of many ecosystems and are dominant in non-marine polar environments. Apart from detecting low levels of cyanobacteria-like pigments in the Southern Ocean, little effort has been spent in trying to elucidate Cyanobacteria in Antarctic sea ice. Here, we report the first use of culture, microscope, microarray and molecular techniques to show that marine Cyanobacteria are rare or absent in sea ice. Our infrequent positive signals were most closely related to freshwater Cyanobacteria from neighbouring terrestrial sources, which illustrates our techniques were sensitive enough to find sea-ice cyanobacteria if they were present. It is still possible that minute quantity of marine cyanobacteria may exist in sea ice and do not contribute significantly to the polar marine ecosystems.</t>
  </si>
  <si>
    <t>[Koh, Eileen Y.; Cowie, Rebecca O. M.; Simpson, Aimee M.; O'Toole, Ronan; Ryan, Ken G.] Victoria Univ Wellington, Sch Biol Sci, Wellington 6140, New Zealand</t>
  </si>
  <si>
    <t>Victoria University Wellington</t>
  </si>
  <si>
    <t>Koh, EY (corresponding author), Natl Univ Singapore, Dept Microbiol, Yong Loo Lin Sch Med, MD-04,5 Sci Dr 2, Singapore 119077, Singapore.</t>
  </si>
  <si>
    <t>koh_eileen@yahoo.com</t>
  </si>
  <si>
    <t>Koh, Eileen/O-1104-2019; O'Toole, Ronan F/J-7280-2014; Ryan, Ken/F-5652-2013</t>
  </si>
  <si>
    <t>Koh, Eileen/0000-0002-9378-6334; O'Toole, Ronan F/0000-0002-4579-4479; Ryan, Ken/0000-0001-7075-0112</t>
  </si>
  <si>
    <t>New Zealand FRST [VICX0706]; VUW SFRG [103167]</t>
  </si>
  <si>
    <t>New Zealand FRST(New Zealand Foundation for Research, Science and Technology); VUW SFRG</t>
  </si>
  <si>
    <t>We thank members of Event K043 for their help with field sampling during 2007 and 2008, and acknowledge the logistical and field support of Antarctica NZ, especially S. Gordon. We thank M. Severgnini for performing the microarray analysis. This research was supported by New Zealand FRST grant VICX0706 to K. G. R. and VUW SFRG grant 103167 to E. Y. K.</t>
  </si>
  <si>
    <t>1758-2229</t>
  </si>
  <si>
    <t>ENV MICROBIOL REP</t>
  </si>
  <si>
    <t>Environ. Microbiol. Rep.</t>
  </si>
  <si>
    <t>10.1111/j.1758-2229.2012.00346.x</t>
  </si>
  <si>
    <t>Environmental Sciences; Microbiology</t>
  </si>
  <si>
    <t>Environmental Sciences &amp; Ecology; Microbiology</t>
  </si>
  <si>
    <t>015KW</t>
  </si>
  <si>
    <t>WOS:000309445800002</t>
  </si>
  <si>
    <t>Antony, R; Mahalinganathan, K; Krishnan, KP; Thamban, M</t>
  </si>
  <si>
    <t>Antony, Runa; Mahalinganathan, K.; Krishnan, K. P.; Thamban, Meloth</t>
  </si>
  <si>
    <t>Microbial preference for different size classes of organic carbon: a study from Antarctic snow</t>
  </si>
  <si>
    <t>Bacteria; Carbon utilization; Snow; Antarctica</t>
  </si>
  <si>
    <t>POLAR ICE CORES; TRANSPORT SYSTEMS; BACTERIA; RELEASE; PHYTOPLANKTON; MATTER; GROWTH; ACIDS; NOV</t>
  </si>
  <si>
    <t>Significance of carbon cycling in polar ecosystems is well recognized. Yet, bacteria in surface snow have received less attention in terms of their potential in carbon cycling. Here, we present results on carbon utilization by bacterial communities in three surface snow samples from Antarctica collected along a coastal to inland transect. Microcosm studies were conducted over 8 days at 5 +/- 1A degrees C to study carbon metabolism in different combinations of added low molecular weight (LMW (glucose, &lt; 1 kDa)) and high molecular weight (HMW (starch, &gt; 1 kDa)) substrates (final 20 ppm). The total organic carbon (TOC) in the snow samples decreased with time at rates ranging from non-detectable to 1.4 ppm day(-1) with rates highest in snow samples from inland region. In addition, carbon utilization studies were also carried out with bacterial isolates LH1, LH2, and LH4 belonging to the genus Cellulosimicrobium, Bacillus, and Ralstonia, respectively, isolated from the snow samples. Studies with strain LH2 in different amendments of glucose and starch showed that TOC decreased with time in all amendments at a rate of 0.9-1.5 ppm day(-1) with highest rates of 1.4-1.5 ppm day(-1) in amendments containing a higher proportion of starch. The bacterial isolates were also studied to determine their ability to utilize other LMW and HMW compounds. They utilized diverse substrates like carbohydrates, amino acids, amines, amides, complex polymers, etc., of molecular mass &lt; 100 Da, 100-500 Da, &gt; 500 Da-1 kDa, and &gt; 1 kDa preferring (up to 31 times) substrates with mass of &gt; 1 kDa than &lt; 1 kDa. The ability of bacteria in snow to utilize diverse LMW and HMW substrates indicates that they could be important in the uptake of similar compounds in snow and therefore potentially govern snow chemistry.</t>
  </si>
  <si>
    <t>[Antony, Runa; Mahalinganathan, K.; Krishnan, K. P.; Thamban, Meloth] Natl Ctr Antarctic &amp; Ocean Res, Vasco Da Gama 403804, Goa, India</t>
  </si>
  <si>
    <t>Antony, R (corresponding author), Natl Ctr Antarctic &amp; Ocean Res, Vasco Da Gama 403804, Goa, India.</t>
  </si>
  <si>
    <t>runa@ncaor.org</t>
  </si>
  <si>
    <t>P, Krishnan K/ABF-8783-2020</t>
  </si>
  <si>
    <t>, K. P. Krishnan/0000-0003-1101-657X; Kanthanathan, Mahalinganathan/0000-0003-3407-3972; Thamban, Meloth/0000-0003-3379-8189; Antony, Runa/0000-0003-4829-4207</t>
  </si>
  <si>
    <t>10.1007/s10661-011-2391-1</t>
  </si>
  <si>
    <t>001DI</t>
  </si>
  <si>
    <t>WOS:000308439900008</t>
  </si>
  <si>
    <t>Grémillet, D; Meslin, L; Lescroël, A</t>
  </si>
  <si>
    <t>Gremillet, David; Meslin, Laurence; Lescroel, Amelie</t>
  </si>
  <si>
    <t>Heat dissipation limit theory and the evolution of avian functional traits in a warming world</t>
  </si>
  <si>
    <t>FUNCTIONAL ECOLOGY</t>
  </si>
  <si>
    <t>allometry; animal energetics; bird body temperature; brood patch; great Cormorant; metabolic theory of ecology; plumage coloration; plumage insulation; seabirds</t>
  </si>
  <si>
    <t>SUSTAINED ENERGY-INTAKE; METABOLIC-RATE; FUR REMOVAL; PLUMAGE; BIRDS; TEMPERATURE; ADJUSTMENTS; PERFORMANCE; LACTATION; INDICATOR</t>
  </si>
  <si>
    <t>It is generally assumed that animal energy expenditure is limited by energy acquisition. In a series of publications, Speakman, Krol and colleagues argue that the capacity to dissipate metabolic heat may also limit maximum rates of energy expenditure in endotherms (heat dissipation limit theory HDL theory). The implications of the HDL theory for the evolution of avian functional traits are substantial and open fascinating research perspectives. Notably, the HDL theory leads us to (i) link elevated bird body temperatures with their capacity to achieve higher rates of heat loss and of energy expenditure, (ii) reconsider the evolution of avian plumage patterns and speculate upon the capacity of white birds to achieve higher field metabolic rates than darker relatives, (iii) hypothesize that the avian brood patch also functions as a thermal window allowing birds to shed excess heat and (iv) revise our current view of the adaptive significance of limited plumage thermal insulation in great cormorants. Such features have important implications for the capacity of birds to cope with global warming and for the design of mechanistic models of animal energetics aiming at predicting their responses to changing environmental conditions.</t>
  </si>
  <si>
    <t>[Gremillet, David] CNRS, Ctr Ecol Fonct &amp; Evolut, UMR5175, F-34293 Montpellier 05, France; [Gremillet, David] Univ Cape Town, Percy FitzPatrick Inst, ZA-7701 Rondebosch, South Africa; [Gremillet, David] Univ Cape Town, DST NRF Excellence Ctr, ZA-7701 Rondebosch, South Africa; [Meslin, Laurence] Univ Montpellier 2, Inst Sci Evolut Montpellier, CNRS, CNRS UMII IRD UMR5554, F-34095 Montpellier 5, France; [Lescroel, Amelie] Univ Rennes 1, URU420, Museum Natl Hist Nat, UMR 7204, F-35042 Rennes, France</t>
  </si>
  <si>
    <t>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University of Cape Town; University of Cape Town; Universite de Montpellier; Centre National de la Recherche Scientifique (CNRS); Centre National de la Recherche Scientifique (CNRS); CNRS - Institute of Ecology &amp; Environment (INEE); Museum National d'Histoire Naturelle (MNHN); Universite de Rennes; Sorbonne Universite</t>
  </si>
  <si>
    <t>Grémillet, D (corresponding author), CNRS, Ctr Ecol Fonct &amp; Evolut, UMR5175, 1919 Route Mende, F-34293 Montpellier 05, France.</t>
  </si>
  <si>
    <t>david.gremillet@cefe.cnrs.fr</t>
  </si>
  <si>
    <t>Gremillet, David/W-1946-2018</t>
  </si>
  <si>
    <t>Gremillet, David/0000-0002-7711-9398</t>
  </si>
  <si>
    <t>Centre National de la Recherche Scientifique; French Polar Institute [388]; US National Science Foundation [OPP 0944411]; Directorate For Geosciences; Office of Polar Programs (OPP) [0944411] Funding Source: National Science Foundation</t>
  </si>
  <si>
    <t>Centre National de la Recherche Scientifique(Centre National de la Recherche Scientifique (CNRS)); French Polar Institute; US National Science Foundation(National Science Foundation (NSF)); Directorate For Geosciences; Office of Polar Programs (OPP)(National Science Foundation (NSF)NSF - Directorate for Geosciences (GEO))</t>
  </si>
  <si>
    <t>DG is funded by the Centre National de la Recherche Scientifique, the French Polar Institute (grant 388), LM by the Centre National de la Recherche Scientifique and AL by the US National Science Foundation (OPP 0944411). During writing, DG and AL benefited from the support of the US Antarctic Programme and US National Science Foundation. We warmly thank David G. Ainley and the Cape Crozier field crew for stimulating discussions, John R. Speakman and two referees for highly pertinent input.</t>
  </si>
  <si>
    <t>0269-8463</t>
  </si>
  <si>
    <t>1365-2435</t>
  </si>
  <si>
    <t>FUNCT ECOL</t>
  </si>
  <si>
    <t>Funct. Ecol.</t>
  </si>
  <si>
    <t>10.1111/j.1365-2435.2012.02048.x</t>
  </si>
  <si>
    <t>014QT</t>
  </si>
  <si>
    <t>WOS:000309391500002</t>
  </si>
  <si>
    <t>Greenwood, RC; Franchi, IA; Gibson, JM; Benedix, GK</t>
  </si>
  <si>
    <t>Greenwood, R. C.; Franchi, I. A.; Gibson, J. M.; Benedix, G. K.</t>
  </si>
  <si>
    <t>Oxygen isotope variation in primitive achondrites: The influence of primordial, asteroidal and terrestrial processes</t>
  </si>
  <si>
    <t>NORTHWEST AFRICA 1500; METEORITICAL BULLETIN; AQUEOUS ALTERATION; HIGH-PRECISION; SOLAR-SYSTEM; NOBLE-GASES; PARENT BODY; FRACTIONATION; BRACHINITES; CHEMISTRY</t>
  </si>
  <si>
    <t>A detailed oxygen isotope study of the acapulcoites, lodranites, winonaites, brachinites and various related achondrites has been undertaken to investigate the nature of their precursor materials. High levels of terrestrial alteration displayed by many of these samples have been mitigated by leaching in ethanolamine thioglycollate (EATG) solution. Due to their high metal and sulphide content, acapulcoite, lodranite and winonaite samples show much greater isotopic shifts during weathering than brachinites. As observed in previous studies, Antarctic weathered finds are displaced to lighter oxygen isotope compositions and non-Antarctic finds to heavier values. Leached primitive achondrite residues continue to show high levels of oxygen isotope heterogeneity. This variation is reflected in the 2 sigma error on group mean Delta O-17 values, which decrease in the following order: acapulcoite-lodranite clan &gt; brachinites &gt; winonaites. On an oxygen three-isotope diagram, the acapulcoite-lodranite clan define a limited trend with a slope of 0.61 +/- 0.08 and an intercept of -1.43 +/- 0.27 (R-2 = 0.78). A broad positive correlation between Delta O-17 and olivine fayalite contents displayed by both acapulcoite and lodranite samples may be the result of early aqueous alteration and subsequent dehydration. Winonaites experienced a greater degree of differentiation than the acapulcoite-lodranite clan and define a distinct mass fractionation line, with a slope of 0.53 +/- 0.01 and an intercept of -0.53 +/- 0.04 (R-2 = 1). A number of samples currently classified as acapulcoites (NWA 725, NWA 1052 and Dho 1222) have oxygen isotope compositions indicating that they are winonaites. The relatively high level of oxygen isotope heterogeneity displayed by the brachinites supports their designation as primitive achondrites. A number of ungrouped olivine-rich achondrites (Divnoe, NWA 4042, NWA 4363, NWA 4518, NWA 5400, Zag (b)) as well as the unique plagioclase-rich achondrites GRA 06128 and GRA 06129 have similar oxygen isotope compositions to the brachinites. It remains unclear whether the brachinites and related olivine-rich achondrites are from a single or multiple parent bodies. The primitive achondrites and related samples represent material from at most only 18 parent bodies, compared to an estimated 65 for the iron meteorites. This suggests that asteroidal mantle material is underrepresented in the meteorite record. Early fragmentation of differentiated asteroids, followed by preferential destruction of their silicate-rich mantles, offers a possible explanation for this discrepancy. On an oxygen three-isotope diagram, primitive chondrule-bearing winonaites (Dho 1222, NWA 725, NWA 1052, NWA 1463, Mt. Morris (Wisconsin)) plot close to the Young &amp; Russell (Y&amp;R) slope 1 line, with more evolved samples extending away from it towards the CCAM line. A similar relationship is shown by the CR chondrites. The acapulcoite-lodranite clan plots between the slope 1 and CCAM lines. However, the precursor material to the clan may have had a composition close to the slope 1 line prior to parent body processing. These relationships support the view that primordial oxygen isotope variation in the early solar system is best represented by the slope 1 (Y&amp;R) line. (C) 2012 Elsevier Ltd. All rights reserved.</t>
  </si>
  <si>
    <t>[Greenwood, R. C.; Franchi, I. A.; Gibson, J. M.] Open Univ, Milton Keynes MK7 6AA, Bucks, England; [Benedix, G. K.] Nat Hist Museum, Dept Mineral, Impacts &amp; Astromat Res Ctr, London SW7 5BD, England</t>
  </si>
  <si>
    <t>Open University - UK; Imperial College London; Natural History Museum London</t>
  </si>
  <si>
    <t>Greenwood, RC (corresponding author), Open Univ, Milton Keynes MK7 6AA, Bucks, England.</t>
  </si>
  <si>
    <t>r.c.greenwood@open.ac.uk</t>
  </si>
  <si>
    <t>; Benedix, Gretchen/L-1953-2018</t>
  </si>
  <si>
    <t>Greenwood, Richard/0000-0002-5544-8027; Benedix, Gretchen/0000-0003-0990-8878</t>
  </si>
  <si>
    <t>STFC [ST/I001964/1]; STFC [ST/I001964/1] Funding Source: UKRI; Science and Technology Facilities Council [ST/I001964/1] Funding Source: researchfish</t>
  </si>
  <si>
    <t>STFC(UK Research &amp; Innovation (UKRI)Science &amp; Technology Facilities Council (STFC)); STFC(UK Research &amp; Innovation (UKRI)Science &amp; Technology Facilities Council (STFC)); Science and Technology Facilities Council(UK Research &amp; Innovation (UKRI)Science &amp; Technology Facilities Council (STFC))</t>
  </si>
  <si>
    <t>This manuscript has been considerably improved as a result of the helpful comments and suggestions made by the Associate Editor Trevor Ireland and the reviewers Ed Scott and Uwe Wiechert. We would also like to thank Dr. Hideyasu Kojima of the National Institute of Polar Research, Tokyo; Linda Welzanbach of the Smithsonian Institute, Washington; Dr. Caroline Smith of the Natural History Museum, London and Dr. Brigitte Zanda Museum National d'Histoire Naturelle, Paris for their considerable help in providing samples for this study. We gratefully acknowledge STFC for financial support via a rolling grant (ST/I001964/1) to the Planetary and Space Sciences discipline at the Open University.</t>
  </si>
  <si>
    <t>10.1016/j.gca.2012.06.025</t>
  </si>
  <si>
    <t>WOS:000309509400010</t>
  </si>
  <si>
    <t>Wilson, GS; Naish, TR; Powell, RD; Levy, RH; Crampton, JS</t>
  </si>
  <si>
    <t>Wilson, Gary S.; Naish, Tim R.; Powell, Ross D.; Levy, Richard H.; Crampton, James S.</t>
  </si>
  <si>
    <t>'Late Neogene chronostratigraphy and depositional environments on the Antarctic Margin: New results from the ANDRILL McMurdo Ice Shelf Project'</t>
  </si>
  <si>
    <t>VICTORIA LAND BASIN; EARLY PLIOCENE; SIRIUS GROUP; DRY-VALLEYS; SHEET; MIOCENE; CHRONOLOGY; SOUND; STRATIGRAPHY; PALEOCLIMATE</t>
  </si>
  <si>
    <t>[Wilson, Gary S.] Univ Otago, Dept Marine Sci, Dunedin 9054, New Zealand; [Wilson, Gary S.] Univ Otago, Dept Geol, Dunedin 9054, New Zealand; [Naish, Tim R.] Victoria Univ Wellington, Antarctic Res Ctr, Wellington 6012, New Zealand; [Powell, Ross D.] No Illinois Univ, Dept Geol &amp; Environm Geosci, De Kalb, IL 60115 USA; [Naish, Tim R.; Levy, Richard H.; Crampton, James S.] GNS Sci, Lower Hutt 5054, New Zealand</t>
  </si>
  <si>
    <t>University of Otago; University of Otago; Victoria University Wellington; Northern Illinois University; GNS Science - New Zealand</t>
  </si>
  <si>
    <t>Wilson, GS (corresponding author), Univ Otago, Dept Marine Sci, POB 56, Dunedin 9054, New Zealand.</t>
  </si>
  <si>
    <t>Levy, Richard H/E-2477-2011; Wilson, Gary S/B-3803-2010; Crampton, James/G-1381-2012</t>
  </si>
  <si>
    <t>Crampton, James/0000-0003-3270-9981; Levy, Richard/0000-0002-8783-0167; Wilson, Gary/0000-0003-0025-3641; Naish, Tim/0000-0002-1185-9932</t>
  </si>
  <si>
    <t>10.1016/j.gloplacha.2012.05.007</t>
  </si>
  <si>
    <t>WOS:000309896800001</t>
  </si>
  <si>
    <t>Watson, SA; Peck, LS; Tyler, PA; Southgate, PC; Tan, KS; Day, RW; Morley, SA</t>
  </si>
  <si>
    <t>Watson, Sue-Ann; Peck, Lloyd S.; Tyler, Paul A.; Southgate, Paul C.; Tan, Koh Siang; Day, Robert W.; Morley, Simon A.</t>
  </si>
  <si>
    <t>Marine invertebrate skeleton size varies with latitude, temperature and carbonate saturation: implications for global change and ocean acidification</t>
  </si>
  <si>
    <t>Calcium carbonate; calcification; ocean acidification; temperature; morphology; predation; solubility; mollusc; brachiopod; echinoid</t>
  </si>
  <si>
    <t>ANTARCTIC BIVALVE MOLLUSKS; ARTICULATE BRACHIOPODS; LATERNULA-ELLIPTICA; SHELL MORPHOLOGY; EXTRAPALLIAL FLUID; THERMAL LIMITS; SOUTHERN-OCEAN; OXYGEN; CALCIFICATION; IMPACT</t>
  </si>
  <si>
    <t>There is great concern over the future effects of ocean acidification on marine organisms, especially for skeletal calcification, yet little is known of natural variation in skeleton size and composition across the globe, and this is a prerequisite for identifying factors currently controlling skeleton mass and thickness. Here, taxonomically controlled latitudinal variations in shell morphology and composition were investigated in bivalve and gastropod molluscs, brachiopods, and echinoids. Total inorganic content, a proxy for skeletal CaCO3, decreased with latitude, decreasing seawater temperature, and decreasing seawater carbonate saturation state (for CaCO3 as calcite (Ocal)) in all taxa. Shell mass decreased with latitude in molluscs and shell inorganic content decreased with latitude in buccinid gastropods. Shell thickness decreased with latitude in buccinid gastropods (excepting the Australian temperate buccinid) and echinoids, but not brachiopods and laternulid clams. In the latter, the polar species had the thickest shell. There was no latitudinal trend in shell thickness within brachiopods. The variation in trends in shell thickness by taxon suggests that in some circumstances ecological factors may override latitudinal trends. Latitudinal gradients may produce effects similar to those of future CO2-driven ocean acidification on CaCO3 saturation state. Responses to latitudinal trends in temperature and saturation state may therefore be useful in informing predictions of organism responses to ocean acidification over long-term adaptive timescales.</t>
  </si>
  <si>
    <t>[Watson, Sue-Ann; Peck, Lloyd S.; Morley, Simon A.] British Antarctic Survey, Nat Environm Res Council, Cambridge CB3 0ET, England; [Watson, Sue-Ann; Tyler, Paul A.] Univ Southampton, Natl Oceanog Ctr, Sch Ocean &amp; Earth Sci, Southampton SO14 3, Hants, England; [Watson, Sue-Ann; Southgate, Paul C.] James Cook Univ, Sch Marine &amp; Trop Biol, Townsville, Qld 4811, Australia; [Tan, Koh Siang] Natl Univ Singapore, Trop Marine Sci Inst, Singapore 119223, Singapore; [Day, Robert W.] Univ Melbourne, Dept Zool, Parkville, Vic 3010, Australia</t>
  </si>
  <si>
    <t>UK Research &amp; Innovation (UKRI); Natural Environment Research Council (NERC); NERC British Antarctic Survey; NERC National Oceanography Centre; University of Southampton; James Cook University; National University of Singapore; University of Melbourne</t>
  </si>
  <si>
    <t>Peck, LS (corresponding author), British Antarctic Survey, Nat Environm Res Council, High Cross Madingley Rd, Cambridge CB3 0ET, England.</t>
  </si>
  <si>
    <t>l.peck@bas.ac.uk</t>
  </si>
  <si>
    <t>, Tan KS/HLW-4582-2023; Tan, Koh Siang/GOH-0321-2022; Watson, Sue-Ann/C-3172-2013; Day, Robert/K-6052-2012</t>
  </si>
  <si>
    <t>Tan, Koh Siang/0000-0002-4599-9482; Watson, Sue-Ann/0000-0002-9818-7429; Day, Robert/0000-0001-5913-2292</t>
  </si>
  <si>
    <t>NERC [NER/S/A/2005/13476]; British Antarctic Survey; Antarctic Funding Initiative Collaborative Gearing Scheme grant; NERC National Centre for Scientific Diving, Oban; NERC [dml011000, bas0100025] Funding Source: UKRI; Natural Environment Research Council [dml011000, bas0100025] Funding Source: researchfish</t>
  </si>
  <si>
    <t>NERC(UK Research &amp; Innovation (UKRI)Natural Environment Research Council (NERC)); British Antarctic Survey; Antarctic Funding Initiative Collaborative Gearing Scheme grant; NERC National Centre for Scientific Diving, Oban; NERC(UK Research &amp; Innovation (UKRI)Natural Environment Research Council (NERC)); Natural Environment Research Council(UK Research &amp; Innovation (UKRI)Natural Environment Research Council (NERC))</t>
  </si>
  <si>
    <t>S.-A. Watson was funded by a NERC PhD studentship (NER/S/A/2005/13476) to the School of Ocean and Earth Science, University of Southampton, and a Co-operative Award in Science and Engineering studentship from the British Antarctic Survey. Antarctic fieldwork conducted by S.-A. Watson was funded by an Antarctic Funding Initiative Collaborative Gearing Scheme grant. We thank the Rothera Research Station dive, boating, and support team for assisting in collections. Diving in Antarctica under UK jurisdiction is supported by the NERC National Centre for Scientific Diving, Oban. Miles Lamare from University of Otago provided support for collections of the New Zealand brachiopods. The authors confirm that the sampling of all species and use of animals in experiments were in accordance with respective guidelines and permits. We thank an unknown reviewer who asked us to make the analyses that lead to figure 6, which has improved the article significantly.</t>
  </si>
  <si>
    <t>10.1111/j.1365-2486.2012.02755.x</t>
  </si>
  <si>
    <t>001ES</t>
  </si>
  <si>
    <t>WOS:000308443800005</t>
  </si>
  <si>
    <t>Royles, J; Ogée, J; Wingate, L; Hodgson, DA; Convey, P; Griffiths, H</t>
  </si>
  <si>
    <t>Royles, Jessica; Ogee, Jerome; Wingate, Lisa; Hodgson, Dominic A.; Convey, Peter; Griffiths, Howard</t>
  </si>
  <si>
    <t>Carbon isotope evidence for recent climate-related enhancement of CO2 assimilation and peat accumulation rates in Antarctica</t>
  </si>
  <si>
    <t>assimilation; carbon-13; Chorisodontium aciphyllum; discrimination; maritime Antarctic; peat bank; radiocarbon dating; Signy Island</t>
  </si>
  <si>
    <t>RADIOCARBON TIME-SCALE; WATER-USE EFFICIENCY; SIGNY ISLAND; ATMOSPHERIC CO2; ACTIVE LAYER; RECORD; DISCRIMINATION; CALIBRATION; VEGETATION; RESPONSES</t>
  </si>
  <si>
    <t>Signy Island, maritime Antarctic, lies within the region of the Southern Hemisphere that is currently experiencing the most rapid rates of environmental change. In this study, peat cores up to 2m in depth from four moss banks on Signy Island were used to reconstruct changes in moss growth and climatic characteristics over the late Holocene. Measurements included radiocarbon dating (to determine peat accumulation rates) and stable carbon isotope composition of moss cellulose (to estimate photosynthetic limitation by CO 2 supply and model CO 2 assimilation rate). For at least one intensively 14C-dated Chorisodontium aciphyllum moss peat bank, the vertical accumulation rate of peat was 3.9mmyr-1 over the last 30years. Before the industrial revolution, rates of peat accumulation in all cores were much lower, at around 0.61mmyr-1. Carbon-13 discrimination (?), corrected for background and anthropogenic source inputs, was used to develop a predictive model for CO 2 assimilation. Between 1680 and 1900, there had been a gradual increase in ?, and hence assimilation rate. Since 1800, assimilation has also been stimulated by the changes in atmospheric CO 2 concentration, but a recent decline in ? (over the past 50100years) can perhaps be attributed to documented changes in temperature and/or precipitation. The overall increase in CO 2 assimilation rate (13C proxy) and enhanced C accumulation (14C proxy) are consistent with warmer and wetter conditions currently generating higher growth rates than at any time in the past three millennia, with the decline in ? perhaps compensated by a longer growing season.</t>
  </si>
  <si>
    <t>[Royles, Jessica; Wingate, Lisa; Griffiths, Howard] Univ Cambridge, Dept Plant Sci, Cambridge CB2 3EA, England; [Royles, Jessica; Hodgson, Dominic A.; Convey, Peter] British Antarctic Survey, Cambridge CB3 0ET, England; [Ogee, Jerome; Wingate, Lisa] INRA, UR1263, F-33140 Villenave Dornon, France</t>
  </si>
  <si>
    <t>University of Cambridge; UK Research &amp; Innovation (UKRI); Natural Environment Research Council (NERC); NERC British Antarctic Survey; INRAE</t>
  </si>
  <si>
    <t>Royles, J (corresponding author), Univ Cambridge, Dept Plant Sci, Downing St, Cambridge CB2 3EA, England.</t>
  </si>
  <si>
    <t>jesyle@bas.ac.uk</t>
  </si>
  <si>
    <t>Wingate, Lisa/M-9673-2019; Convey, Peter/AAV-5728-2020; Ogée, Jérôme/C-7185-2013</t>
  </si>
  <si>
    <t>Wingate, Lisa/0000-0003-1921-1556; Convey, Peter/0000-0001-8497-9903; Ogée, Jérôme/0000-0002-3365-8584; Royles, Jessica/0000-0003-0489-6863</t>
  </si>
  <si>
    <t>NERC [NE/G523539/1, IP-1161-0510]; Natural Environment Research Council Advanced Fellowship [NE/G014418/1]; Marie Curie Intra-European Career Development Fellowship; European Community [237582]; INRA department EFPA; NERC [NE/G014418/1, NE/H014632/1, bas0100024, bas0100025] Funding Source: UKRI; Natural Environment Research Council [bas0100024, bas0100025, NE/H014632/1, NE/G014418/1] Funding Source: researchfish</t>
  </si>
  <si>
    <t>NERC(UK Research &amp; Innovation (UKRI)Natural Environment Research Council (NERC)); Natural Environment Research Council Advanced Fellowship(UK Research &amp; Innovation (UKRI)Natural Environment Research Council (NERC)); Marie Curie Intra-European Career Development Fellowship(European Union (EU)); European Community; INRA department EFPA; NERC(UK Research &amp; Innovation (UKRI)Natural Environment Research Council (NERC)); Natural Environment Research Council(UK Research &amp; Innovation (UKRI)Natural Environment Research Council (NERC))</t>
  </si>
  <si>
    <t>JR is funded by NERC (NE/G523539/1). PC and DAH contribute to the BAS 'Polar Science for Planet Earth' core research programme, and this article also contributes to the SCAR 'Evolution and Biodiversity in Antarctica' programme. Carbon isotope analysis was undertaken in collaboration with Professor Melanie Leng following NERC Isotope Geosciences Facilities Steering Committee award IP-1161-0510. We thank Jack Triest for his role in the design and engineering of the peat corer. Salary for LW was supported through a Natural Environment Research Council Advanced Fellowship (NE/G014418/1) and a Marie Curie Intra-European Career Development Fellowship. Thus, research leading to the results has received funding from the European Community's Seventh Framework Programme (FP7/2007-2013) under agreement no. 237582. We also thank Claudia Czimczik for blind-checking 14 C moss samples at the University of California-Irvine Radiocarbon Laboratory. The INRA department EFPA is gratefully acknowledged for funding the sabbatical of JO in Cambridge that resulted in the writing of this manuscript.</t>
  </si>
  <si>
    <t>10.1111/j.1365-2486.2012.02750.x</t>
  </si>
  <si>
    <t>WOS:000308443800012</t>
  </si>
  <si>
    <t>Van der Putten, N; Verbruggen, C; Björck, S; de Beaulieu, JL; Barrow, CJ; Frenot, Y</t>
  </si>
  <si>
    <t>Van der Putten, Nathalie; Verbruggen, Cyriel; Bjorck, Svante; de Beaulieu, Jacques-Louis; Barrow, Chris J.; Frenot, Yves</t>
  </si>
  <si>
    <t>Is palynology a credible climate proxy in the Subantarctic?</t>
  </si>
  <si>
    <t>HOLOCENE</t>
  </si>
  <si>
    <t>Holocene; Iles Crozet; palynology; plant macrofossil analysis; South Georgia; Subantarctic</t>
  </si>
  <si>
    <t>HOLOCENE; PEAT; CALIBRATION; HISTORY; RECORD; ISLAND</t>
  </si>
  <si>
    <t>Pollen and spore analysis is the most successfully used palaeobotanical discipline for reconstructing Holocene vegetation and climate history throughout the world. Subantarctic islands are very specific areas. They are located in the circum-Antarctic Southern Ocean in latitudes that are under strong influence of the southern westerly winds, and are characterised by a treeless, phanerogam-poor flora. Palynological research on many of these islands has resulted in diverging conclusions about how to infer climate history from pollen data. In this study we compare pollen data with macrofossil data on the one hand, and the palaeoenvironmental history based on a multiproxy record on the other hand, of two peat sequences from two different subantarctic islands, South Georgia and Ile de la Possession (Iles Crozet). We conclude that palynology must be used with caution as a proxy for climate change on these islands, especially when no other proxy data are available. The upland-lowland principle, as it has been applied in pollen studies in the South Indian Ocean islands, results in erroneous conclusions about climate change on Ile de la Possession. More palaeoclimatic multiproxy and pollen studies, in combination with pollen-vegetation relationship studies, can, however, contribute to a more reliable model of how to interpret pollen data in the Subantarctic. We want to stress that our conclusions are only based on Holocene records. Consequently, the question remains if palynology can be used as a palaeoclimatic proxy when climatic changes were more pronounced such as during the last glacial-interglacial transition.</t>
  </si>
  <si>
    <t>[Van der Putten, Nathalie] Lund Univ, Dept Geol, SE-22362 Lund, Sweden; [Verbruggen, Cyriel] Univ Ghent, Ghent, Belgium; [de Beaulieu, Jacques-Louis] Univ Paul Cezanne, IMBE, CNRS, UMR 7263, Marseille, France; [Barrow, Chris J.] Swansea Univ, Swansea, W Glam, Wales</t>
  </si>
  <si>
    <t>Lund University; Ghent University; Centre National de la Recherche Scientifique (CNRS); CNRS - Institute of Ecology &amp; Environment (INEE); Aix-Marseille Universite; Institut de Recherche pour le Developpement (IRD); Swansea University</t>
  </si>
  <si>
    <t>Van der Putten, N (corresponding author), Lund Univ, Dept Geol, Solvegatan 12, SE-22362 Lund, Sweden.</t>
  </si>
  <si>
    <t>van_der_putten@geol.lu.se</t>
  </si>
  <si>
    <t>Van der Putten, Nathalie/0000-0002-0271-9321; Frenot, Yves/0000-0003-2666-1272</t>
  </si>
  <si>
    <t>Ghent University [BOF-0111 2005]; Fund for Scientific Research Flanders, Belgium [1.5.655-94, G.0203-97]; Swedish Research Council [VR - 623-2009-7399]</t>
  </si>
  <si>
    <t>Ghent University(Ghent University); Fund for Scientific Research Flanders, Belgium(FWO); Swedish Research Council(Swedish Research Council)</t>
  </si>
  <si>
    <t>Funding was provided by Ghent University (BOF-0111 2005) and Fund for Scientific Research Flanders, Belgium (Programmes 1.5.655-94 and G.0203-97). NVdP is a post-doctoral research fellow funded by the Swedish Research Council (VR - 623-2009-7399).</t>
  </si>
  <si>
    <t>0959-6836</t>
  </si>
  <si>
    <t>1477-0911</t>
  </si>
  <si>
    <t>Holocene</t>
  </si>
  <si>
    <t>10.1177/0959683612441804</t>
  </si>
  <si>
    <t>007IZ</t>
  </si>
  <si>
    <t>WOS:000308883300004</t>
  </si>
  <si>
    <t>Stewart, AL; Dellar, PJ</t>
  </si>
  <si>
    <t>Stewart, A. L.; Dellar, P. J.</t>
  </si>
  <si>
    <t>Cross-equatorial channel flow with zero potential vorticity under the complete Coriolis force</t>
  </si>
  <si>
    <t>IMA JOURNAL OF APPLIED MATHEMATICS</t>
  </si>
  <si>
    <t>complete Coriolis force; cross-equatorial currents; zero potential vorticity; shallow water; asymptotic solutions; finite-volume methods</t>
  </si>
  <si>
    <t>ANTARCTIC BOTTOM WATER; WESTERN ATLANTIC; CENTRAL SCHEMES; BETA-PLANE; EQUATIONS; CURRENTS; DEEP; OCEAN; TOPOGRAPHY</t>
  </si>
  <si>
    <t>We investigate the cross-equatorial flow of deep ocean currents through a channel along the sea floor using the 11/2-layer or equivalent-barotropic shallow water equations. We restrict our attention to flows with zero potential vorticity, motivated by measurements of the deep Atlantic ocean, and focus on the role of the so-called non-traditional components of the Coriolis force due to the locally horizontal component of the Earth's rotation vector. These components are typically neglected in theoretical studies of ocean dynamics. We first obtain steady asymptotic solutions in a straight-walled channel by assuming that the channel half-length is much larger than the intrinsic lengthscale, the equatorial Rossby deformation radius. The leading-order solution describes a current that switches from the western to the eastern side of the channel as it crosses from the southern to the northern hemisphere. Including the non-traditional component of the Coriolis force substantially increases the cross-equatorial transport as long as the flow is everywhere northwards, but substantially decreases the transport if part of the flow retroflects and returns to the southern hemisphere. We compare our steady asymptotic solutions with time-dependent numerical solutions of the non-traditional shallow water equations. We impose the a priori assumption of zero potential vorticity by writing the fluid's absolute angular momentum as the gradient of a scalar potential. The time-average of our numerical solutions converges to our steady asymptotic solutions in the limit of large channel length, with an error of only around 1% even when our asymptotic parameter epsilon is equal to 1. However, our solutions diverge when the layer depth is sufficiently small that portions of the flow become super-critical. The resulting formation of steady shocks prevents the time-dependent solution from approaching the asymptotic solution.</t>
  </si>
  <si>
    <t>[Stewart, A. L.; Dellar, P. J.] Oxford Ctr Ind &amp; Appl Math, Math Inst, Oxford OX1 3LB, England</t>
  </si>
  <si>
    <t>University of Oxford</t>
  </si>
  <si>
    <t>Stewart, AL (corresponding author), CALTECH, Pasadena, CA 91125 USA.</t>
  </si>
  <si>
    <t>stewart@gps.caltech.edu</t>
  </si>
  <si>
    <t>Dellar, Paul J/A-6367-2012</t>
  </si>
  <si>
    <t>Stewart, Andrew/0000-0001-5861-4070</t>
  </si>
  <si>
    <t>Engineering and Physical Sciences Research Council; Advanced Research Fellowship [EP/E054625/1]; Engineering and Physical Sciences Research Council [EP/E054625/1] Funding Source: researchfish; EPSRC [EP/E054625/1] Funding Source: UKRI</t>
  </si>
  <si>
    <t>Engineering and Physical Sciences Research Council(UK Research &amp; Innovation (UKRI)Engineering &amp; Physical Sciences Research Council (EPSRC)); Advanced Research Fellowship; Engineering and Physical Sciences Research Council(UK Research &amp; Innovation (UKRI)Engineering &amp; Physical Sciences Research Council (EPSRC)); EPSRC(UK Research &amp; Innovation (UKRI)Engineering &amp; Physical Sciences Research Council (EPSRC))</t>
  </si>
  <si>
    <t>This work was supported by the Engineering and Physical Sciences Research Council through a PhD Plus award to A.L.S. and an Advanced Research Fellowship [grant number EP/E054625/1] to P.J.D.</t>
  </si>
  <si>
    <t>0272-4960</t>
  </si>
  <si>
    <t>1464-3634</t>
  </si>
  <si>
    <t>IMA J APPL MATH</t>
  </si>
  <si>
    <t>IMA J. Appl. Math.</t>
  </si>
  <si>
    <t>10.1093/imamat/hxs045</t>
  </si>
  <si>
    <t>Mathematics, Applied</t>
  </si>
  <si>
    <t>Mathematics</t>
  </si>
  <si>
    <t>010XR</t>
  </si>
  <si>
    <t>WOS:000309128300003</t>
  </si>
  <si>
    <t>Mishra, KP; Yadav, AP; Ganju, L</t>
  </si>
  <si>
    <t>Mishra, K. P.; Yadav, A. P.; Ganju, Lilly</t>
  </si>
  <si>
    <t>Antarctic Harsh Environment as Natural Stress Model: Impact on Salivary Immunoglobulins, Transforming Growth Factor-β and Cortisol Level</t>
  </si>
  <si>
    <t>INDIAN JOURNAL OF CLINICAL BIOCHEMISTRY</t>
  </si>
  <si>
    <t>Cytokine; Immunoglobulins; Antarctica</t>
  </si>
  <si>
    <t>The Antarctic continent on the planet Earth is full of environmental extremes. It is considered as natural stress model. Therefore, the present study examined the effect of harsh environment on the certain salivary markers of 28th Indian Antarctic expeditioners. Thirty healthy men and women (median age 36 year; range 22-61 year) participated in this study. Parameters measured were salivary IgA (SIgA), IgM (SIgM), TGF-beta and cortisol level at three different time points: (I) before leaving India on 26th October 2008 for base line level; (II) after 1 month onboard journey on 31st January 2009 in Southern Ocean and (III) after 1 month staying at Maitri, Antarctica on 3rd March 2009. Our observation indicated that Ship borne journey and Antarctic environment increased the SIgA levels while that of SIgM level was not altered on-board but decreased by staying for 1 month at Antarctica. No significant alteration was found in the TGF-b and cortisol level at any point of time. The present study concluded that ship borne journey and Antarctic environment may induce the SIgA level while SIgM level decreased in environmental extremes of Antarctica.</t>
  </si>
  <si>
    <t>[Mishra, K. P.; Yadav, A. P.; Ganju, Lilly] Def Inst Physiol &amp; Allied Sci, Immunomodulat Lab, Lucknow Rd, Delhi 110054, India</t>
  </si>
  <si>
    <t>Defence Research &amp; Development Organisation (DRDO); Defence Institute of Physiology &amp; Allied Sciences (DIPAS)</t>
  </si>
  <si>
    <t>Mishra, KP (corresponding author), Def Inst Physiol &amp; Allied Sci, Immunomodulat Lab, Lucknow Rd, Delhi 110054, India.</t>
  </si>
  <si>
    <t>kpmpgi@rediffmail.com</t>
  </si>
  <si>
    <t>Mishra, KP/0000-0002-8371-3772</t>
  </si>
  <si>
    <t>research Grant of Defence Research and Development Organization (DRDO), India; DRDO</t>
  </si>
  <si>
    <t>research Grant of Defence Research and Development Organization (DRDO), India; DRDO(Defence Research &amp; Development Organisation (DRDO))</t>
  </si>
  <si>
    <t>The study is supported by a research Grant of Defence Research and Development Organization (DRDO), India. APY Thanks DRDO for financial support in the form of junior research fellowship. Authors thank all the expedition members who voluntarily participated in the study. National Centre for Antarctic and Ocean Research (NCAOR) is acknowledged for all the logistic support. KPM was summer team member and APY was winter team member of 28th Indian scientific expedition to Antarctica.</t>
  </si>
  <si>
    <t>SPRINGER INDIA</t>
  </si>
  <si>
    <t>NEW DELHI</t>
  </si>
  <si>
    <t>7TH FLOOR, VIJAYA BUILDING, 17, BARAKHAMBA ROAD, NEW DELHI, 110 001, INDIA</t>
  </si>
  <si>
    <t>0970-1915</t>
  </si>
  <si>
    <t>0974-0422</t>
  </si>
  <si>
    <t>INDIAN J CLIN BIOCHE</t>
  </si>
  <si>
    <t>Indian J. Clin. Biochem.</t>
  </si>
  <si>
    <t>10.1007/s12291-012-0213-z</t>
  </si>
  <si>
    <t>V2E2H</t>
  </si>
  <si>
    <t>WOS:000217499400007</t>
  </si>
  <si>
    <t>Thatje, S</t>
  </si>
  <si>
    <t>Thatje, Sven</t>
  </si>
  <si>
    <t>Effects of Capability for Dispersal on the Evolution of Diversity in Antarctic Benthos</t>
  </si>
  <si>
    <t>INTEGRATIVE AND COMPARATIVE BIOLOGY</t>
  </si>
  <si>
    <t>POPULATION GENETIC-STRUCTURE; SOUTHERN-OCEAN; PROMACHOCRINUS-KERGUELENSIS; MITOCHONDRIAL LINEAGES; ASELLOTA CRUSTACEA; CRYPTIC SPECIATION; LARVAL DEVELOPMENT; CLIMATE-CHANGE; DRAKE PASSAGE; SEA LEVELS</t>
  </si>
  <si>
    <t>The likelihood of marine invertebrates to maintain large geographic ranges is widely dependent on the ability of their early ontogenetic stages to disperse over long distances. Marine benthic invertebrates inhabiting the cold-stenothermal environment of the Southern Ocean are known for their overall reduced number of pelagic larvae, or drifting stages of any kind, when compared with organisms elsewhere in the sea. The diversity of organisms thriving in Antarctic waters is the result of evolution in situ and of the intrusion of species from surrounding seas. The reasons for a high level of endemism and a stunning diversity of benthic invertebrates found today are frequently discussed in the literature, but the mechanisms whereby diversity has been controlled over time remain largely theoretical. Here, I suggest that, indeed, early life-history patterns play a key role in defining the radiation and the speciation potential of Antarctic benthic invertebrates. In arguing this case, I synthesize the growing body of molecular studies on population connectivity in Antarctic benthic invertebrates, and compare this information with knowledge of their life histories and biogeography. I conclude that differences in early life-history patterns are key to the resilience potential of species in response to late Cenozoic glacial periods and propose that there is a direct relationship between rate of speciation and the ability of taxa to disperse.</t>
  </si>
  <si>
    <t>Univ Southampton, Natl Oceanog Ctr, Southampton SO14 3ZH, Hants, England</t>
  </si>
  <si>
    <t>NERC National Oceanography Centre; University of Southampton</t>
  </si>
  <si>
    <t>Thatje, S (corresponding author), Univ Southampton, Natl Oceanog Ctr, European Way, Southampton SO14 3ZH, Hants, England.</t>
  </si>
  <si>
    <t>svth@noc.soton.ac.uk</t>
  </si>
  <si>
    <t>American Microscopical Society; SICB Division of Evolutionary Developmental Biology; SICB Division of Ecology Evolution; SICB Division of Invertebrate Zoology; Division Of Integrative Organismal Systems; Direct For Biological Sciences [1148884] Funding Source: National Science Foundation</t>
  </si>
  <si>
    <t>American Microscopical Society; SICB Division of Evolutionary Developmental Biology; SICB Division of Ecology Evolution; SICB Division of Invertebrate Zoology; Division Of Integrative Organismal Systems; Direct For Biological Sciences(National Science Foundation (NSF)NSF - Directorate for Biological Sciences (BIO)NSF - Division of Integrative Organismal Systems (IOS))</t>
  </si>
  <si>
    <t>This work was supported by the American Microscopical Society; SICB Divisions of Evolutionary Developmental Biology, Ecology &amp; Evolution, and Invertebrate Zoology.</t>
  </si>
  <si>
    <t>1540-7063</t>
  </si>
  <si>
    <t>1557-7023</t>
  </si>
  <si>
    <t>INTEGR COMP BIOL</t>
  </si>
  <si>
    <t>Integr. Comp. Biol.</t>
  </si>
  <si>
    <t>10.1093/icb/ics105</t>
  </si>
  <si>
    <t>014KK</t>
  </si>
  <si>
    <t>WOS:000309374400004</t>
  </si>
  <si>
    <t>Edwards, HGM; Hutchinson, IB; Ingley, R</t>
  </si>
  <si>
    <t>Edwards, Howell G. M.; Hutchinson, Ian B.; Ingley, Richard</t>
  </si>
  <si>
    <t>Raman spectroscopy and the search for life signatures in the ExoMars Mission</t>
  </si>
  <si>
    <t>ExoMars mission; extremophiles; life detection signatures; Raman spectroscopy</t>
  </si>
  <si>
    <t>ANTARCTIC COLD DESERT; MINERAL IDENTIFICATION; MARS; MICROORGANISMS; PALEOLAKE; SURFACE; ROCKS</t>
  </si>
  <si>
    <t>The survival strategies of extremophilic organisms in terrestrially stressed locations and habitats are critically dependent on the production of protective chemicals in response to desiccation, low wavelength radiation insolation, temperature and the availability of nutrients. The adaptation of life to these harsh prevailing conditions involves the control of the substratal geology; the interaction between the rock and the organisms is critical and the biological modification of the geological matrix plays a very significant role in the overall survival strategy. Identification of these biological and biogeological chemical molecular signatures in the geological record is necessary for the recognition of the presence of extinct or extant life in terrestrial and extraterrestrial scenarios. Raman spectroscopic techniques have been identified as valuable instrumentation for the detection of life extra-terrestrially because of the use of non-invasive laser-based excitation of organic and inorganic molecules, and molecular ions with high discrimination characteristics; the interactions effected between biological organisms and their environments are detectable through the molecular entities produced at the interfaces, for which the vibrational spectroscopic band signatures are unique. A very important attribute of Raman spectroscopy is the acquisition of molecular experimental data non-destructively without the need for chemical or mechanical pre-treatment of the specimen; this has been a major factor in the proposal for the adoption of Raman instrumentation on robotic landers and rovers for planetary exploration, particularly for the forthcoming European Space Agency (ESA)/National Aeronautics and Space Administration (NASA) ExoMars mission. In this paper, the merits of using Raman spectroscopy for the recognition of key molecular biosignatures from several terrestrial extremophile specimens will be illustrated. The data and specimens used in this presentation have been acquired from Arctic and Antarctic cold deserts and a meteorite crater, from which it will be possible to assess spectral data relevant for the detection of extra-terrestrial extremophilic life signatures. Received 16 February 2012, accepted 17 May 2012, first published online 18 June 2012</t>
  </si>
  <si>
    <t>[Edwards, Howell G. M.] Univ Bradford, Sch Life Sci, Ctr Astrobiol &amp; Extremophiles Res, Bradford BD7 1DP, W Yorkshire, England; [Edwards, Howell G. M.; Hutchinson, Ian B.; Ingley, Richard] Univ Leicester, Space Res Ctr, Dept Phys &amp; Astron, Leicester LE1 7RH, Leics, England</t>
  </si>
  <si>
    <t>University of Bradford; University of Leicester</t>
  </si>
  <si>
    <t>Edwards, HGM (corresponding author), Univ Bradford, Sch Life Sci, Ctr Astrobiol &amp; Extremophiles Res, Bradford BD7 1DP, W Yorkshire, England.</t>
  </si>
  <si>
    <t>richard.ingley@le.ac.uk</t>
  </si>
  <si>
    <t>UK Science and Technology Facilities Research Council; UK Space Agency [ST/I002677/1] Funding Source: researchfish</t>
  </si>
  <si>
    <t>UK Science and Technology Facilities Research Council; UK Space Agency</t>
  </si>
  <si>
    <t>The authors express their gratitude to colleagues in the European Space Agency ExoMars Raman RLS Science and Instrument Teams for interdisciplinary expertise in the achievement of acceptance of miniaturized instrumentation for the life-detection mission to Mars, and to the UK Science and Technology Facilities Research Council for the on-going funding support for Raman spectroscopic studies relevant to early evolution and the ExoMars mission.</t>
  </si>
  <si>
    <t>10.1017/S1473550412000201</t>
  </si>
  <si>
    <t>WOS:000309724800010</t>
  </si>
  <si>
    <t>Duarte, RTD; Nóbrega, F; Nakayama, CR; Pellizari, VH</t>
  </si>
  <si>
    <t>Duarte, Rubens T. D.; Nobrega, Felipe; Nakayama, Cristina R.; Pellizari, Vivian H.</t>
  </si>
  <si>
    <t>Brazilian research on extremophiles in the context of astrobiology</t>
  </si>
  <si>
    <t>SPASA 2011; Brazil; Antarctica; extremophiles; microbial diversity; astrobiology</t>
  </si>
  <si>
    <t>DESCHAMPSIA-ANTARCTICA DESV.; MICROBIAL DIVERSITY; BACTERIAL DIVERSITY; SP NOV.; DEEP-SEA; SOIL; MICROORGANISMS; GENES; FUNGI; BIODIVERSITY</t>
  </si>
  <si>
    <t>Extremophiles are organisms adapted to grow at extreme ranges of environmental variables, such as high or low temperatures, acid or alkaline medium, high salt concentration, high pressures and so forth. Most extremophiles are micro-organisms that belong to the Archaea and Bacteria domains, and are widely spread across the world, which include the polar regions, volcanoes, deserts, deep oceanic sediments, hydrothermal vents, hypersaline lakes, acid and alkaline water bodies, and other extreme environments considered hostile to human life. Despite the tropical climate, Brazil has a wide range of ecosystems which include some permanent or seasonally extreme environments. For example, the Cerrado is a biome with very low soil pH with high Al+3 concentration, the mangroves in the Brazilian coast are anaerobic and saline, Pantanal has thousands of alkaline-saline lakes, the Caatinga arid and hot soils and the deep sea sediments in the Brazilian ocean shelf. These environments harbour extremophilic organisms that, coupled with the high natural biodiversity in Brazil, could be explored for different purposes. However, only a few projects in Brazil intended to study the extremophiles. In the frame of astrobiology, for example, these organisms could provide important models for defining the limits of life and hypothesize about life outside Earth. Brazilian microbiologists have, however, studied the extremophilic micro-organisms inhabiting non-Brazilian environments, such as the Antarctic continent. The experience and previous results obtained from the Brazilian Antarctic Program (PROANTAR) provide important results that are directly related to astrobiology. This article is a brief synopsis of the Brazilian experience in researching extremophiles, indicating the most important results related to astrobiology and some future perspectives in this area. Received 29 February 2012, accepted 25 May 2012, first published online 11 July 2012</t>
  </si>
  <si>
    <t>[Duarte, Rubens T. D.; Nobrega, Felipe; Pellizari, Vivian H.] Univ Sao Paulo, Lab Ecol Microbiana, Inst Oceanog, Sao Paulo, Brazil; [Duarte, Rubens T. D.] Univ Sao Paulo, Lab Astrobiol, Inst Astron Geofis &amp; Ciencias Atmosfer, Sao Paulo, Brazil; [Nakayama, Cristina R.] Univ Fed Sao Paulo, Dept Ciencias Biol, Sao Paulo, Brazil</t>
  </si>
  <si>
    <t>Universidade de Sao Paulo; Universidade de Sao Paulo; Universidade Federal de Sao Paulo (UNIFESP)</t>
  </si>
  <si>
    <t>Duarte, RTD (corresponding author), Univ Sao Paulo, Lab Ecol Microbiana, Inst Oceanog, Sao Paulo, Brazil.</t>
  </si>
  <si>
    <t>vivianp@usp.br</t>
  </si>
  <si>
    <t>Duarte, Rubens/E-3129-2012; Duarte, Rubens/AAH-1692-2019; Nakayama, Cristina R/R-4318-2017; Pellizari, Vivian/J-9153-2012</t>
  </si>
  <si>
    <t>Nakayama, Cristina R/0000-0001-9428-585X; Duarte, Rubens/0000-0002-9939-3400; Pellizari, Vivian/0000-0003-2757-6352</t>
  </si>
  <si>
    <t>'Sao Paulo School of Astrobiology' (SPASA 2011) organizing committee; Sao Paulo Research Foundation (FAPESP) for the School</t>
  </si>
  <si>
    <t>'Sao Paulo School of Astrobiology' (SPASA 2011) organizing committee; Sao Paulo Research Foundation (FAPESP) for the School(Fundacao de Amparo a Pesquisa do Estado de Sao Paulo (FAPESP))</t>
  </si>
  <si>
    <t>The authors are grateful to the 'Sao Paulo School of Astrobiology' (SPASA 2011) organizing committee and to the Sao Paulo Research Foundation (FAPESP) for the School financial support. We thank Dr Douglas Galante, Dr Fabio Rodrigues and Felipe Dutra for their assistance with the figures and reviewing the text. We also thank the anonymous referee for his/her critical analysis of this manuscript.</t>
  </si>
  <si>
    <t>10.1017/S1473550412000249</t>
  </si>
  <si>
    <t>WOS:000309724800015</t>
  </si>
  <si>
    <t>Williams, TJ; Long, E; Evans, F; DeMaere, MZ; Lauro, FM; Raftery, MJ; Ducklow, H; Grzymski, JJ; Murray, AE; Cavicchioli, R</t>
  </si>
  <si>
    <t>Williams, Timothy J.; Long, Emilie; Evans, Flavia; DeMaere, Mathew Z.; Lauro, Federico M.; Raftery, Mark J.; Ducklow, Hugh; Grzymski, Joseph J.; Murray, Alison E.; Cavicchioli, Ricardo</t>
  </si>
  <si>
    <t>A metaproteomic assessment of winter and summer bacterioplankton from Antarctic Peninsula coastal surface waters</t>
  </si>
  <si>
    <t>ISME JOURNAL</t>
  </si>
  <si>
    <t>marine microorganisms; metaproteomics; antarctic microbiology; southern ocean microbiology</t>
  </si>
  <si>
    <t>MARINE BACTERIUM; METHANOCOCCOIDES-BURTONII; SPHINGOPYXIS-ALASKENSIS; PSYCHROPHILIC ARCHAEON; PROTEOMIC ANALYSIS; PROTEORHODOPSIN; SULFUR; GENOME; CARBON; ASSIMILATION</t>
  </si>
  <si>
    <t>A metaproteomic survey of surface coastal waters near Palmer Station on the Antarctic Peninsula, West Antarctica, was performed, revealing marked differences in the functional capacity of summer and winter communities of bacterioplankton. Proteins from Flavobacteria were more abundant in the summer metaproteome, whereas winter was characterized by proteins from ammonia-oxidizing Marine Group I Crenarchaeota. Proteins prevalent in both seasons were from SAR11 and Rhodobacterales clades of Alphaproteobacteria, as well as many lineages of Gammaproteobacteria. The metaproteome data were used to elucidate the main metabolic and energy generation pathways and transport processes occurring at the microbial level in each season. In summer, autotrophic carbon assimilation appears to be driven by oxygenic photoautotrophy, consistent with high light availability and intensity. In contrast, during the dark polar winter, the metaproteome supported the occurrence of chemolithoautotrophy via the 3-hydroxypropionate/4-hydroxybutyrate cycle and the reverse tricarboxylic acid cycle of ammonia-oxidizing archaea and nitrite-oxidizing bacteria, respectively. Proteins involved in nitrification were also detected in the metaproteome. Taurine appears to be an important source of carbon and nitrogen for heterotrophs (especially SAR11), with transporters and enzymes for taurine uptake and degradation abundant in the metaproteome. Divergent heterotrophic strategies for Alphaproteobacteria and Flavobacteria were indicated by the metaproteome data, with Alphaproteobacteria capturing (by high-affinity transport) and processing labile solutes, and Flavobacteria expressing outer membrane receptors for particle adhesion to facilitate the exploitation of non-labile substrates. TonB-dependent receptors from Gammaproteobacteria and Flavobacteria (particularly in summer) were abundant, indicating that scavenging of substrates was likely an important strategy for these clades of Southern Ocean bacteria. This study provides the first insight into differences in functional processes occurring between summer and winter microbial communities in coastal Antarctic waters, and particularly highlights the important role that 'dark' carbon fixation has in winter. The ISME Journal (2012) 6, 1883-1900; doi:10.1038/ismej.2012.28; published online 26 April 2012</t>
  </si>
  <si>
    <t>[Cavicchioli, Ricardo] Univ New S Wales, Sch Biotechnol &amp; Biomol Sci, BABS, Sydney, NSW 2052, Australia; [Grzymski, Joseph J.; Murray, Alison E.] Desert Res Inst, Div Earth &amp; Ecosyst Sci, Reno, NV 89512 USA; [Long, Emilie] Univ Paris 06, UFR 927, Dept Format Biol Cellulaire &amp; Mol, Paris, France; [Raftery, Mark J.] Univ New S Wales, Bioanalyt Mass Spectrometry Facil, Sydney, NSW, Australia; [Ducklow, Hugh] Marine Biol Lab, Ctr Ecosyst, Woods Hole, MA 02543 USA</t>
  </si>
  <si>
    <t>University of New South Wales Sydney; Nevada System of Higher Education (NSHE); Desert Research Institute NSHE; Sorbonne Universite; University of New South Wales Sydney; Marine Biological Laboratory - Woods Hole</t>
  </si>
  <si>
    <t>Cavicchioli, R (corresponding author), Univ New S Wales, Sch Biotechnol &amp; Biomol Sci, BABS, Sydney, NSW 2052, Australia.</t>
  </si>
  <si>
    <t>alison.murray@dri.edu; r.cavicchioli@unsw.edu.au</t>
  </si>
  <si>
    <t>DeMaere, Matthew Zachariah/D-9002-2012; Lauro, Federico/X-2420-2019; Cavicchioli, Ricardo/D-4341-2013</t>
  </si>
  <si>
    <t>DeMaere, Matthew Zachariah/0000-0002-7601-5108; Lauro, Federico/0000-0002-8373-1014; Williams, Timothy/0000-0002-2738-3019; Grzymski, Joseph/0000-0003-2646-8958; LONG, Emilie/0000-0003-0922-381X; Cavicchioli, Ricardo/0000-0001-8989-6402</t>
  </si>
  <si>
    <t>NSF [ANT 0632389, ANT 0632278, ANT 0217282]; Australian Research Council</t>
  </si>
  <si>
    <t>NSF(National Science Foundation (NSF)); Australian Research Council(Australian Research Council)</t>
  </si>
  <si>
    <t>We extend our thanks to our field team M Erickson, K Myers, V Peng and J-F Ghiglione for their expert assistance sampling in Antarctica and to the Palmer Station personnel in the US Antarctic Program for support, especially during the winter field season. The work was supported by the NSF grants, ANT 0632389 to AEM and JJG, and ANT 0632278 and ANT 0217282 to HD. The work of the Australian contingent was supported by the Australian Research Council. Mass spectrometric results were obtained at the Bioanalytical Mass Spectrometry Facility within the Analytical Centre of the University of New South Wales. This work was undertaken using infrastructure provided by NSW Government co-investment in the National Collaborative Research Infrastructure Scheme. Subsidized access to this facility is gratefully acknowledged.</t>
  </si>
  <si>
    <t>SPRINGERNATURE</t>
  </si>
  <si>
    <t>CAMPUS, 4 CRINAN ST, LONDON, N1 9XW, ENGLAND</t>
  </si>
  <si>
    <t>1751-7362</t>
  </si>
  <si>
    <t>1751-7370</t>
  </si>
  <si>
    <t>ISME J</t>
  </si>
  <si>
    <t>ISME J.</t>
  </si>
  <si>
    <t>10.1038/ismej.2012.28</t>
  </si>
  <si>
    <t>Ecology; Microbiology</t>
  </si>
  <si>
    <t>009WO</t>
  </si>
  <si>
    <t>WOS:000309056300008</t>
  </si>
  <si>
    <t>Grzymski, JJ; Riesenfeld, CS; Williams, TJ; Dussaq, AM; Ducklow, H; Erickson, M; Cavicchioli, R; Murray, AE</t>
  </si>
  <si>
    <t>Grzymski, Joseph J.; Riesenfeld, Christian S.; Williams, Timothy J.; Dussaq, Alex M.; Ducklow, Hugh; Erickson, Matthew; Cavicchioli, Ricardo; Murray, Alison E.</t>
  </si>
  <si>
    <t>A metagenomic assessment of winter and summer bacterioplankton from Antarctica Peninsula coastal surface waters</t>
  </si>
  <si>
    <t>Antarctic bacterioplankton; metagenomics; chemolithoautotrophy</t>
  </si>
  <si>
    <t>PLANKTONIC ARCHAEA; GENOMIC ANALYSIS; ARCTIC-OCEAN; SEA-ICE; MARINE; ASSEMBLAGES; COMMUNITIES; DIVERSITY; ABUNDANCE; BACTERIA</t>
  </si>
  <si>
    <t>Antarctic surface oceans are well-studied during summer when irradiance levels are high, sea ice is melting and primary productivity is at a maximum. Coincident with this timing, the bacterioplankton respond with significant increases in secondary productivity. Little is known about bacterioplankton in winter when darkness and sea-ice cover inhibit photoautotrophic primary production. We report here an environmental genomic and small subunit ribosomal RNA (SSU rRNA) analysis of winter and summer Antarctic Peninsula coastal seawater bacterioplankton. Intense inter-seasonal differences were reflected through shifts in community composition and functional capacities encoded in winter and summer environmental genomes with significantly higher phylogenetic and functional diversity in winter. In general, inferred metabolisms of summer bacterioplankton were characterized by chemoheterotrophy, photoheterotrophy and aerobic anoxygenic photosynthesis while the winter community included the capacity for bacterial and archaeal chemolithoautotrophy. Chemolithoautotrophic pathways were dominant in winter and were similar to those recently reported in global 'dark ocean' mesopelagic waters. If chemolithoautotrophy is widespread in the Southern Ocean in winter, this process may be a previously unaccounted carbon sink and may help account for the unexplained anomalies in surface inorganic nitrogen content. The ISME Journal (2012) 6, 1901-1915; doi:10.1038/ismej.2012.31; published online 26 April 2012</t>
  </si>
  <si>
    <t>[Grzymski, Joseph J.; Riesenfeld, Christian S.; Dussaq, Alex M.; Murray, Alison E.] Desert Res Inst, Div Earth &amp; Ecosyst Sci, Reno, NV 89512 USA; [Williams, Timothy J.; Cavicchioli, Ricardo] Univ New S Wales, Sch Biotechnol &amp; Biomol Sci, Sydney, NSW, Australia; [Ducklow, Hugh; Erickson, Matthew] Marine Biol Lab, Ctr Ecosyst, Woods Hole, MA 02543 USA</t>
  </si>
  <si>
    <t>Nevada System of Higher Education (NSHE); Desert Research Institute NSHE; University of New South Wales Sydney; Marine Biological Laboratory - Woods Hole</t>
  </si>
  <si>
    <t>Grzymski, JJ (corresponding author), Desert Res Inst, Div Earth &amp; Ecosyst Sci, 2215 Raggio Pkwy, Reno, NV 89512 USA.</t>
  </si>
  <si>
    <t>joeg@dri.edu; alison.murray@dri.edu</t>
  </si>
  <si>
    <t>Cavicchioli, Ricardo/D-4341-2013</t>
  </si>
  <si>
    <t>Cavicchioli, Ricardo/0000-0001-8989-6402; Grzymski, Joseph/0000-0003-2646-8958; Williams, Timothy/0000-0002-2738-3019</t>
  </si>
  <si>
    <t>Department of Energy; NSF [DBI-0532893]; National Science Foundation [ANT 0632389, ANT 0632278, 0217282]; Australian Research Council</t>
  </si>
  <si>
    <t>Department of Energy(United States Department of Energy (DOE)); NSF(National Science Foundation (NSF)); National Science Foundation(National Science Foundation (NSF)); Australian Research Council(Australian Research Council)</t>
  </si>
  <si>
    <t>We extend deep appreciation to Palmer Station personnel in the US Antarctic Program for collecting the samples used for creation of the winter fosmid library. The study would not have been possible without the JGI community sequencing program supported by the Department of Energy where library construction, DNA sequencing and automated annotation pipeline were performed. In particular, we thank Kerrie Barry, Susannah Tringe, Jim Bristow and Edward Rubin of the JGI. CSR was supported by an NSF Postdoctoral Fellowship in Biological Informatics (DBI-0532893). The research was supported by National Science Foundation awards: ANT 0632389 (to AEM and JJG), and ANT 0632278 and 0217282 (to HWD), all from the Antarctic Organisms and Ecosystems Program. We thank K Myers for assistance in the field. The Australian Research Council supported research of the Australian contingent.</t>
  </si>
  <si>
    <t>10.1038/ismej.2012.31</t>
  </si>
  <si>
    <t>Green Submitted, Green Published, hybrid</t>
  </si>
  <si>
    <t>WOS:000309056300009</t>
  </si>
  <si>
    <t>Chacón, J; de Assis, MC; Meerow, AW; Renner, SS</t>
  </si>
  <si>
    <t>Chacon, Juliana; de Assis, Marta Camargo; Meerow, Alan W.; Renner, Susanne S.</t>
  </si>
  <si>
    <t>From East Gondwana to Central America: historical biogeography of the Alstroemeriaceae</t>
  </si>
  <si>
    <t>JOURNAL OF BIOGEOGRAPHY</t>
  </si>
  <si>
    <t>Ancestral area reconstruction; Andean uplift; Austral-Antarctic families; Australia; East Gondwana; molecular clock; New Zealand; South America</t>
  </si>
  <si>
    <t>PHYLOGENETIC ANALYSES; SOUTH-AMERICA; EVOLUTION; CLIMATE; DIVERSIFICATION; VEGETATION; DISPERSAL; DIVERSITY; INSIGHTS; AGE</t>
  </si>
  <si>
    <t>Aim The Alstroemeriaceae is among 28 angiosperm families shared between South America, New Zealand and/or Australia; here, we examine the biogeography of Alstroemeriaceae to better understand the climatic and geological settings for its diversification in the Neotropics. We also compare Alstroemeriaceae with the four other Southern Hemisphere families that expanded from Patagonia to the equator, to infer what factors may have permitted such expansions across biomes. Location South America, Central America, Australia and New Zealand. Methods Three chloroplast genes, one mitochondrial gene and one nuclear DNA region were sequenced for 153 accessions representing 125 of the 200 species of Alstroemeriaceae from throughout the distribution range; 25 outgroup taxa were included to securely infer evolutionary directions and be able to use both ingroup and outgroup fossil constraints. A relaxed-clock model relied on up to three fossil calibrations, and ancestral ranges were inferred using statistical dispersalvicariance analysis (S-DIVA). Southern Hemisphere disjunctions in the flowering plants were reviewed for key biological traits, divergence times, migration directions and habitats occupied. Results The obtained chronogram and ancestral area reconstruction imply that the most recent common ancestor of Colchicaceae and Alstroemeriaceae lived in the Late Cretaceous in southern South America/Australasia, the ancestral region of Alstroemeriaceae may have been South America/Antarctica, and a single New Zealand species is due to recent dispersal from South America. Chilean Alstroemeria diversified with the uplift of the Patagonian Andes c. 18 Ma, and a hummingbird-pollinated clade (Bomarea) reached the northern Andes at 1113 Ma. The South American Arid Diagonal (SAAD), a belt of arid vegetation caused by the onset of the Andean rain shadow 1415 Ma, isolated a Brazilian clade of Alstroemeria from a basal Chilean/Argentinean grade. Main conclusions Only Alstroemeriaceae, Calceolariaceae, Cunoniaceae, Escalloniaceae and Proteaceae have expanded and diversified from Patagonia far into tropical latitudes. All migrated northwards along the Andes, but also reached south-eastern Brazil, in most cases after the origin of the SAAD. Our results from Alstroemeria now suggest that the SAAD may have been a major ecological barrier in southern South America.</t>
  </si>
  <si>
    <t>[Chacon, Juliana; Renner, Susanne S.] Univ Munich, Dept Biol, D-80638 Munich, Germany; [de Assis, Marta Camargo] EMBRAPA Meio Ambiente, Sao Paulo, Brazil; [Meerow, Alan W.] USDA ARS SHRS, Miami, FL 33101 USA</t>
  </si>
  <si>
    <t>University of Munich; Empresa Brasileira de Pesquisa Agropecuaria (EMBRAPA); United States Department of Agriculture (USDA)</t>
  </si>
  <si>
    <t>Chacón, J (corresponding author), Univ Munich, Dept Biol, Menzinger Str 67, D-80638 Munich, Germany.</t>
  </si>
  <si>
    <t>juliana.chacon@bio.lmu.de</t>
  </si>
  <si>
    <t>Pinilla, Juliana Chacon/N-1123-2015; Meerow, Alan/U-9019-2019; Renner, Susanne S/J-8895-2014</t>
  </si>
  <si>
    <t>Pinilla, Juliana Chacon/0000-0003-3993-2553; Meerow, Alan/0000-0003-1882-8327; Renner, Susanne S/0000-0003-3704-0703</t>
  </si>
  <si>
    <t>Deutsche Forschungsgemeinschaft [DFG RE 603/10-1]</t>
  </si>
  <si>
    <t>We thank J. Conran, University of Adelaide, G. Jordan, University of Tasmania, and J. Bruhl, University of New England, for material of Drymophila; L. Aagesen, Instituto de Botanica Darwinion, Argentina, for aliquots of Alstroemeria; F. Alzate, Universidad de Antioquia, J. Betancur, Universidad Nacional de Colombia, and S. Madrinan, Universidad de los Andes, for material of Bomarea from Colombia; E. Olate and D. Alarcon, Chile, for specimens and photos of Alstroemeria exserens and Luzuriaga, and P. Wilf, Pennsylvania State University, for advice on the fossil record of Smilax. This project was funded by a grant from the Deutsche Forschungsgemeinschaft (DFG RE 603/10-1).</t>
  </si>
  <si>
    <t>0305-0270</t>
  </si>
  <si>
    <t>1365-2699</t>
  </si>
  <si>
    <t>J BIOGEOGR</t>
  </si>
  <si>
    <t>J. Biogeogr.</t>
  </si>
  <si>
    <t>10.1111/j.1365-2699.2012.02749.x</t>
  </si>
  <si>
    <t>Ecology; Geography, Physical</t>
  </si>
  <si>
    <t>007GK</t>
  </si>
  <si>
    <t>WOS:000308876600006</t>
  </si>
  <si>
    <t>Kumar, A; Bhowmik, SKR; Das, AK</t>
  </si>
  <si>
    <t>Kumar, Anupam; Bhowmik, S. K. Roy; Das, Ananda K.</t>
  </si>
  <si>
    <t>Implementation of Polar WRF for short range prediction of weather over Maitri region in Antarctica</t>
  </si>
  <si>
    <t>JOURNAL OF EARTH SYSTEM SCIENCE</t>
  </si>
  <si>
    <t>Numerical weather prediction; Polar WRF; polar meteorology</t>
  </si>
  <si>
    <t>GREENLAND; MODEL; SIMULATIONS</t>
  </si>
  <si>
    <t>India Meteorological Department has implemented Polar WRF model for the Maitri (lat. 70 degrees 45'S, long. 11 degrees 44'E) region at the horizontal resolution of 15 km using initial and boundary conditions of the Global Forecast System (GFS T-382) operational at the India Meteorological Department (IMD). Main objective of this paper is to examine the performance skill of the model in the short-range time scale over the Maitri region. An inter-comparison of the time series of daily mean sea level pressure and surface winds of Maitri for the 24 hours and 48 hours forecast against the corresponding observed fields has been made using 90 days data for the period from 1 December 2010 to 28 February 2011. The result reveals that the performance of the Polar WRF is reasonable, good and superior to that of IMD GFS forecasts. GFS shows an underestimation of mean sea level pressure of the order of 16-17 hPa, with root mean square errors (RMSE) of order 21 hPa, whereas Polar WRF shows an overestimation of the order of 3-4 hPa with RMSE of 4 hPa. For the surface wind, GFS shows an overestimation of 1.9 knots at 24 hours forecast and an underestimation of 3.7 knots at 48 hours forecast with RMSE ranging between 8 and 11 knots. Whereas Polar WRF shows underestimation of 1.4 knots and 1.2 knots at 24 hours and 48 hours forecast with RMSE of 5 knots. The results of a case study illustrated in this paper, reveal that the model is capable of capturing synoptic weather features of Antarctic region. The performance of the model is found to be comparable with that of Antarctic Meso-scale Prediction System (AMPS) products.</t>
  </si>
  <si>
    <t>[Kumar, Anupam; Bhowmik, S. K. Roy; Das, Ananda K.] Indian Meteorol Dept, New Delhi 110003, India</t>
  </si>
  <si>
    <t>Ministry of Earth Sciences (MoES) - India; India Meteorological Department (IMD)</t>
  </si>
  <si>
    <t>Bhowmik, SKR (corresponding author), Indian Meteorol Dept, New Delhi 110003, India.</t>
  </si>
  <si>
    <t>skrb@imdmail.gov.in</t>
  </si>
  <si>
    <t>Das, Ananda Kumar/L-8388-2014</t>
  </si>
  <si>
    <t>0253-4126</t>
  </si>
  <si>
    <t>J EARTH SYST SCI</t>
  </si>
  <si>
    <t>J. Earth Syst. Sci.</t>
  </si>
  <si>
    <t>10.1007/s12040-012-0217-3</t>
  </si>
  <si>
    <t>Geosciences, Multidisciplinary; Multidisciplinary Sciences</t>
  </si>
  <si>
    <t>Geology; Science &amp; Technology - Other Topics</t>
  </si>
  <si>
    <t>036BV</t>
  </si>
  <si>
    <t>WOS:000311002300003</t>
  </si>
  <si>
    <t>Schweizer, M; Bowser, SS; Korsun, S; Pawlowski, J</t>
  </si>
  <si>
    <t>Schweizer, Magali; Bowser, Samuel S.; Korsun, Sergei; Pawlowski, Jan</t>
  </si>
  <si>
    <t>EMENDATION OF CIBICIDES ANTARCTICUS (SAIDOVA, 1975) BASED ON MOLECULAR, MORPHOLOGICAL, AND ECOLOGICAL DATA</t>
  </si>
  <si>
    <t>BENTHIC FORAMINIFERAL ASSEMBLAGES; EXPLORERS COVE; PHYLOGENY; DIVERSITY; SITE; SEA</t>
  </si>
  <si>
    <t>Shallow water Antarctic cibicidids are traditionally identified as Cibicides refulgens or Cibicidoides lobatulus. However, a recent phylogenetic study based on SSU rDNA sequence data has demonstrated that these Antarctic cibicidids form a well-supported clade that branches sister to Mediterranean C. refulgens and is only distantly related to C. lobatulus. Based on these DNA sequences, and a detailed scanning electron microscopic examination of material from Explorers Cove (McMurdo Sound), we place Antarctic cibicidids in a separate species Cibicides antarcticus (Saidova, 1975), which is emended here with molecular, morphological, and ecological features.</t>
  </si>
  <si>
    <t>[Schweizer, Magali] ETHZ, Inst Geol, CH-8092 Zurich, Switzerland; [Schweizer, Magali] Univ Edinburgh, Grant Inst Earth Sci, Sch GeoSci, Edinburgh EH9 3JW, Midlothian, Scotland; [Bowser, Samuel S.] New York State Dept Hlth, Wadsworth Ctr, Albany, NY 12201 USA; [Korsun, Sergei] PP Shirshov Oceanol Inst, Moscow 117997, Russia; [Pawlowski, Jan] Univ Geneva, Dept Genet &amp; Evolut, CH-1211 Geneva 4, Switzerland</t>
  </si>
  <si>
    <t>Swiss Federal Institutes of Technology Domain; ETH Zurich; University of Edinburgh; Wadsworth Center; State University of New York (SUNY) System; Russian Academy of Sciences; Shirshov Institute of Oceanology; University of Geneva</t>
  </si>
  <si>
    <t>Schweizer, M (corresponding author), ETHZ, Inst Geol, Sonneggstr 5, CH-8092 Zurich, Switzerland.</t>
  </si>
  <si>
    <t>magali.schweizer@ed.ac.uk</t>
  </si>
  <si>
    <t>Pawlowski, Jan/JNS-6857-2023; Korsun, Sergei/I-4613-2013; Schweizer, Magali/F-9358-2014</t>
  </si>
  <si>
    <t>Korsun, Sergei/0000-0003-1886-6470; Schweizer, Magali/0000-0001-5115-1616</t>
  </si>
  <si>
    <t>United States National Science Foundation [ANT-0739583]; Swiss NSF [200020-109639/2, 3100A0-125372]</t>
  </si>
  <si>
    <t>United States National Science Foundation(National Science Foundation (NSF)); Swiss NSF(Swiss National Science Foundation (SNSF))</t>
  </si>
  <si>
    <t>We thank Valeria Mikhalevich for providing copies and translation of Saidova's description of C. antarcticus, and Ivan Voltsky for imaging the holotype (no. 868 in Saidova's collection deposited at the Shirshov Institute of Oceanology, Moscow) and paratypes of C. antarcticus. We also thank Andrew Gooday and an anonymous reviewer for helpful suggestions on the text. United States National Science Foundation grant ANT-0739583 (S.S.B.) is acknowledged for support to obtain Explorers Cove Cibicides specimens. This study was also supported by the Swiss NSF grants 200020-109639/2 (M.S.) and 3100A0-125372 (J.P.)</t>
  </si>
  <si>
    <t>10.2113/gsjfr.42.4.340</t>
  </si>
  <si>
    <t>WOS:000311013400005</t>
  </si>
  <si>
    <t>Boland, EJD; Thompson, AF; Shuckburgh, E; Haynes, PH</t>
  </si>
  <si>
    <t>Boland, Emma J. D.; Thompson, Andrew F.; Shuckburgh, Emily; Haynes, Peter H.</t>
  </si>
  <si>
    <t>The Formation of Nonzonal Jets over Sloped Topography</t>
  </si>
  <si>
    <t>ANTARCTIC CIRCUMPOLAR CURRENT; QUASI-GEOSTROPHIC MODEL; MULTIPLE ZONAL JETS; BETA-PLANE CHANNEL; WIND-DRIVEN; MEAN FLOW; BAROCLINIC WAVES; SOUTHERN-OCEAN; TURBULENCE DRIVEN; EDDY DIFFUSIVITY</t>
  </si>
  <si>
    <t>Coherent jets are ubiquitous features of the ocean's circulation, and their characteristics, such as orientation and energetics, may be influenced by topography. In this study, the authors introduce a large-scale, topographic slope with an arbitrary orientation into quasigeostrophic, doubly periodic, barotropic and baroclinic systems. In both systems, the flow organizes itself into coherent tilted nonzonal jets that are aligned perpendicular to the barotropic potential vorticity (PV) gradient. In the two-layer system, the upper layer, the lower layer, and the barotropic PV gradients all have different orientations and therefore the jets cross the layer-wise PV gradients. The fact that the jets cross layer-wise PV gradients and the requirement of conservation of PV for fluid parcels together results in the drift of the tilted jets across the domain. Like their zonal counterparts, the tilted jets exhibit strong transport anisotropy. The dynamical response to jet deflection is very strong in the two-layer baroclinic case, with eddy energy production increasing by orders of magnitude as the topographic slope becomes more zonal. This increase in eddy energy is also reflected in an increase in jet spacing and a reduction in strength of the across-jet transport barriers, shown using an effective diffusivity diagnostic. The dynamics identified here, while formally valid within the constraints of quasigeostrophic scalings, provide important insight into the sensitive relationship between flow orientation and flow stability in regions with broad topographic slopes.</t>
  </si>
  <si>
    <t>[Boland, Emma J. D.; Haynes, Peter H.] Univ Cambridge, Cambridge, England; [Boland, Emma J. D.; Shuckburgh, Emily] British Antarctic Survey, Cambridge, England; [Thompson, Andrew F.] CALTECH, Pasadena, CA 91125 USA</t>
  </si>
  <si>
    <t>University of Cambridge; UK Research &amp; Innovation (UKRI); Natural Environment Research Council (NERC); NERC British Antarctic Survey; California Institute of Technology</t>
  </si>
  <si>
    <t>Boland, EJD (corresponding author), DAMTP, Ctr Math Sci, Wilberforce Rd, Cambridge CB3 0WA, England.</t>
  </si>
  <si>
    <t>e.boland@damtp.cam.ac.uk</t>
  </si>
  <si>
    <t>Boland, Emma/AFV-9181-2022</t>
  </si>
  <si>
    <t>Boland, Emma/0000-0003-2430-7763; Haynes, Peter/0000-0002-7726-6988; Shuckburgh, Emily/0000-0001-9206-3444</t>
  </si>
  <si>
    <t>NERC Advanced Research Fellowship [NE/H015760/1]; international DIMES project; NERC [NE/E006000/1, NE/E005667/1, NE/H015760/1, bas0100028, NE/G007179/1] Funding Source: UKRI; Natural Environment Research Council [NE/E005667/1, NE/H015760/1, NE/E006000/1, bas0100028, NE/G007179/1] Funding Source: researchfish</t>
  </si>
  <si>
    <t>NERC Advanced Research Fellowship(UK Research &amp; Innovation (UKRI)Natural Environment Research Council (NERC)); international DIMES project; NERC(UK Research &amp; Innovation (UKRI)Natural Environment Research Council (NERC)); Natural Environment Research Council(UK Research &amp; Innovation (UKRI)Natural Environment Research Council (NERC))</t>
  </si>
  <si>
    <t>We thank two anonymous reviewers for their helpful and interesting comments. We would like to acknowledge Samuel Bouvier for conducting some simulations at the start of this project. AFT was supported by a NERC Advanced Research Fellowship (NE/H015760/1). EJDB was supported by the international DIMES project.</t>
  </si>
  <si>
    <t>10.1175/JPO-D-11-0152.1</t>
  </si>
  <si>
    <t>WOS:000310183000002</t>
  </si>
  <si>
    <t>Orr, A; Bracegirdle, TJ; Hosking, JS; Jung, T; Haigh, JD; Phillips, T; Feng, WH</t>
  </si>
  <si>
    <t>Orr, Andrew; Bracegirdle, Thomas J.; Hosking, J. Scott; Jung, Thomas; Haigh, Joanna D.; Phillips, Tony; Feng, Wuhu</t>
  </si>
  <si>
    <t>Possible Dynamical Mechanisms for Southern Hemisphere Climate Change due to the Ozone Hole</t>
  </si>
  <si>
    <t>JOURNAL OF THE ATMOSPHERIC SCIENCES</t>
  </si>
  <si>
    <t>ZONAL FLOW VACILLATION; PLANETARY-WAVES; ANNULAR MODES; PART I; TROPOSPHERIC RESPONSE; DOWNWARD PROPAGATION; EDDY FEEDBACK; STRATOSPHERE; VARIABILITY; CIRCULATION</t>
  </si>
  <si>
    <t>The authors report a hypothesis for the dynamical mechanisms responsible for the strengthening of the Southern Hemisphere circumpolar winds from the lower stratosphere to the surface due to the ozone hole. A general circulation model forced by stratospheric ozone depletion representative of the ozone hole period successfully reproduced these observed changes. Investigation of the dynamical characteristics of the model therefore provides some insight into the actual mechanisms. From this the authors suggest the following: 1) An initial (radiative) strengthening of the lower-stratospheric winds as a result of ozone depletion conditions the polar vortex so that fewer planetary waves propagate up from the troposphere, resulting in weaker planetary wave driving. 2) This causes further strengthening of the vortex, which results in an additional reduction in upward-propagating planetary waves and initiates a positive feedback mechanism in which the weaker wave driving and the associated strengthened winds are drawn downward to the tropopause. 3) In the troposphere the midlatitude jet shifts poleward in association with increases in the synoptic wave fluxes of heat and momentum, which are the result of a positive feedback mechanism consisting of two components: 4) increases in low-level baroclinicity, and the subsequent generation of baroclinic activity (associated with a poleward heat flux), are collocated with the jet latitudinal position, and 5) strengthening anticyclonic shear increases the refraction of wave activity equatorward (associated with a poleward momentum flux). Finally, 6) confinement of planetary waves in the high-latitude troposphere is an important step to couple the stratospheric changes to the tropospheric response.</t>
  </si>
  <si>
    <t>[Orr, Andrew; Bracegirdle, Thomas J.; Hosking, J. Scott; Phillips, Tony] British Antarctic Survey, Cambridge CB3 0ET, England; [Jung, Thomas] European Ctr Medium Range Weather Forecasts, Reading RG2 9AX, Berks, England; [Haigh, Joanna D.] Univ London Imperial Coll Sci Technol &amp; Med, London, England; [Feng, Wuhu] Univ Leeds, Leeds, W Yorkshire, England</t>
  </si>
  <si>
    <t>UK Research &amp; Innovation (UKRI); Natural Environment Research Council (NERC); NERC British Antarctic Survey; European Centre for Medium-Range Weather Forecasts (ECMWF); Imperial College London; University of Leeds</t>
  </si>
  <si>
    <t>Orr, A (corresponding author), British Antarctic Survey, Madingley Rd, Cambridge CB3 0ET, England.</t>
  </si>
  <si>
    <t>anmcr@bas.ac.uk</t>
  </si>
  <si>
    <t>Bracegirdle, Tom/AAD-6060-2020; Haigh, Joanna D/F-6847-2014; FENG, WUHU/B-8327-2008; Jung, Thomas/J-5239-2012; Hosking, Scott/D-3437-2013</t>
  </si>
  <si>
    <t>FENG, WUHU/0000-0002-9907-9120; Jung, Thomas/0000-0002-2651-1293; Bracegirdle, Thomas/0000-0002-8868-4739; Hosking, Scott/0000-0002-3646-3504</t>
  </si>
  <si>
    <t>Natural Environment Research Council [ncas10009, bas0100023, NE/D002753/1] Funding Source: researchfish; NERC [NE/D002753/1, bas0100023] Funding Source: UKRI</t>
  </si>
  <si>
    <t>Natural Environment Research Council(UK Research &amp; Innovation (UKRI)Natural Environment Research Council (NERC)); NERC(UK Research &amp; Innovation (UKRI)Natural Environment Research Council (NERC))</t>
  </si>
  <si>
    <t>0022-4928</t>
  </si>
  <si>
    <t>1520-0469</t>
  </si>
  <si>
    <t>J ATMOS SCI</t>
  </si>
  <si>
    <t>J. Atmos. Sci.</t>
  </si>
  <si>
    <t>10.1175/JAS-D-11-0210.1</t>
  </si>
  <si>
    <t>016YG</t>
  </si>
  <si>
    <t>Bronze, Green Submitted, Green Accepted</t>
  </si>
  <si>
    <t>WOS:000309555200001</t>
  </si>
  <si>
    <t>Stowasser, G; Pond, DW; Collins, MA</t>
  </si>
  <si>
    <t>Stowasser, Gabriele; Pond, David W.; Collins, Martin A.</t>
  </si>
  <si>
    <t>Fatty acid trophic markers elucidate resource partitioning within the demersal fish community of South Georgia and Shag Rocks (Southern Ocean)</t>
  </si>
  <si>
    <t>MARINE BIOLOGY</t>
  </si>
  <si>
    <t>ICEFISH CHAMPSOCEPHALUS-GUNNARI; ANTARCTIC FISH; PATAGONIAN TOOTHFISH; LIPID COMPOSITIONS; NOTOTHENIOID FISH; EUPHAUSIA-SUPERBA; DIET; KRILL; CHANNICHTHYIDAE; TROPHODYNAMICS</t>
  </si>
  <si>
    <t>Fatty acid analysis was used to study the trophic ecology of 10 demersal fish species in the South Georgia region. Principal component analysis grouped the species into three general clusters, revealing resource partitioning between species. Two groups were characterised by large proportions of either monounsaturated or polyunsaturated fatty acids, separating species according to their predominant feeding habitat. The third group showed fatty acid signatures overlapping with either or both of the previous two groups, suggesting a more opportunistic feeding behaviour for these species. Intraspecific comparisons furthermore revealed dietary variability with size, year and geographical location in several species. Mackerel icefish (Champsocephalus gunnari) in particular showed inter-annual differences in muscle lipid concentrations closely linked to prey availability with low lipid contents found in years of low krill (Euphausia superba) abundance. Despite the intraspecific differences the majority of species could be easily distinguished from each other, which indicates the utility of this method in the dietary analysis of higher predators.</t>
  </si>
  <si>
    <t>[Stowasser, Gabriele; Pond, David W.] British Antarctic Survey, NERC, Cambridge CB3 0ET, England</t>
  </si>
  <si>
    <t>Stowasser, G (corresponding author), British Antarctic Survey, NERC, Madingley Rd, Cambridge CB3 0ET, England.</t>
  </si>
  <si>
    <t>gsto@bas.ac.uk</t>
  </si>
  <si>
    <t>, Martin/ABE-6728-2020; Collins, Martin A/J-8560-2017</t>
  </si>
  <si>
    <t>, Martin/0000-0001-7132-8650; Stowasser, Gabriele/0000-0002-0595-0772</t>
  </si>
  <si>
    <t>Government of South Georgia; South Sandwich Islands; NERC [dml010002, bas0100025] Funding Source: UKRI; Natural Environment Research Council [dml010002, bas0100025] Funding Source: researchfish</t>
  </si>
  <si>
    <t>Government of South Georgia; South Sandwich Islands; NERC(UK Research &amp; Innovation (UKRI)Natural Environment Research Council (NERC)); Natural Environment Research Council(UK Research &amp; Innovation (UKRI)Natural Environment Research Council (NERC))</t>
  </si>
  <si>
    <t>The authors thank the captain, crew and scientists on board RRS James Clark Ross during cruise JR 100 and on FPV Dorada during the South Georgia groundfish surveys in 2003, 2004 and 2006 (funded by the Government of South Georgia and the South Sandwich Islands). Thanks also to Peter Rothery for advice on statistical analysis and Peter Fretwell for creating the map in Fig. 1. This is a contribution to the Ecosystems Science programme at the British Antarctic Survey.</t>
  </si>
  <si>
    <t>0025-3162</t>
  </si>
  <si>
    <t>1432-1793</t>
  </si>
  <si>
    <t>MAR BIOL</t>
  </si>
  <si>
    <t>Mar. Biol.</t>
  </si>
  <si>
    <t>10.1007/s00227-012-2015-5</t>
  </si>
  <si>
    <t>010OM</t>
  </si>
  <si>
    <t>WOS:000309103900016</t>
  </si>
  <si>
    <t>Hamer, DJ; Childerhouse, SJ; Gales, NJ</t>
  </si>
  <si>
    <t>Hamer, Derek J.; Childerhouse, Simon J.; Gales, Nick J.</t>
  </si>
  <si>
    <t>Odontocete bycatch and depredation in longline fisheries: A review of available literature and of potential solutions</t>
  </si>
  <si>
    <t>acoustic; bycatch mortality; depredation; fishing; longline; operational interactions; odontocete; physical; toothed whale</t>
  </si>
  <si>
    <t>PORPOISE PHOCOENA-PHOCOENA; KILLER WHALE; FISHING GEAR; POPULATION-STRUCTURE; MARINE MAMMALS; SPERM-WHALES; ORCINUS-ORCA; OPERATIONAL INTERACTIONS; PSEUDORCA-CRASSIDENS; NEOPHOCA-CINEREA</t>
  </si>
  <si>
    <t>Operational interactions between odontocetes (i.e., toothed whales) and longline gear are a global phenomenon that may threaten the conservation of odontocete populations and the economic viability of longline fisheries. This review attempts to define the issue, summarize the trends and geographical extent of its occurrence over the last half century, explore the potential impact on odontocetes and on fisheries, and describe potential acoustic and physical mitigation solutions. Reports of odontocete bycatch rates are highly variable (between 0.002 and 0.231 individuals killed per set) and at least 20 species may be involved. Information about marine mammal population size, migration patterns and life history characteristics are scarce, although at least one population may be in decline due to losses attributable to longline bycatch. Information about the financial impact of depredation on pelagic longline fisheries is also scarce, although estimates of daily fleet-wide losses range between US$1,034 and US$8,495 (overall fleet income was not reported). Such biological and financial losses may be unsustainable. Recent developments in acoustic and physical mitigation technologies have yielded mixed results. Acoustic mitigation technologies have no moving parts, although require complex electronics. To date, they are insufficiently developed and their efficacy has been difficult to assess. Physical mitigation technologies generally require complex moving parts, although they are relatively simple to develop and assess. Further development and testing remains necessary before widespread implementation would be possible. Development of these approaches should be prioritized and a toolbox of various strategies and solutions should be compiled, because a single panacea to the problem is unlikely to emerge.</t>
  </si>
  <si>
    <t>[Hamer, Derek J.; Childerhouse, Simon J.; Gales, Nick J.] Australian Antarctic Div, Australian Marine Mammal Ctr, Kingston, Tas 7050, Australia</t>
  </si>
  <si>
    <t>Australian Antarctic Division</t>
  </si>
  <si>
    <t>Hamer, DJ (corresponding author), Australian Antarctic Div, Australian Marine Mammal Ctr, 203 Channel Highway, Kingston, Tas 7050, Australia.</t>
  </si>
  <si>
    <t>derek.hamer@aad.gov.au</t>
  </si>
  <si>
    <t>E345</t>
  </si>
  <si>
    <t>E374</t>
  </si>
  <si>
    <t>10.1111/j.1748-7692.2011.00544.x</t>
  </si>
  <si>
    <t>WOS:000309612800001</t>
  </si>
  <si>
    <t>Lautrédou, AC; Hinsinger, DD; Gallut, C; Cheng, CHC; Berkani, M; Ozouf-Costaz, C; Cruaud, C; Lecointre, G; Dettai, A</t>
  </si>
  <si>
    <t>Lautredou, A. -C.; Hinsinger, D. D.; Gallut, C.; Cheng, C. -H. C.; Berkani, M.; Ozouf-Costaz, C.; Cruaud, C.; Lecointre, G.; Dettai, A.</t>
  </si>
  <si>
    <t>Phylogenetic footprints of an Antarctic radiation: The Trematominae (Notothenioidei, Teleostei)</t>
  </si>
  <si>
    <t>Antarctica; Notothenioidei; Trematominae; Trematomus</t>
  </si>
  <si>
    <t>SPECIES FLOCK TELEOSTEI; MOLECULAR PHYLOGENETICS; MITOCHONDRIAL PHYLOGENY; FISHES PERCIFORMES; GENE-SEQUENCES; HOUSE MOUSE; EVOLUTION; DIVERGENCE; DNA; ACANTHOMORPHA</t>
  </si>
  <si>
    <t>The teleost suborder Notothenioidei is restricted to the Southern Ocean and has been described as a species flock spanning the whole of it. Within the suborder, the subfamily Trematominae is important for coastal Antarctic ecosystems. The eleven Trematomus species occupy a large range of ecological niches. The genus is monophyletic if the genus Pagothenia (two additional species) and Cryothenia amphitreta. also nested within it, are included. Although the Trematominae have received much interest, the relationships among these fourteen species are still unclear. Several recent studies have tried to resolve these interrelationships; however no complete and clear picture has emerged, probably because of the use of a low number of insufficiently variable markers. The only common results places T. scotti as the sister-group of the rest of the subfamily and T. loennbergi close to T. lepidorhinus. We use here more variable markers. Four nuclear markers, two of which are new, and a mitochondrial marker for the biggest trematomine sampling ever gathered (14 species, 78 specimens). We found that several nuclear haplotypes are shared by several species (mostly in very closely related species). The haplotype patterns coupled with the cytogenetics of the subfamily suggest that a phenomenon of incomplete lineage sorting (ILS) is likely to be at play. Using a calibration linked to fossil evidence, we evaluate the relative ages of each clade within the Trematominae to assess the proximity of the speciation events to one another. The main trematomine diversification was recent and sudden. (c) 2012 Elsevier Inc. All rights reserved.</t>
  </si>
  <si>
    <t>[Lautredou, A. -C.; Gallut, C.; Berkani, M.; Ozouf-Costaz, C.; Lecointre, G.; Dettai, A.] UPMC, Museum Natl Hist Nat, CNRS, IRD,MNHN,Dept Systemat &amp; Evolut,UMR7138, F-75005 Paris, France; [Hinsinger, D. D.] Univ Paris 11, CNRS UPS AgroParisTech, UMR 8079, F-91405 Orsay, France; [Cheng, C. -H. C.] Univ Illinois, Dept Anim Biol, Sch Integrat Biol, Urbana, IL 61801 USA; [Cruaud, C.] Ctr Natl Sequencage, Genascope, F-91057 Evry, France</t>
  </si>
  <si>
    <t>Institut de Recherche pour le Developpement (IRD); Museum National d'Histoire Naturelle (MNHN); Sorbonne Universite; Centre National de la Recherche Scientifique (CNRS); CNRS - National Institute for Biology (INSB); AgroParisTech; Universite Paris Saclay; Centre National de la Recherche Scientifique (CNRS); CNRS - Institute of Ecology &amp; Environment (INEE); University of Illinois System; University of Illinois Urbana-Champaign; Universite Paris Saclay</t>
  </si>
  <si>
    <t>Lautrédou, AC (corresponding author), UPMC, Museum Natl Hist Nat, CNRS, IRD,MNHN,Dept Systemat &amp; Evolut,UMR7138, F-75005 Paris, France.</t>
  </si>
  <si>
    <t>lautredou@mnhn.fr; damien.hinsinger@u-psud.fr; c-cheng@uiuc.edu; ozouf@mnhn.fr; lecointr@mnhn.fr; adettai@mnhn.fr</t>
  </si>
  <si>
    <t>Hinsinger, Damien/V-5892-2019; Dettai, Agnes/Q-6743-2019</t>
  </si>
  <si>
    <t>Hinsinger, Damien/0000-0001-7459-7610; Gallut, Cyril/0000-0002-6486-0179; Cruaud, Corinne/0000-0002-4752-7278</t>
  </si>
  <si>
    <t>Australian Antarctic Division; Japanese Science Foundation; French polar institute IPEV; CNRS; MNHN; ANR (White Project ANTFLOCKs USAR) [n07-BLAN-0213-01]; National Science Foundation Grant [OPP 01-32032]; Fondation TOTAL; Consortium National de Recherche en Genomique; 'Service de Systematique Moleculaire' of the Museum National d'Histoire Naturelle [IFR 101]</t>
  </si>
  <si>
    <t>Australian Antarctic Division; Japanese Science Foundation; French polar institute IPEV; CNRS(Centre National de la Recherche Scientifique (CNRS)); MNHN; ANR (White Project ANTFLOCKs USAR)(Agence Nationale de la Recherche (ANR)); National Science Foundation Grant(National Science Foundation (NSF)); Fondation TOTAL; Consortium National de Recherche en Genomique(General Electric); 'Service de Systematique Moleculaire' of the Museum National d'Histoire Naturelle(Centre National de la Recherche Scientifique (CNRS))</t>
  </si>
  <si>
    <t>We thank the crews and participants of the cruises involved in the capture of the samples, and especially the chief scientists of the CAML-CEAMARC cruises: G. Hosie, T. Ishimaru, M. Riddle and M. Stoddart. The CAML-CEAMARC cruises of R/V Aurora Australis and R/V Umitaka maru (IPY project no 53) were supported by the Australian Antarctic Division, the Japanese Science Foundation, the French polar institute IPEV, the CNRS, the MNHN and the ANR (White Project ANTFLOCKs USAR n07-BLAN-0213-01 directed by Guillaume Lecointre). The present work was also partly based on samples collected during the ICEFISH 2004 cruise (supported by National Science Foundation Grant OPP 01-32032 to H. William Detrich (Northestem University)) and the EPOS cruise (1989) for which we are grateful to the Alfred Wegener Institute and the European Science Foundation. This work was supported by the Fondation TOTAL, the 'Consortium National de Recherche en Genomique', and the 'Service de Systematique Moleculaire' of the Museum National d'Histoire Naturelle (IFR 101). It is part of the agreement number 2005/67 between the Genoscope and the Museum national d'Histoire naturelle on the project 'Macrophylogeny of life' directed by Guillaume Lecointre.</t>
  </si>
  <si>
    <t>10.1016/j.ympev.2012.05.032</t>
  </si>
  <si>
    <t>996CG</t>
  </si>
  <si>
    <t>WOS:000308061000009</t>
  </si>
  <si>
    <t>Strauss, SL; Garcia-Pichel, F; Day, TA</t>
  </si>
  <si>
    <t>Strauss, Sarah L.; Garcia-Pichel, Ferran; Day, Thomas A.</t>
  </si>
  <si>
    <t>Soil microbial carbon and nitrogen transformations at a glacial foreland on Anvers Island, Antarctic Peninsula</t>
  </si>
  <si>
    <t>Glacial foreland; Soil development; Nitrogen cycle; Nitrogen fixation; Succession</t>
  </si>
  <si>
    <t>GRADIENT GEL-ELECTROPHORESIS; 16S RIBOSOMAL-RNA; PRIMARY SUCCESSION; AMMONIUM OXIDATION; COLORADO PLATEAU; HIGH-ELEVATION; DIVERSITY; COMMUNITY; CYANOBACTERIA; FIXATION</t>
  </si>
  <si>
    <t>Microbial communities can play a critical role in soil development and succession at glacial forelands through their contribution to soil carbon (C) and nitrogen (N) cycling. Using a combination of molecular fingerprinting techniques and metabolic rate measurements, we examined the soil microbial community composition and key transformations in the C and N cycles at a glacial foreland on Anvers Island along the Antarctic Peninsula. Soils were sampled along transects representing a chronosequence of &lt; 1 to approximately 10 years since deglaciation. The soil microbial community was active adjacent to the receding edge of the glacier, where soil had been ice-free for &lt; 1 year. A survey of the microbial community composition identified typical soil bacterial species such as Arthrobacter and Sphingomonas, as well as known Antarctic heterotrophs, cyanobacteria and fungi. The soil C cycle over this zone was dominated by phototrophic microbial activity, while the N cycle was dominated by heterotrophic N-2-fixation and not cyanobacterial N-2-fixation as found at other recently deglaciated forelands. Other N transformations such as ammonia oxidation and denitrification appeared to be of limited relevance.</t>
  </si>
  <si>
    <t>[Strauss, Sarah L.; Garcia-Pichel, Ferran; Day, Thomas A.] Arizona State Univ, Sch Life Sci, Tempe, AZ 85287 USA</t>
  </si>
  <si>
    <t>Strauss, SL (corresponding author), Arizona State Univ, Sch Life Sci, Tempe, AZ 85287 USA.</t>
  </si>
  <si>
    <t>sarah.strauss@asu.edu</t>
  </si>
  <si>
    <t>Strauss, Sarah L/I-5141-2016; Day, Thomas/B-1462-2008</t>
  </si>
  <si>
    <t>Day, Thomas/0000-0002-1582-4585</t>
  </si>
  <si>
    <t>National Science Foundation [OPP-0230579]</t>
  </si>
  <si>
    <t>We thank personnel at Palmer Station and Raytheon Polar Services Company for their assistance in sample collection, administrative and logistical support. We thank Phil Spindler for his assistance in sample collection during the 2007-2008 field season. We also thank Scott Bates, Jessica Groch, and Ruth Potrafka for their assistance in the laboratory. This work was supported by National Science Foundation grant OPP-0230579.</t>
  </si>
  <si>
    <t>10.1007/s00300-012-1184-5</t>
  </si>
  <si>
    <t>WOS:000308331600001</t>
  </si>
  <si>
    <t>Eukaryotic phylotypes in aquatic moss pillars inhabiting a freshwater lake in East Antarctica, based on 18S rRNA gene analysis</t>
  </si>
  <si>
    <t>Antarctic lake; Moss pillars; Biodiversity; 18S rRNA gene; Eukaryote; Phylogenetic analyses</t>
  </si>
  <si>
    <t>CD-HIT; MARINE; ECOSYSTEMS; ECOLOGY; PROTISTS; CHYTRIDS; PROGRAM; PROTEIN; PCR</t>
  </si>
  <si>
    <t>Aquatic mosses of Leptobryum species form unique tower-like pillars of vegetation termed moss pillars in Antarctic lakes. Moss pillars have distinct redox-affected sections: oxidative exteriors and reductive interiors. We have proposed that a pillar is a community and habitat of functionally interdependent organisms and may represent a mini-biosphere. Batteries of 16S rRNA genotypes, or phylotypes, of eubacteria and cyanobacteria, but no archaea, have been identified in moss pillars. However, detailed identification or phylogenetic analyses of the moss and their associated eukaryotic microbiota have not been performed. This study analyzed near-full-length 18S rRNA gene sequences obtained from two whole moss pillars. In total, 28 PCR clone libraries from two whole moss pillars were constructed, and 96 clones from each library (total 2,688 clones) were randomly selected and sequenced. Molecular phylogenetic analysis revealed that the phylotype belonging to Bryophyta, considered to be derived from moss, was closely related (99.9 %) to the 18S rRNA gene sequence from Leptobryum pyriforme. Unexpectedly, phylotypes belonging to a novel clade of fungi dominated (approximately 27-75 %) the moss pillar libraries. This suggests that fungi may contribute to carbon cycling in the moss pillar as parasites or decomposers. In addition, phylotypes related to ciliates and tardigrades were subdominant in the exterior, while the phylotype of the ameba-like, single-celled eukaryote, Cercomonas (Cercozoa), was detected only in the interior. These features were shared by both moss pillars. The 18S rRNA gene-based profiles demonstrated that redox-related factors may control distribution of some eukaryotic microbes in a whole moss pillar.</t>
  </si>
  <si>
    <t>[Nakai, Ryosuke; Koi, Akiko; Naganuma, Takeshi] Hiroshima Univ, Grad Sch Biosphere Sci, Higashihiroshima, Hiroshima 7398528, Japan; [Nakai, Ryosuke] Japan Soc Promot Sci, Chiyoda Ku, Tokyo 1028471, Japan; [Abe, Takashi] Niigata Univ, Grad Sch Sci &amp; Technol, Nishi Ku, Niigata 9502181, Japan; [Baba, Tomoya; Kagoshima, Hiroshi; Niki, Hironori; Yanagihara, Katsuhiko] Transdisciplinary Res Integrat Ctr, Minato Ku, Tokyo 1050001, Japan; [Imura, Satoshi; Kanda, Hiroshi] Natl Inst Polar Res, Tachikawa, Tokyo 1908518, Japan; [Kagoshima, Hiroshi; Kohara, Yuji; Niki, Hironori] Natl Inst Genet, Mishima, Shizuoka 4118540, Japan</t>
  </si>
  <si>
    <t>Naganuma, T (corresponding author), Hiroshima Univ, Grad Sch Biosphere Sci, 1-4-4 Kagamiyama, Higashihiroshima, Hiroshima 7398528, Japan.</t>
  </si>
  <si>
    <t>BABA, Tomoya/H-2317-2013; Naganuma, Takeshi/AAX-7064-2021; Nakai, Ryosuke/O-6217-2015</t>
  </si>
  <si>
    <t>BABA, Tomoya/0000-0001-8986-5905; Naganuma, Takeshi/0000-0003-1925-9461; Nakai, Ryosuke/0000-0002-3078-6695; Niki, Hironori/0000-0002-5391-6595</t>
  </si>
  <si>
    <t>National Polar Research Institute; Transdisciplinary Research Integration Center, Research Organization of Information and Systems, Japan; Grants-in-Aid for Scientific Research [23510239, 23247012, 23710242, 11J30005] Funding Source: KAKEN</t>
  </si>
  <si>
    <t>National Polar Research Institute; Transdisciplinary Research Integration Center, Research Organization of Information and Systems, Japan; Grants-in-Aid for Scientific Research(Ministry of Education, Culture, Sports, Science and Technology, Japan (MEXT)Japan Society for the Promotion of ScienceGrants-in-Aid for Scientific Research (KAKENHI))</t>
  </si>
  <si>
    <t>We gratefully acknowledge the members of the 42nd Japanese Antarctic Research Expedition (JARE). We thank Kazuko Ohishi and Tadasu Shin-i for their excellent technical help. This study was supported by the National Polar Research Institute and the Transdisciplinary Research Integration Center, Research Organization of Information and Systems, Japan. The study was conducted as part of the Microbiological and Ecological Responses to Global Environmental Changes in Polar Regions (MERGE) program during the International Polar Year of 2007-2008.</t>
  </si>
  <si>
    <t>10.1007/s00300-012-1188-1</t>
  </si>
  <si>
    <t>WOS:000308331600004</t>
  </si>
  <si>
    <t>Bohuslavová, O; Smilauer, P; Elster, J</t>
  </si>
  <si>
    <t>Bohuslavova, Olga; Smilauer, Petr; Elster, Josef</t>
  </si>
  <si>
    <t>Usnea lichen community biomass estimation on volcanic mesas, James Ross Island, Antarctica</t>
  </si>
  <si>
    <t>Non-destructive field methods; Lichen biomass estimation; Usnea species; Maritime Antarctica; Image analysis</t>
  </si>
  <si>
    <t>CHLOROPHYLL-A; CLIMATE; COVER; VEGETATION; EQUATIONS; GROWTH; GREEN</t>
  </si>
  <si>
    <t>Ground macrolichens dominated by several species of fruticose Usnea spp. with foliose Leptogium puberulum constitute an important component of the terrestrial ecosystem of James Ross Island. Long-term monitoring of lichen communities in respect to their reaction to ongoing climatic changes in this part of Antarctica became a research task for scientists in recent years. The non-destructive estimation of lichen biomass provides data necessary for the management and protection of Antarctica. We have developed and tested the methodology of non-destructive estimation of biomass of fruticose Usnea species, which predominate in the ice-free tertiary basalt outcrop areas on James Ross Island. In 38 experimental squares (non-destructive measurements), the density and height of lichen thalli were measured and digital photography with ground cover evaluation was performed. Lichen biomass was harvested from 14 experimental squares and analysed for dry mass, chlorophyll a, b content, and thalli surface area (TSA). Predictive linear models were constructed from available non-destructively measured variables with the aim to maximize predictive accuracy for the destructively measured attributes. A total of 82.3 % of variability in the TSA values was explained (87.5 % for biomass determination). Cross-validated prediction error for lichen TSA estimation was 423 cm(2) (11.5 % of the average TSA). In the case of lichen dry mass determination, cross-validated prediction error was 4.53 g m(-2) (7.3 % of the average dry mass). This study proves that macrolichens in maritime Antarctica can be monitored non-destructively by simple field methods combining digital photography and measurements of lichen thalli in botanical squares.</t>
  </si>
  <si>
    <t>[Bohuslavova, Olga] Masaryk Univ, Fac Sci, Dept Geog, CS-61137 Brno, Czech Republic; [Smilauer, Petr; Elster, Josef] Univ S Bohemia, Fac Sci, Ceske Budejovice 37005, Czech Republic; [Elster, Josef] Acad Sci Czech Republ, Inst Bot, CS-37982 Trebon, Czech Republic</t>
  </si>
  <si>
    <t>Masaryk University Brno; University of South Bohemia Ceske Budejovice; Czech Academy of Sciences; Institute of Botany of the Czech Academy of Sciences</t>
  </si>
  <si>
    <t>Bohuslavová, O (corresponding author), Masaryk Univ, Fac Sci, Dept Geog, Kotlarska 2, CS-61137 Brno, Czech Republic.</t>
  </si>
  <si>
    <t>olga.bohuslavova@gmail.com; jelster@butbn.cas.cz</t>
  </si>
  <si>
    <t>Elster, Josef/B-1031-2008; Šmilauer, Petr/N-8313-2019</t>
  </si>
  <si>
    <t>Šmilauer, Petr/0000-0003-3065-5721; Elster, Josef/0000-0002-4535-5636</t>
  </si>
  <si>
    <t>Grant Agency of the Czech Republic [206/05/0253]; Grant Agency of the Ministry of Education of the Czech Republic [Kontakt ME 945, ME 934, LM-2010009 CzechPolar]; Ministry of Education [MSM-6007665801]</t>
  </si>
  <si>
    <t>Grant Agency of the Czech Republic(Grant Agency of the Czech RepublicNorwegian Agency for Development Cooperation - NORAD); Grant Agency of the Ministry of Education of the Czech Republic(Ministry of Education, Youth &amp; Sports - Czech Republic); Ministry of Education</t>
  </si>
  <si>
    <t>This work was funded by the Grant Agency of the Czech Republic (Grant No. 206/05/0253) and the Grant Agency of the Ministry of Education of the Czech Republic (Kontakt ME 945, ME 934, LM-2010009 CzechPolar). Petr Smilauer work was supported by a Ministry of Education grant (MSM-6007665801). The authors thank Professor Dr P. Prosek, Director of the Czech Antarctic Research Programme, Department of Geography, Faculty of Science, Masaryk University (Brno) and Professor Dr J. Komarek, Botany Project Leader, Department of Botany, Faculty of Science, University of South Bohemia, Ceske Budejovice as well as all members of the first and second Czech research expeditions to the J. G. Mendel Station for their support and friendship during our field work. We also appreciate help given by Professor Dr T. V. Callaghan, Abisko Scientific Research Station, who stimulated this research and gave us many pieces of advice and Dr. K. Edwards for language corrections.</t>
  </si>
  <si>
    <t>10.1007/s00300-012-1197-0</t>
  </si>
  <si>
    <t>WOS:000308331600011</t>
  </si>
  <si>
    <t>Santovito, G; Marino, SM; Sattin, G; Cappellini, R; Bubacco, L; Beltramini, M</t>
  </si>
  <si>
    <t>Santovito, Gianfranco; Marino, Stefano M.; Sattin, Giovanna; Cappellini, Rekha; Bubacco, Luigi; Beltramini, Mariano</t>
  </si>
  <si>
    <t>Cloning and characterization of cytoplasmic carbonic anhydrase from gills of four Antarctic fish: insights into the evolution of fish carbonic anhydrase and cold adaptation</t>
  </si>
  <si>
    <t>Carbonic anhydrase; Fish; Antarctica; Molecular evolution; Molecular modeling; Structure</t>
  </si>
  <si>
    <t>MULTIPLE SEQUENCE ALIGNMENT; ACID-BASE REGULATION; COMPARATIVE PHYSIOLOGY; CATALYTIC MECHANISM; MINIMUM-EVOLUTION; MITOCHONDRIAL; NOTOTHENIOIDEI; HISTIDINE-64; PHYLOGENIES; TELEOSTEI</t>
  </si>
  <si>
    <t>Although carbonic anhydrase is a ubiquitous enzyme involved in a variety of physiological processes, the information on its evolution and cold adaptation among Antarctic fish is still limited: the only Antarctic fish carbonic anhydrase characterized up-to-date is from Chionodraco hamatus, a member of the Channichthyidae family. In this work, we characterized orthologous genes within two other fish families: Nototheniidae (Trematomus eulepidotus, Trematomus lepidorhinus, Trematomus bernacchii) and Bathydraconidae (Cygnodraco mawsoni). The cDNAs of epithelial gill carbonic anhydrases were cloned and sequenced. Both coding and deduced amino acid sequences were used in phylogenetic analyses. The group of enzymes preferentially expressed in fish erythrocytes (CAIIb) represented the most conserved variant. This result suggests that, although the two variants derived from the same ancestor, CAIIc genes have a more complex evolutionary history than CAIIb. The peculiar distribution of Antarctic CAs among fish CAIIcs suggests that the CAIIc gene appeared at different times through independent duplication events, even after the speciation that led to the differentiation of Antarctic fish families. Using the new CA sequences, we built homology models to trace the expected consequences of sequence variability at the protein structure level. From these analyses, we inferred that sequence variability in Antarctic fish CAs affect important physicochemical properties of these proteins and consequentially influence their reactivity. Furthermore, we searched and tested the validity of various potential molecular trademarks for cold adaptation: significant features that can be related to cold adaptation in fish CAs include reduction of positively charged solvent accessible surfaces and an increased flexibility of N-terminal and C-terminal regions.</t>
  </si>
  <si>
    <t>[Santovito, Gianfranco; Sattin, Giovanna; Cappellini, Rekha; Bubacco, Luigi; Beltramini, Mariano] Univ Padua, Dept Biol, I-35131 Padua, Italy; [Marino, Stefano M.] Harvard Univ, Brigham &amp; Womens Hosp, Sch Med, Dept Med, Boston, MA 02115 USA</t>
  </si>
  <si>
    <t>University of Padua; Harvard University; Harvard Medical School; Brigham &amp; Women's Hospital</t>
  </si>
  <si>
    <t>Beltramini, M (corresponding author), Univ Padua, Dept Biol, Via Ugo Bassi 58-B, I-35131 Padua, Italy.</t>
  </si>
  <si>
    <t>mariano.beltramini@unipd.it</t>
  </si>
  <si>
    <t>Bubacco, Luigi/B-5602-2012; Santovito, Gianfranco/ABB-9484-2021</t>
  </si>
  <si>
    <t>Bubacco, Luigi/0000-0001-7927-9208; Santovito, Gianfranco/0000-0001-8260-7006</t>
  </si>
  <si>
    <t>Italian Program for Antarctic Research (PNRA)</t>
  </si>
  <si>
    <t>This research was partially supported by the Italian Program for Antarctic Research (PNRA).</t>
  </si>
  <si>
    <t>10.1007/s00300-012-1200-9</t>
  </si>
  <si>
    <t>WOS:000308331600013</t>
  </si>
  <si>
    <t>López, JL; Mac Cormack, WP</t>
  </si>
  <si>
    <t>Lopez, Jose L.; Mac Cormack, Walter P.</t>
  </si>
  <si>
    <t>Natural host infection by Antarctic marine podovirus</t>
  </si>
  <si>
    <t>REVISTA ARGENTINA DE MICROBIOLOGIA</t>
  </si>
  <si>
    <t>ABUNDANCE; PARTICLES</t>
  </si>
  <si>
    <t>[Lopez, Jose L.] Univ Buenos Aires, Fac Farm &amp; Bioquim, Catedra Virol, RA-1113 Buenos Aires, DF, Argentina; [Mac Cormack, Walter P.] Univ Buenos Aires, Fac Farm &amp; Bioquim, Catedra Biotecnol, RA-1113 Buenos Aires, DF, Argentina; [Mac Cormack, Walter P.] Inst Antartico Argentino, RA-1010 Buenos Aires, DF, Argentina</t>
  </si>
  <si>
    <t>University of Buenos Aires; University of Buenos Aires; Instituto Antartico Argentino</t>
  </si>
  <si>
    <t>López, JL (corresponding author), Univ Buenos Aires, Fac Farm &amp; Bioquim, Catedra Virol, Junin 956, RA-1113 Buenos Aires, DF, Argentina.</t>
  </si>
  <si>
    <t>jlopez@ffyb.uba.ar</t>
  </si>
  <si>
    <t>Mac Cormack, Walter/0000-0002-5280-5463</t>
  </si>
  <si>
    <t>ASOCIACION ARGENTINA MICROBIOLOGIA</t>
  </si>
  <si>
    <t>BUENOS AIRES</t>
  </si>
  <si>
    <t>BULNES 44 PB B, BUENOS AIRES, 00000, ARGENTINA</t>
  </si>
  <si>
    <t>0325-7541</t>
  </si>
  <si>
    <t>REV ARGENT MICROBIOL</t>
  </si>
  <si>
    <t>Rev. Argent. Microbiol.</t>
  </si>
  <si>
    <t>061DG</t>
  </si>
  <si>
    <t>WOS:000312826700014</t>
  </si>
  <si>
    <t>da Rosa, KK; Vieira, R; Simoes, JC</t>
  </si>
  <si>
    <t>da Rosa, Katia Kellem; Vieira, Rosemary; Simoes, Jefferson Cardia</t>
  </si>
  <si>
    <t>ESTIMATION OF THE WANDA GLACIER (SOUTH SHETLANDS) SEDIMENT EROSION RATE USING NUMERICAL MODELLING</t>
  </si>
  <si>
    <t>REVISTA BRASILEIRA DE GEOMORFOLOGIA</t>
  </si>
  <si>
    <t>Portuguese</t>
  </si>
  <si>
    <t>Numeric model glacial erosion; glacial sediment production rate; glacial dynamics; climatic variability</t>
  </si>
  <si>
    <t>Glacial sediment yield results from glacial erosion and is influenced by several factors including glacial retreat rate, ice flow velocity and thermal regime. This paper estimates the contemporary subglacial erosion rate and sediment yield of Wanda Glacier (King George Island, South Shetlands). This work also examines basal sediment evacuation mechanisms by runoff and glacial erosion processes during the subglacial transport. This is a small temperate glacier that has seen retreating for the last decades. The glacial erosion rate at Wanda Glacier, estimated using a numerical model that consider sediment evacuated to outlet streams, ice flow velocity, ice thickness and glacier area, is 1.1 ton m yr(-1).</t>
  </si>
  <si>
    <t>[da Rosa, Katia Kellem] UFGRS, Ctr Polar &amp; Climat, Campus Erechim,Av Dom Joao Hoffmann 313, BR-99700000 Erechim, RS, Brazil; [da Rosa, Katia Kellem] Univ Fed Fronteira Sul, BR-99700000 Erechim, RS, Brazil; [Vieira, Rosemary] Univ Fed Fluminense, Lab Proc Sedimentares &amp; Ambientais LAPSA, Dept Geog, Inst Geociencias, BR-24210346 Niteroi, RJ, Brazil; [Simoes, Jefferson Cardia] Univ Fed Rio Grande do Sul, Ctr Polar &amp; Climat, BR-91501970 Porto Alegre, RS, Brazil</t>
  </si>
  <si>
    <t>Universidade Federal da Fronteira Sul; Universidade Federal Fluminense; Universidade Federal do Rio Grande do Sul</t>
  </si>
  <si>
    <t>da Rosa, KK (corresponding author), UFGRS, Ctr Polar &amp; Climat, Campus Erechim,Av Dom Joao Hoffmann 313, BR-99700000 Erechim, RS, Brazil.</t>
  </si>
  <si>
    <t>katiakellem@gmail.com; rosemaryvieira@id.uff.br; jefferson.simoes@ufrgs.br</t>
  </si>
  <si>
    <t>Simoes, Jefferson Cardia/D-7232-2013; da Rosa, Kátia Kellem/AAO-8367-2020</t>
  </si>
  <si>
    <t>Simoes, Jefferson Cardia/0000-0001-5555-3401; da Rosa, Kátia Kellem/0000-0003-0977-9658</t>
  </si>
  <si>
    <t>Brazilian National Council for Scientific and Technological Development (CNPq) [573720/2008-8]; Center for Studies in Marine and Coastal (CECO/UFRGS); Brazilian Antarctic Program (PROANTAR)</t>
  </si>
  <si>
    <t>Brazilian National Council for Scientific and Technological Development (CNPq)(Conselho Nacional de Desenvolvimento Cientifico e Tecnologico (CNPQ)); Center for Studies in Marine and Coastal (CECO/UFRGS); Brazilian Antarctic Program (PROANTAR)</t>
  </si>
  <si>
    <t>The Brazilian National Council for Scientific and Technological Development (CNPq) project 573720/2008-8, the Center for Studies in Marine and Coastal (CECO/UFRGS) and the Brazilian Antarctic Program (PROANTAR) provided financial support for this investigation.</t>
  </si>
  <si>
    <t>UNIAO GEOMORFOLOGIA BRASILEIRA</t>
  </si>
  <si>
    <t>UBERLANDIA, BRAZIL</t>
  </si>
  <si>
    <t>UNIV FEDERAL UBERLANDIA, AV JOAO NAVES AVILA 2160, UBERLANDIA, BRAZIL, 00000, BRAZIL</t>
  </si>
  <si>
    <t>1519-1540</t>
  </si>
  <si>
    <t>2236-5664</t>
  </si>
  <si>
    <t>REV BRAS GEOMORFOL</t>
  </si>
  <si>
    <t>Rev. Bras. Geomorfol.</t>
  </si>
  <si>
    <t>Geography, Physical</t>
  </si>
  <si>
    <t>Physical Geography</t>
  </si>
  <si>
    <t>V1I6D</t>
  </si>
  <si>
    <t>WOS:000216937400003</t>
  </si>
  <si>
    <t>Núñez, JPR</t>
  </si>
  <si>
    <t>Reyes Nunez, Juan Pablo</t>
  </si>
  <si>
    <t>ANTARCTIC SEMANTICS</t>
  </si>
  <si>
    <t>REVISTA ESTUDIOS HEMISFERICOS Y POLARES</t>
  </si>
  <si>
    <t>Spanish</t>
  </si>
  <si>
    <t>Spanish Language; New World; Semantic Change</t>
  </si>
  <si>
    <t>This paper analyzes the meaning and implication of words used to describe Antarctic-related phenomena from the landscape and physical objects to the individuals stationed there, their activities, and their interaction. Attention is paid to how those individuals have semantically transformed the Spanish language in an effort to describe phenomena beyond the scope of traditional usage. The words and phrases that they have devised reflect a unique context with both material and immaterial points of reference.</t>
  </si>
  <si>
    <t>[Reyes Nunez, Juan Pablo] Univ Playa Ancha, Valparaiso, Chile</t>
  </si>
  <si>
    <t>Universidad de Playa Ancha</t>
  </si>
  <si>
    <t>Núñez, JPR (corresponding author), Univ Playa Ancha, Fac Humanidades, Av Playa Ancha 850, Valparaiso, Chile.</t>
  </si>
  <si>
    <t>jreyes@upla.cl</t>
  </si>
  <si>
    <t>CENTRO ESTUDIOS HEMISFERICOS &amp; POLARES</t>
  </si>
  <si>
    <t>VINA DEL MAR</t>
  </si>
  <si>
    <t>CALLE ROMA, 116, CALETA ABARCA, VINA DEL MAR, 2580060, CHILE</t>
  </si>
  <si>
    <t>0718-9230</t>
  </si>
  <si>
    <t>REV ESTUD HEMISFERIC</t>
  </si>
  <si>
    <t>Rev. Estud. Hemisfericos Polares</t>
  </si>
  <si>
    <t>Area Studies</t>
  </si>
  <si>
    <t>V36HA</t>
  </si>
  <si>
    <t>WOS:000215958100005</t>
  </si>
  <si>
    <t>Fernández, MJ</t>
  </si>
  <si>
    <t>Jara Fernandez, Mauricio</t>
  </si>
  <si>
    <t>THE SOUTHERN ISLES AND THE PREAMBLES OF THE CHILEAN ANTARCTIC POLICY, 1892-1896</t>
  </si>
  <si>
    <t>Chilean Southern Islands; Chilean Antarctic; Arbitral Award of 1902</t>
  </si>
  <si>
    <t>Chilean Antarctic History received an important impulse from the so-called question of the Southern Isles during the governorships of Magallanes of Briceno and Senoret between 1892 and 1896. The crucial element and key to this administrative and political process carried out by these governors was the discovery and exploitation of gold and the grazing and forestry activities in the southern isles of Navarino, Lennox, Picton and Nueva to the south of the Beagle Channel. After the Arbitral Award of 1902 the actions executed during that foundational period acquired an unexpected value and favoured the concession of marine and land resources to private persons in those southern islands and to the undefined south of Cape Horn and Diego Ramirez.</t>
  </si>
  <si>
    <t>[Jara Fernandez, Mauricio] Univ Playa Ancha, Valparaiso, Chile</t>
  </si>
  <si>
    <t>Fernández, MJ (corresponding author), Univ Playa Ancha, Fac Humanidades, Av Playa Ancha 850, Valparaiso, Chile.</t>
  </si>
  <si>
    <t>mjara@upla.cl</t>
  </si>
  <si>
    <t>WOS:000215958100006</t>
  </si>
  <si>
    <t>Shanhun, FL; Almond, PC; Clough, TJ; Smith, CMS</t>
  </si>
  <si>
    <t>Shanhun, Fiona L.; Almond, Peter C.; Clough, Tim J.; Smith, Carol M. S.</t>
  </si>
  <si>
    <t>Abiotic processes dominate CO2 fluxes in Antarctic soils</t>
  </si>
  <si>
    <t>SOIL BIOLOGY &amp; BIOCHEMISTRY</t>
  </si>
  <si>
    <t>Soil respiration; delta C-13(CO2); Organic C; Inorganic C; McMurdo Dry Valleys; Antarctic soils</t>
  </si>
  <si>
    <t>CARBON-ISOTOPE FRACTIONATION; TAYLOR VALLEY; VICTORIA LAND; ORGANIC-CARBON; BICARBONATE; DEPENDENCE; TURNOVER; STORAGE; ROCKS; DRIFT</t>
  </si>
  <si>
    <t>Ecosystems within the McMurdo Dry Valleys of Antarctica are highly sensitive to environmental change. Increases in soil temperature and/or moisture content may dramatically change rates of soil respiration and soil carbon (C) turnover. Present estimates of soil respiration rates and C turnover times are based on surface carbon dioxide (CO2) fluxes and soil organic C content. However, the assumption that surface CO2 fluxes are purely biological in origin has not been rigorously tested. We use concentration and, for the first time, the stable C isotopic composition of surface soil CO2 fluxes and subsurface CO2 profiles to: 1) examine mechanisms of soil CO2 uptake and release, 2) identify the location of potential CO2 sources and sinks within the soil profile, and 3) discriminate between biotic and abiotic contributions to CO2 fluxes in soils of Taylor Valley. Surface CO2 fluxes and subsurface CO2 profiles confirm that these soils take up and release CO2 on a daily basis (during the austral summer), associated with small changes in soil temperature. Shifts in the C isotopic composition of soil CO2 are inconsistent with biological mechanisms of CO2 production and consumption. Instead, the isotopic shifts can be accounted for by Henry's Law dissolution and exsolution of CO2 into a solution of high pH. driven by changes in soil temperature. Our results constrain the biological component of soil CO2 fluxes in Taylor Valley to less than 25% (and likely to be significantly less). This finding implies that previous measurements of surface soil CO2 fluxes are overestimates of soil respiration, thus C turnover times calculated from them are underestimates. Discriminating between biotic and abiotic contributions to CO2 fluxes in Antarctic dry valley soils is essential if the effects of climate change on these sensitive ecosystems are to be accurately identified. (C) 2012 Elsevier Ltd. All rights reserved.</t>
  </si>
  <si>
    <t>[Shanhun, Fiona L.; Almond, Peter C.; Clough, Tim J.; Smith, Carol M. S.] Lincoln Univ, Dept Soil &amp; Phys Sci, Lincoln 7647, New Zealand</t>
  </si>
  <si>
    <t>Lincoln University - New Zealand</t>
  </si>
  <si>
    <t>Shanhun, FL (corresponding author), Lincoln Univ, Dept Soil &amp; Phys Sci, POB 84, Lincoln 7647, New Zealand.</t>
  </si>
  <si>
    <t>fiona.shanhun@lincoln.ac.nz; peter.almond@lincoln.ac.nz; timothy.clough@lincoln.ac.nz; carol.smith@lincoln.ac.nz</t>
  </si>
  <si>
    <t>Brown, Barbara/J-3269-2012; smith, carol m s/F-3398-2018; Clough, Tim/Q-4982-2018</t>
  </si>
  <si>
    <t>smith, carol m s/0000-0002-6810-3546; Clough, Tim/0000-0002-5978-5274</t>
  </si>
  <si>
    <t>Helicopters New Zealand; William Machin Trust; Freemasons New Zealand; Kate Sheppard Memorial Trust</t>
  </si>
  <si>
    <t>We thank Prof. James Bockheim for his assistance and enthusiasm in the field, Neil Smith for his expert technical help with data logger and field equipment set-up, and Roger Cresswell for his invaluable assistance with sample analyses. We gratefully acknowledge the excellent logistical support provided by Antarctica New Zealand. Operational support was provided by the Lincoln University Research Fund. F.L.S thanks Helicopters New Zealand, the William Machin Trust, Freemasons New Zealand and the Kate Sheppard Memorial Trust for financial support. We also thank two anonymous reviewers for their constructive comments on the manuscript.</t>
  </si>
  <si>
    <t>0038-0717</t>
  </si>
  <si>
    <t>SOIL BIOL BIOCHEM</t>
  </si>
  <si>
    <t>Soil Biol. Biochem.</t>
  </si>
  <si>
    <t>10.1016/j.soilbio.2012.04.027</t>
  </si>
  <si>
    <t>983TK</t>
  </si>
  <si>
    <t>WOS:000307141400014</t>
  </si>
  <si>
    <t>Burge, CA; Petkaki, P; MacKinnon, AL</t>
  </si>
  <si>
    <t>Burge, C. A.; Petkaki, P.; MacKinnon, A. L.</t>
  </si>
  <si>
    <t>Particle Acceleration in the Presence of Weak Turbulence at an X-Type Neutral Point</t>
  </si>
  <si>
    <t>SOLAR PHYSICS</t>
  </si>
  <si>
    <t>Flares, energetic particles; Energetic particles, acceleration; Energetic particles, protons; Turbulence; Magnetic reconnection, theory</t>
  </si>
  <si>
    <t>MAGNETIC NULL POINT; ELECTRIC-FIELD; CURRENT SHEETS; CORONAL LOOPS; SOLAR CORONA; RAY-EMISSION; RECONNECTION; FLARE; OSCILLATIONS; RESISTIVITY</t>
  </si>
  <si>
    <t>We simulate the likely noisy situation near a reconnection region by superposing many 2D linear reconnection eigenmodes. The superposition of modes on the steady state X-type magnetic field creates multiple X- and O-type neutral points close to the original neutral point and so increases the size of the non-adiabatic region. We study test particle trajectories of initially thermal protons in these fields. Protons become trapped in this region and are accelerated by the turbulent electric field to energies up to 1 MeV in time scales relevant to solar flares. Higher energies are achieved due to the interaction of particles with increasingly turbulent electric and magnetic fields.</t>
  </si>
  <si>
    <t>[Burge, C. A.; MacKinnon, A. L.] Univ Glasgow, SUPA Sch Phys &amp; Astron, Glasgow G12 8QQ, Lanark, Scotland; [Petkaki, P.] Univ Cambridge, DAMTP, Ctr Math Sci, Cambridge CB3 0WA, England; [Burge, C. A.] British Antarctic Survey, Cambridge CB3 0ET, England</t>
  </si>
  <si>
    <t>University of Glasgow; University of Cambridge; UK Research &amp; Innovation (UKRI); Natural Environment Research Council (NERC); NERC British Antarctic Survey</t>
  </si>
  <si>
    <t>Burge, CA (corresponding author), Univ Glasgow, SUPA Sch Phys &amp; Astron, Glasgow G12 8QQ, Lanark, Scotland.</t>
  </si>
  <si>
    <t>c.burge@astro.gla.ac.uk; P.Petkaki@damtp.cam.ac.uk; alexander.mackinnon@glasgow.ac.uk</t>
  </si>
  <si>
    <t>MacKinnon, Alexander/K-3414-2017</t>
  </si>
  <si>
    <t>MacKinnon, Alexander/0000-0002-3558-4806</t>
  </si>
  <si>
    <t>STFC [ST/F002149/1]; British Antarctic Survey via a CASE; STFC of Astrophysical Fluid Dynamics/Atomic Astrophysics Group (DAMTP); Natural Environment Research Council [bas010011] Funding Source: researchfish; Science and Technology Facilities Council [ST/F002149/1, ST/G000816/1, ST/I001808/1] Funding Source: researchfish; NERC [bas010011] Funding Source: UKRI; STFC [ST/G000816/1, ST/I001808/1, ST/F002149/1] Funding Source: UKRI</t>
  </si>
  <si>
    <t>STFC(UK Research &amp; Innovation (UKRI)Science &amp; Technology Facilities Council (STFC)); British Antarctic Survey via a CASE; STFC of Astrophysical Fluid Dynamics/Atomic Astrophysics Group (DAMTP);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</si>
  <si>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CAB acknowledges support from STFC and the British Antarctic Survey via a CASE studentship, and would like to thank Dr M. Freeman and Prof. Tom Van Doorsselaere for useful discussions. PP acknowledges support from the STFC Rolling Grant of Astrophysical Fluid Dynamics/Atomic Astrophysics Group (DAMTP). ALM thanks STFC for support through Rolling Grant ST/F002149/1.</t>
  </si>
  <si>
    <t>0038-0938</t>
  </si>
  <si>
    <t>SOL PHYS</t>
  </si>
  <si>
    <t>Sol. Phys.</t>
  </si>
  <si>
    <t>10.1007/s11207-012-9963-2</t>
  </si>
  <si>
    <t>021DP</t>
  </si>
  <si>
    <t>WOS:000309865800023</t>
  </si>
  <si>
    <t>Gopalswamy, N; Xie, H; Yashiro, S; Akiyama, S; Mäkelä, P; Usoskin, IG</t>
  </si>
  <si>
    <t>Gopalswamy, N.; Xie, H.; Yashiro, S.; Akiyama, S.; Maekelae, P.; Usoskin, I. G.</t>
  </si>
  <si>
    <t>Properties of Ground Level Enhancement Events and the Associated Solar Eruptions During Solar Cycle 23</t>
  </si>
  <si>
    <t>SPACE SCIENCE REVIEWS</t>
  </si>
  <si>
    <t>CME; Solar flare; GLE; Shock; Radio bursts; SEP</t>
  </si>
  <si>
    <t>CORONAL MASS EJECTIONS; ENERGETIC PARTICLES; MAGNETIC-FIELD; RELEASE TIMES; RADIO-BURSTS; PROTON EVENTS; III BURSTS; NEAR-SUN; ACCELERATION; PROMINENCES</t>
  </si>
  <si>
    <t>Solar cycle 23 witnessed the most complete set of observations of coronal mass ejections (CMEs) associated with the Ground Level Enhancement (GLE) events. We present an overview of the observed properties of the GLEs and those of the two associated phenomena, viz., flares and CMEs, both being potential sources of particle acceleration. Although we do not find a striking correlation between the GLE intensity and the parameters of flares and CMEs, the solar eruptions are very intense involving X-class flares and extreme CME speeds (average similar to 2000 km/s). An M7.1 flare and a 1200 km/s CME are the weakest events in the list of 16 GLE events. Most (80 %) of the CMEs are full halos with the three non-halos having widths in the range 167 to 212 degrees. The active regions in which the GLE events originate are generally large: 1290 msh (median 1010 msh) compared to 934 msh (median: 790 msh) for SEP-producing active regions. For accurate estimation of the CME height at the time of metric type II onset and GLE particle release, we estimated the initial acceleration of the CMEs using flare and CME observations. The initial acceleration of GLE-associated CMEs is much larger (by a factor of 2) than that of ordinary CMEs (2.3 km/s(2) vs. 1 km/s(2)). We confirmed the initial acceleration for two events for which CME measurements are available in the inner corona. The GLE particle release is delayed with respect to the onset of all electromagnetic signatures of the eruptions: type II bursts, low frequency type III bursts, soft X-ray flares and CMEs. The presence of metric type II radio bursts some 17 min (median: 16 min; range: 3 to 48 min) before the GLE onset indicates shock formation well before the particle release. The release of GLE particles occurs when the CMEs reach an average height of similar to 3.09 R (s) (median: 3.18 R (s) ; range: 1.71 to 4.01 R (s) ) for well-connected events (source longitude in the range W20-W90). For poorly connected events, the average CME height at GLE particle release is similar to 66 % larger (mean: 5.18 R (s) ; median: 4.61 R (s) ; range: 2.75-8.49 R (s) ). The longitudinal dependence is consistent with shock accelerations because the shocks from poorly connected events need to expand more to cross the field lines connecting to an Earth observer. On the other hand, the CME height at metric type II burst onset has no longitudinal dependence because electromagnetic signals do not require magnetic connectivity to the observer. For several events, the GLE particle release is very close to the time of first appearance of the CME in the coronagraphic field of view, so we independently confirmed the CME height at particle release. The CME height at metric type II burst onset is in the narrow range 1.29 to 1.8 R (s) , with mean and median values of 1.53 and 1.47 R (s) . The CME heights at metric type II burst onset and GLE particle release correspond to the minimum and maximum in the Alfv,n speed profile. The increase in CME speed between these two heights suggests an increase in Alfv,nic Mach number from 2 to 3. The CME heights at GLE particle release are in good agreement with those obtained from the velocity dispersion analysis (Reames in Astrophys. J. 693:812, 2009a; Astrophys. J. 706:844, 2009b) including the source longitude dependence. We also discuss the implications of the delay of GLE particle release with respect to complex type III bursts by similar to 18 min (median: 16 in; range: 2 to 44 min) for the flare acceleration mechanism. A similar analysis is also performed on the delay of particle release relative to the hard X-ray emission.</t>
  </si>
  <si>
    <t>[Gopalswamy, N.; Xie, H.; Yashiro, S.; Akiyama, S.; Maekelae, P.] NASA, Goddard Space Flight Ctr, Greenbelt, MD 20771 USA; [Xie, H.; Yashiro, S.; Akiyama, S.; Maekelae, P.] Catholic Univ Amer, Washington, DC 20064 USA; [Usoskin, I. G.] Univ Oulu, Sodankyla Geophys Observ, Oulu Unit, Oulu 90014, Finland; [Usoskin, I. G.] Univ Oulu, Dept Phys, Oulu 90014, Finland</t>
  </si>
  <si>
    <t>National Aeronautics &amp; Space Administration (NASA); NASA Goddard Space Flight Center; Catholic University of America; University of Oulu; University of Oulu</t>
  </si>
  <si>
    <t>Gopalswamy, N (corresponding author), NASA, Goddard Space Flight Ctr, Greenbelt, MD 20771 USA.</t>
  </si>
  <si>
    <t>Nat.Gopalswamy@nasa.gov</t>
  </si>
  <si>
    <t>Gopalswamy, Nat/D-3659-2012; Usoskin, Ilya/E-5089-2014</t>
  </si>
  <si>
    <t>Gopalswamy, Nat/0000-0001-5894-9954; Usoskin, Ilya/0000-0001-8227-9081; Makela, Pertti/0000-0002-8182-4559</t>
  </si>
  <si>
    <t>NASA [NNX09AT38A, NNX10AL50A]; NASA [108104, NNX10AL50A, 129433, NNX09AT38A] Funding Source: Federal RePORTER</t>
  </si>
  <si>
    <t>NASA(National Aeronautics &amp; Space Administration (NASA)); NASA(National Aeronautics &amp; Space Administration (NASA))</t>
  </si>
  <si>
    <t>Works done by H.X., S.Y., S.A., and P.M. were supported by NASA (NNX09AT38A; NNX10AL50A). Part of this work was done during two LWS CDAWs on Ground Level Enhancement events held in Palo Alto, CA (January 6-9, 2009) and Huntsville, AL (November 16-18, 2009). We acknowledge downloading neutron monitor data from three GLE databases: Australian Antarctic Data Centre http://data.aad.gov.au/aadc/gle/; NMDB http://www.nmdb.eu/nest/search.php and Moscow database ftp://cr0.izmiran.rssi.ru/COSRAY!/. Oulu NM data are available at http://cosmicrays.oulu.fi. We also thank the Mauna Loa solar Observatory for making coronal images available online, which we used for Fig. 15. We also thank the referee, E.W. Cliver, for critical comments, which helped improve the presentation of the paper.</t>
  </si>
  <si>
    <t>0038-6308</t>
  </si>
  <si>
    <t>1572-9672</t>
  </si>
  <si>
    <t>SPACE SCI REV</t>
  </si>
  <si>
    <t>Space Sci. Rev.</t>
  </si>
  <si>
    <t>1-4</t>
  </si>
  <si>
    <t>10.1007/s11214-012-9890-4</t>
  </si>
  <si>
    <t>014CJ</t>
  </si>
  <si>
    <t>WOS:000309352400003</t>
  </si>
  <si>
    <t>Dessai, RR; Desa, JAE; Sen, D; Mazumder, S</t>
  </si>
  <si>
    <t>Dessai, Reshma Raut; Desa, J. A. E.; Sen, D.; Mazumder, S.</t>
  </si>
  <si>
    <t>Nano-Porous Structure of a Porous Ceramics from Rice Husk</t>
  </si>
  <si>
    <t>TRANSACTIONS OF THE INDIAN CERAMIC SOCIETY</t>
  </si>
  <si>
    <t>Sintering; Sol-gel processes; Electron microscopy; Nanopores; Scattering</t>
  </si>
  <si>
    <t>HULL ASH; SCATTERING; BIOCERAMICS; SILICA</t>
  </si>
  <si>
    <t>A porous ceramics is obtained using rice husk as the source of silica. The modification of mesoscopic structure under different sintering conditions has been investigated using neutron scattering techniques and scanning electron microscopy. X-ray diffraction confirmed the purity of silica by comparing the diffraction pattern from pure silica. Thermogravimetry data show that a phase transition occurs at 750 degrees C. X-ray data confirms that sodium calcium silicate is formed after the latter transition. Small angle neutron scattering measurements reveal the presence of nanopores of two distinct size ranges; viz. 162 and 30 nm. Porosity of the compact by bulk density measurement has been found to be similar to 50%.</t>
  </si>
  <si>
    <t>[Dessai, Reshma Raut; Desa, J. A. E.; Sen, D.; Mazumder, S.] Goa Univ, Dept Phys, Taleigao Plateau 403206, Goa, India</t>
  </si>
  <si>
    <t>Goa University</t>
  </si>
  <si>
    <t>Desa, JAE (corresponding author), Goa Univ, Dept Phys, Taleigao Plateau 403206, Goa, India.</t>
  </si>
  <si>
    <t>erwindesa@gmail.com</t>
  </si>
  <si>
    <t>Dessai, Reshma Raut/AAY-1322-2020; Sen, Debasis/K-6391-2015</t>
  </si>
  <si>
    <t>UGC-DAE CSR [CRS-M-148]</t>
  </si>
  <si>
    <t>UGC-DAE CSR</t>
  </si>
  <si>
    <t>The authors gratefully acknowledge funding of this work by UGC-DAE CSR (CRS-M-148). The authors are also grateful to the Director, National Centre for Antarctic and Ocean Research, Vasco da Gama, Goa for their generous help with the SEM micrographs and EDX data.</t>
  </si>
  <si>
    <t>INDIAN CERAMIC SOC</t>
  </si>
  <si>
    <t>KOLKATA</t>
  </si>
  <si>
    <t>CENTRAL GLASS &amp; CERAMIC RES INST, KOLKATA, 700 032, INDIA</t>
  </si>
  <si>
    <t>0371-750X</t>
  </si>
  <si>
    <t>2165-5456</t>
  </si>
  <si>
    <t>T INDIAN CERAM SOC</t>
  </si>
  <si>
    <t>Trans. Indian Ceram. Soc.</t>
  </si>
  <si>
    <t>10.1080/0371750X.2013.775764</t>
  </si>
  <si>
    <t>Materials Science, Ceramics</t>
  </si>
  <si>
    <t>Materials Science</t>
  </si>
  <si>
    <t>265EU</t>
  </si>
  <si>
    <t>WOS:000327933300016</t>
  </si>
  <si>
    <t>Nishimura, K; Ishimaru, T</t>
  </si>
  <si>
    <t>Nishimura, K.; Ishimaru, T.</t>
  </si>
  <si>
    <t>Development of an automatic blowing-snow station</t>
  </si>
  <si>
    <t>COLD REGIONS SCIENCE AND TECHNOLOGY</t>
  </si>
  <si>
    <t>Blowing snow; Antarctica; Snow particle counter (SPC); Automatic blowing-snow station (ABS)</t>
  </si>
  <si>
    <t>SUBLIMATION; PROFILE; HALLEY</t>
  </si>
  <si>
    <t>Blowing snow is a significant component of the mass and energy balance of the Antarctic ice sheet, and is an important factor when predicting the likely effects of global climate change. Nishimura and Nemoto (2005) carried out blowing snow observations at Mizuho Station, Antarctica in 2000 using Snow Particle Counters (SPCs) able to sense particle diameter as well as particle number. However, the SPC requires a large power supply and data are stored on computer. Deployment of an SPC is therefore not always practical for unmanned observations, particularly under the severe conditions in Antarctica. In this study, we developed a simpler device - the automatic blowing-snow station (ABS) - that measures the attenuation of light intensity, which is strongly influenced by the blowing snow flux. A small wind turbine and a cold-proof battery are used as the power source. We tested the performance of the ABS system in a cold wind-tunnel, in comparison with the SPC. We also undertook field testing of the ABS during the winter of 2009-2010 at Ishikari, Japan, which showed that the system performs well. (C) 2012 Elsevier B.V. All rights reserved.</t>
  </si>
  <si>
    <t>[Nishimura, K.] Nagoya Univ, Grad Sch Environm Studies, Nagoya, Aichi 4648601, Japan; [Ishimaru, T.] Niigata Elect Co Ltd, Nagaoka, Niigata 9401101, Japan</t>
  </si>
  <si>
    <t>Nagoya University</t>
  </si>
  <si>
    <t>Nishimura, K (corresponding author), Nagoya Univ, Grad Sch Environm Studies, Furo Cho, Nagoya, Aichi 4648601, Japan.</t>
  </si>
  <si>
    <t>knishi@nagoya-u.jp</t>
  </si>
  <si>
    <t>NISHIMURA, Kouichi/0000-0003-2521-2491</t>
  </si>
  <si>
    <t>Ministry of Education, Culture, Sports, Science and Technology of Japan [22253001]; Grants-in-Aid for Scientific Research [22253001] Funding Source: KAKEN</t>
  </si>
  <si>
    <t>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</si>
  <si>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The authors are grateful to all colleagues who participated in the wind-tunnel experiments. In particular, we acknowledge the helpful suggestions and comments from T. Sato, K. Kosugi and M. Nemoto at the National Research Institute for Earth Science and Disaster Prevention, Japan, and F. Naaim-Bouvet and H. Bellot at IRSTEA, France. Y. Takechi and M. Matsuzawa at the Civil Engineering Research Institute for Cold Region, Japan are thanked for their assistance in the field, as this work could not have been accomplished without their cooperation. This research was supported by Grants-in-Aid No. 22253001 from the Ministry of Education, Culture, Sports, Science and Technology of Japan.</t>
  </si>
  <si>
    <t>0165-232X</t>
  </si>
  <si>
    <t>1872-7441</t>
  </si>
  <si>
    <t>COLD REG SCI TECHNOL</t>
  </si>
  <si>
    <t>Cold Reg. Sci. Tech.</t>
  </si>
  <si>
    <t>10.1016/j.coldregions.2012.05.005</t>
  </si>
  <si>
    <t>Engineering, Environmental; Engineering, Civil; Geosciences, Multidisciplinary</t>
  </si>
  <si>
    <t>Engineering; Geology</t>
  </si>
  <si>
    <t>978EN</t>
  </si>
  <si>
    <t>WOS:000306723500005</t>
  </si>
  <si>
    <t>Kharitonov, VV</t>
  </si>
  <si>
    <t>Kharitonov, Victor V.</t>
  </si>
  <si>
    <t>Internal structure and porosity of ice ridges investigated at North Pole-38 drifting station</t>
  </si>
  <si>
    <t>Ice ridge; Thermal drilling; Internal structure; Consolidated layer; Porosity</t>
  </si>
  <si>
    <t>The paper presents the investigation results of morphometric characteristics of three first-year ice ridges conducted in March-June 2011 at North Pole-38 drifting station. The height of the ice ridge sail ranged within 3.3-6.1 m; keel draft, from 10.2 to 18.9 m. These studies were conducted using electric thermal drilling with computer recording of the penetration rate. Boreholes were drilled along the cross-section of the ridge crest at 0.5 m intervals. Cross-sectional profiles of ice ridges are illustrated. In each borehole, ice ridge porosity was calculated as the ratio of the length of all voids to total length of the borehole. Distribution of ice ridge porosity along the cross-section seems to be rather regular. Depth-wise distribution of volume content of solid ice phase is shown for the investigated ice ridges. Average thickness of consolidated layer of ice ridges ranged within 0.8 ... 2.6 m. (C) 2012 Elsevier B.V. All rights reserved.</t>
  </si>
  <si>
    <t>Arctic &amp; Antarctic Res Inst, State Inst, St Petersburg 199397, Russia</t>
  </si>
  <si>
    <t>Kharitonov, VV (corresponding author), Arctic &amp; Antarctic Res Inst, State Inst, 38 Beringa St, St Petersburg 199397, Russia.</t>
  </si>
  <si>
    <t>sogra.kharitonov@mail.ru</t>
  </si>
  <si>
    <t>Kharitonov, Victor/0000-0003-1847-9980</t>
  </si>
  <si>
    <t>10.1016/j.coldregions.2012.05.018</t>
  </si>
  <si>
    <t>WOS:000306723500015</t>
  </si>
  <si>
    <t>Yang, EJ; Hyun, JH; Kim, D; Park, J; Mang, SH; Shin, HC; Lee, S</t>
  </si>
  <si>
    <t>Yang, Eun Jin; Hyun, Jung-Ho; Kim, Dongseon; Park, Jisoo; Mang, Sung-Ho; Shin, Hyoung Chul; Lee, SangHoon</t>
  </si>
  <si>
    <t>Mesoscale distribution of protozooplankton communities and their herbivory in the western Scotia Sea of the Southern Ocean during the austral spring</t>
  </si>
  <si>
    <t>Antarctic; Dilution method; Grazing rate; Protozooplankton; Western Scotia Sea</t>
  </si>
  <si>
    <t>ANTARCTIC POLAR FRONT; MARGINAL ICE-ZONE; ATLANTIC SECTOR; GRAZING IMPACT; WEDDELL SEA; MICROBIAL COMMUNITY; PHYTOPLANKTON GROWTH; DILUTION EXPERIMENTS; CCAMLR 2000; MICROZOOPLANKTON</t>
  </si>
  <si>
    <t>The distribution and structure of protozooplankton communities and the impact of their grazing on phytoplankton during spring were studied as part of the 15th Korean Antarctic Research Program in the western Scotia Sea. Water mass identities were determined based on physicochemical properties, with four regions identified: north of the Polar Front (NPF), Polar Front (PF), South of the Polar Front (SPF), and the South Antarctic Circumpolar Current region (SACCr). Physicochemical characteristics of the water column significantly influenced the distribution and structure of phytoplankton and protozooplankton communities. The NPF was characterized by relatively warmer water, low nutrient, low chlorophyll a (chla), and pico-sized phytoplankton predominance (i.e., cyanobacteria and eukaryotic picoflagellates). Nano-sized phytoplankton such as Phaeocystis antarctica and Cryptomonas sp. dominated in the SACCr with its colder water, higher nutrient, and higher chla concentrations. Despite the relatively slightly high chla concentration in the PF, micro-sized phytoplankton, especially diatoms, were abundant. Large changes in protozooplankton biomass and community were observed between water masses. Heterotrophic nanoflagellates including choanoflagellates and nanociliates declined in abundance from the NPF to SACCr, whereas heterotrophic dinoflagellates (HDF) and microciliates increased in abundance from the NPF to SACCr. Ciliates declined in importance from the NPF to SACCr, accounting for over 50% of the total protozooplankton biomass in the NPF. In contrast, HDF comprised over 50% of the total in the SPF, PF, and SACCr. The depth-integrated protozooplankton biomass ranged from 443.2 to 934.0 mg C m(-2), and was highest in the PF and lowest in the NPF. These relationships suggest that the spatial variation in the community and biomass of protozooplankton appears to be primarily governed by the community and size structure of phytoplankton. Protozooplankton consumed an average of 76.9% of daily phytoplankton production. Therefore, protozooplankton were the major consumers of the diverse phytoplankton community, and protozooplankton, grazing is one of the most important loss processes affecting phytoplankton biomass and composition during spring in the western Scotia Sea. Crown Copyright (C) 2012 Published by Elsevier B.V. All rights reserved.</t>
  </si>
  <si>
    <t>[Yang, Eun Jin; Park, Jisoo; Mang, Sung-Ho; Shin, Hyoung Chul; Lee, SangHoon] Korea Polar Res Inst, Inchon 406840, South Korea; [Hyun, Jung-Ho] Hanyang Univ, Dept Environm Marine Sci, Ansan 426791, Gyeonggi Do, South Korea; [Kim, Dongseon] Korea Ocean Res &amp; Dev Inst, Ansan 426170, South Korea</t>
  </si>
  <si>
    <t>Korea Polar Research Institute (KOPRI); Korea Institute of Ocean Science &amp; Technology (KIOST); Hanyang University; Korea Institute of Ocean Science &amp; Technology (KIOST)</t>
  </si>
  <si>
    <t>Yang, EJ (corresponding author), Korea Polar Res Inst, Get Peal Tower, Inchon 406840, South Korea.</t>
  </si>
  <si>
    <t>ejyang@kopri.re.kr</t>
  </si>
  <si>
    <t>Yang, Eun Jin/0000-0002-8639-5968</t>
  </si>
  <si>
    <t>KOPRI [PP12010, PM11080]</t>
  </si>
  <si>
    <t>KOPRI(Korea Polar Research Institute of Marine Research Placement (KOPRI))</t>
  </si>
  <si>
    <t>The authors thank the captain and crew of the R/V Yuzhmorgeologia who were most helpful in all shipboard operations. The authors would also like to thank the anonymous reviewers for their thoughtful suggestions that significantly improved the quality of the paper. This work was supported by KOPRI projects PP12010 and PM11080. [SS]</t>
  </si>
  <si>
    <t>10.1016/j.jembe.2012.05.018</t>
  </si>
  <si>
    <t>981PF</t>
  </si>
  <si>
    <t>WOS:000306980800002</t>
  </si>
  <si>
    <t>Martin, A; McMinn, A; Heath, M; Hegseth, EN; Ryan, KG</t>
  </si>
  <si>
    <t>Martin, Andrew; McMinn, Andrew; Heath, Mark; Hegseth, Else N.; Ryan, Ken G.</t>
  </si>
  <si>
    <t>The physiological response to increased temperature in over-wintering sea ice algae and phytoplankton in McMurdo Sound, Antarctica and Tromso Sound, Norway</t>
  </si>
  <si>
    <t>Phytoplankton; Sea ice; Sea ice algae; Winter Dark survival</t>
  </si>
  <si>
    <t>FRESH-WATER PHYTOPLANKTON; NORTHERN BARENTS SEA; DARK SURVIVAL; PHOTOSYNTHETIC PARAMETERS; PLANKTON COMMUNITY; MARINE MICROALGAE; QUANTUM YIELD; GROWTH; LIGHT; METABOLISM</t>
  </si>
  <si>
    <t>The physiological response to increased temperature during dark exposure was examined in phytoplankton and sea ice algae that had overwintered in McMurdo Sound, Antarctica and Tromso Sound, Norway. Under ice phytoplankton and sea ice algae from McMurdo Sound were incubated in the dark for 22 days and 23 days respectively at -2,4 and 10 degrees C, while phytoplankton from Tromso Sound were incubated for 35 days at 4, 10 and 20 degrees C. A fluorescence approach was used to examine algal photophysiology (Fv/Fm, rETRmax and alpha) and changes in the concentration of chlorophyll a, while the spectrophotometric 2,4,6-tripyridyl-s-triazine (TPTZ) assay was used to quantify water-extractable carbohydrates. Prior to incubation, the photosynthetic parameters documented relatively healthy overwintering communities for both polar regions. Elevated temperature had a considerable impact on the dark survival of Arctic phytoplankton, and, to a lesser extent. Antarctic sea ice algae: photosynthetic health and stored monosaccharides declined during the incubation period, particularly at the warmest temperature regimes. In contrast, the concentration of chlorophyll a and polysaccharides remained relatively constant. When Antarctic sea ice algae were subsequently exposed to low light (similar to 20 mu mol photons m(-2) s(-1)), significant photosynthetic recovery was only observed in cultures maintained at -2 degrees C. A more robust response to increased temperature was observed in Antarctic phytoplankton and in general, variability between the -2 degrees C and 4 degrees C (Antarctic) and 4 degrees C and 10 degrees C (Arctic) temperature regimes was minimal, which suggests that increasing temperature will not limit the ability of phytoplankton to survive the polar winter and provide the inocula for bloom events. (C) 2012 Published by Elsevier B.V.</t>
  </si>
  <si>
    <t>[Martin, Andrew; McMinn, Andrew] Univ Tasmania, Inst Marine &amp; Antarct Studies, Hobart, Tas 7001, Australia; [Heath, Mark; Ryan, Ken G.] Victoria Univ Wellington, Sch Biol Sci, Wellington 6140, New Zealand; [Hegseth, Else N.] Univ Tromso, Dept Arct &amp; Marine Biol, N-9037 Tromso, Norway</t>
  </si>
  <si>
    <t>University of Tasmania; Victoria University Wellington; UiT The Arctic University of Tromso</t>
  </si>
  <si>
    <t>McMinn, A (corresponding author), Univ Tasmania, Inst Marine &amp; Antarct Studies, Hobart, Tas 7001, Australia.</t>
  </si>
  <si>
    <t>Ryan, Ken/F-5652-2013; McMinn, Andrew/A-9910-2008; Martin, Andrew/F-5688-2013</t>
  </si>
  <si>
    <t>Martin, Andrew/0000-0001-8260-5529; Ryan, Ken/0000-0001-7075-0112</t>
  </si>
  <si>
    <t>Australian Research Council; Foundation of Research, Science Technology [VICX0706]</t>
  </si>
  <si>
    <t>Australian Research Council(Australian Research Council); Foundation of Research, Science Technology</t>
  </si>
  <si>
    <t>We acknowledge the logistical support of Antarctica New Zealand and in particular thank the staff at Scott Base in 2008 and 2009. A McMinn received financial assistance from the Australian Research Council and K.G. Ryan acknowledges the support of the Foundation of Research, Science &amp; Technology (VICX0706). [SS]</t>
  </si>
  <si>
    <t>10.1016/j.jembe.2012.06.006</t>
  </si>
  <si>
    <t>WOS:000306980800009</t>
  </si>
  <si>
    <t>Otero, RA; Soto-Acuña, S; Rubilar-Rogers, D</t>
  </si>
  <si>
    <t>Otero, Rodrigo A.; Soto-Acuna, Sergio; Rubilar-Rogers, David</t>
  </si>
  <si>
    <t>A postcranial skeleton of an elasmosaurid plesiosaur from the Maastrichtian of central Chile, with comments on the affinities of Late Cretaceous plesiosauroids from the Weddellian Biogeographic Province</t>
  </si>
  <si>
    <t>CRETACEOUS RESEARCH</t>
  </si>
  <si>
    <t>Elasmosauridae; Aristonectinae; Late Maastrichtian; Weddellian Biogeographic Province</t>
  </si>
  <si>
    <t>SAUROPTERYGIA; REPTILIA; MAUISAURUS</t>
  </si>
  <si>
    <t>An almost complete postcranial skeleton recovered from late Maastrichtian beds of central Chile, which can be confidently referred to the clade Elasmosauridae (Sauropterygia: Plesiosauroidea), is described. The material displays diagnostic characters separately observed in several known Late Cretaceous plesiosaurians from the Southern Hemisphere, particularly from the Weddellian Biogeographic Province. The phylogenetic analysis indicates that the material studied has close affinities with the genus Aristonectes, while supports the position of the Late Cretaceous plesiosaurian Kaiwhekea katiki as well as the inclusion of Aristonectes parvidens (=Morturneria seymourensis) in a new clade (Aristonectinae) within the Elasmosauridae. This indicates that cryptoclidians are still restricted to the Middle-Upper Jurassic, and verifies that the family Aristonectidae is polyphyletic. The material studied represents a valuable source for comparison of the morphologic characters present in elasmosaurids from the Weddellian Province towards the end of the Cretaceous, shedding light on the evolution of derived members of this clade. (C) 2012 Elsevier Ltd. All rights reserved.</t>
  </si>
  <si>
    <t>[Otero, Rodrigo A.; Soto-Acuna, Sergio; Rubilar-Rogers, David] Museo Nacl Hist Nat, Area Paleontol, Santiago, Chile; [Soto-Acuna, Sergio] Univ Chile, Lab Ontogenia &amp; Filogenia, Dept Biol, Santiago, Chile</t>
  </si>
  <si>
    <t>Otero, RA (corresponding author), Museo Nacl Hist Nat, Area Paleontol, Casilla 787, Santiago, Chile.</t>
  </si>
  <si>
    <t>paracrioceras@gmail.com</t>
  </si>
  <si>
    <t>Soto Acuna, Sergio/0000-0002-9311-9355; Otero, Rodrigo/0000-0002-3046-2973</t>
  </si>
  <si>
    <t>Antarctic Ring Project (Anillo de Ciencia Antartica, Conicyt-Chile) [ACT-105]</t>
  </si>
  <si>
    <t>Antarctic Ring Project (Anillo de Ciencia Antartica, Conicyt-Chile)(Comision Nacional de Investigacion Cientifica y Tecnologica (CONICYT)CONICYT PIA/ANILLOS)</t>
  </si>
  <si>
    <t>We thank and dedicate this work to the memory of D. Frassinetti, formerly curator of the Area Paleontologia, Museo Nacional de Historia Natural (Santiago, Chile), for all of the valuable information he supplied about the original discovery of the material studied, its collection and subsequent preparation. R. Otero and D. Rubilar-Rogers are supported by the Antarctic Ring Project (Anillo de Ciencia Antartica ACT-105, 2010-2011 - Conicyt-Chile). Thank to R.B.J. Benson (University of Cambridge) and a second anonymous referee for the critical review of the paper. F.R. O'Keefe (Marshall University, West Virginia) and A.S. Smith (Birmingham Science Museum) are acknowledged for their reviews of early versions of the manuscript and valuable suggestions that helped to improve it. We thank M. Everhart and the Sternberg Museum of Natural History, Kansas, for all their help and literature provided. R. Yury-Yanez (Universidad de Chile) is acknowledged for useful comments and valuable assistance on phylogeny. Finally, we thank J. Le Roux (Departamento de Geologia, Universidad de Chile), and Rodrigo Pellegrini (New Jersey State Museum) for their stylistic review of the English version of this manuscript and for their valuable comments.</t>
  </si>
  <si>
    <t>0195-6671</t>
  </si>
  <si>
    <t>1095-998X</t>
  </si>
  <si>
    <t>CRETACEOUS RES</t>
  </si>
  <si>
    <t>Cretac. Res.</t>
  </si>
  <si>
    <t>10.1016/j.cretres.2012.03.010</t>
  </si>
  <si>
    <t>970VG</t>
  </si>
  <si>
    <t>WOS:000306159800007</t>
  </si>
  <si>
    <t>Hellén, H; Leck, C; Paatero, J; Virkkula, A; Hakola, H</t>
  </si>
  <si>
    <t>Hellen, Heidi; Leck, Caroline; Paatero, Jussi; Virkkula, Aki; Hakola, Hannele</t>
  </si>
  <si>
    <t>Summer concentrations of NMHCs in ambient air of the Arctic and Antarctic</t>
  </si>
  <si>
    <t>BOREAL ENVIRONMENT RESEARCH</t>
  </si>
  <si>
    <t>NONMETHANE HYDROCARBONS; SOURCE APPORTIONMENT; SEASONAL-VARIATION; ALKYL NITRATES; EMISSIONS; POLLUTION</t>
  </si>
  <si>
    <t>Summer concentrations of C-2-C-6 non-methane hydrocarbons (NMHCs) were measured in Antarctica and in the Arctic in 2008. The results show that NMHC concentrations are on average five times higher in the Arctic than in Antarctica. In Antarctica, there were few concentration peaks, but during most of the remaining time concentrations were below or close to the detection limits. Over the Arctic pack ice area north of 80 degrees, concentrations of most of the measured NMHCs were always above the detection limits. No differences based on air-mass origin were detected in Antarctica, but samples collected over the central Arctic Ocean showed higher concentrations in air masses being advected from the Kara Sea and the western-central Arctic Ocean. The relatively higher NMHC-to-ethyne molar ratios calculated for samples collected over the central Arctic Ocean suggest additional alkane sources in the region.</t>
  </si>
  <si>
    <t>[Hellen, Heidi; Paatero, Jussi; Virkkula, Aki; Hakola, Hannele] Finnish Meteorol Inst, FI-00101 Helsinki, Finland; [Leck, Caroline; Virkkula, Aki] Stockholm Univ, Dept Meteorol, SE-10691 Stockholm, Sweden; Univ Helsinki, Dept Phys, FI-00014 Helsinki, Finland</t>
  </si>
  <si>
    <t>Finnish Meteorological Institute; Stockholm University; University of Helsinki</t>
  </si>
  <si>
    <t>Hellén, H (corresponding author), Finnish Meteorol Inst, POB 503, FI-00101 Helsinki, Finland.</t>
  </si>
  <si>
    <t>Hellén, Heidi/J-5313-2014; Hakola, Hannele/N-7502-2014; Virkkula, Aki/B-8575-2014</t>
  </si>
  <si>
    <t>Virkkula, Aki/0000-0003-4874-7552; Paatero, Jussi/0000-0002-3262-1501</t>
  </si>
  <si>
    <t>Academy of Finland Centre of Excellence program [1118615]; FinnARP programme; Finnish Meteorological Institute; University of Kuopio; Academy of Finland; Finnish Academy of Science and Letters/Vilho; Yrjo and Katie Vaisala Foundation; Finnish Cultural Foundation, Lapland Regional fund; Knut and Alice Wallenberg Foundation; DAMOCLES European Union 6th Framework Program Integrated Research Project</t>
  </si>
  <si>
    <t>Academy of Finland Centre of Excellence program(Research Council of Finland); FinnARP programme; Finnish Meteorological Institute; University of Kuopio; Academy of Finland(Research Council of Finland); Finnish Academy of Science and Letters/Vilho; Yrjo and Katie Vaisala Foundation; Finnish Cultural Foundation, Lapland Regional fund; Knut and Alice Wallenberg Foundation(Knut &amp; Alice Wallenberg Foundation); DAMOCLES European Union 6th Framework Program Integrated Research Project(European Union (EU))</t>
  </si>
  <si>
    <t>L. Orr is acknowledged for providing the PSCF plots. The financial support by the Academy of Finland Centre of Excellence program (project no. 1118615) and the FinnARP programme is gratefully acknowledged. This work is part of ASCOS (the Arctic Summer Cloud Ocean Study) and was funded by the Finnish Meteorological Institute, the University of Kuopio, the Academy of Finland, the Finnish Academy of Science and Letters/Vilho, Yrjo and Katie Vaisala Foundation, and the Finnish Cultural Foundation, Lapland Regional fund. ASCOS was made possible by funding from the Knut and Alice Wallenberg Foundation and the DAMOCLES European Union 6th Framework Program Integrated Research Project. The Swedish Polar Research Secretariat (SPRS) provided access to the icebreaker Oden and logistical support. We are grateful to ASCOS chief scientists Caroline Leek and Michael Tjernstrom, Department of Meteorology, Stockholm University, the SPRS logistical staff and to Oden's Captain Mattias Peterson and his crew. ASCOS is an IPY project under the AICIA-IPY umbrella and an endorsed SOLAS project.</t>
  </si>
  <si>
    <t>FINNISH ENVIRONMENT INST</t>
  </si>
  <si>
    <t>HELSINKI</t>
  </si>
  <si>
    <t>P O BOX 140, FIN-00251 HELSINKI, FINLAND</t>
  </si>
  <si>
    <t>1239-6095</t>
  </si>
  <si>
    <t>1797-2469</t>
  </si>
  <si>
    <t>BOREAL ENVIRON RES</t>
  </si>
  <si>
    <t>Boreal Environ. Res.</t>
  </si>
  <si>
    <t>SEP 28</t>
  </si>
  <si>
    <t>014MU</t>
  </si>
  <si>
    <t>WOS:000309380700005</t>
  </si>
  <si>
    <t>Ahn, J; Brook, EJ; Schmittner, A; Kreutz, K</t>
  </si>
  <si>
    <t>Ahn, Jinho; Brook, Edward J.; Schmittner, Andreas; Kreutz, Karl</t>
  </si>
  <si>
    <t>Abrupt change in atmospheric CO2 during the last ice age</t>
  </si>
  <si>
    <t>SCALE CLIMATE-CHANGE; POLAR ICE; CARBON-CYCLE; SIPLE DOME; SEA-ICE; VARIABILITY; ANTARCTICA; OCEAN; ATLANTIC; TRANSPORT</t>
  </si>
  <si>
    <t>During the last glacial period atmospheric carbon dioxide and temperature in Antarctica varied in a similar fashion on millennial time scales, but previous work indicates that these changes were gradual. In a detailed analysis of one event we now find that approximately half of the CO2 increase that occurred during the 1500-year cold period between Dansgaard-Oeschger (DO) events 8 and 9 happened rapidly, over less than two centuries. This rise in CO2 was synchronous with, or slightly later than, a rapid increase of Antarctic temperature inferred from stable isotopes. Citation: Ahn, J., E. J. Brook, A. Schmittner, and K. Kreutz (2012), Abrupt change in atmospheric CO2 during the last ice age, Geophys. Res. Lett., 39, L18711, doi:10.1029/2012GL053018.</t>
  </si>
  <si>
    <t>[Ahn, Jinho] Seoul Natl Univ, Sch Earth &amp; Environm Sci, Seoul 151742, South Korea; [Brook, Edward J.; Schmittner, Andreas] Oregon State Univ, Coll Earth Ocean &amp; Atmospher Sci, Corvallis, OR 97331 USA; [Kreutz, Karl] Univ Maine, Climate Change Inst, Orono, ME USA; [Kreutz, Karl] Univ Maine, Dept Earth Sci, Orono, ME USA</t>
  </si>
  <si>
    <t>Seoul National University (SNU); Oregon State University; University of Maine System; University of Maine Orono; University of Maine System; University of Maine Orono</t>
  </si>
  <si>
    <t>Ahn, J (corresponding author), Seoul Natl Univ, Sch Earth &amp; Environm Sci, 599 Kwanak Ro, Seoul 151742, South Korea.</t>
  </si>
  <si>
    <t>jinhoahn@snu.ac.kr</t>
  </si>
  <si>
    <t>Schmittner, Andreas/O-9647-2015; Brook, Edward/AAB-7807-2021</t>
  </si>
  <si>
    <t>Schmittner, Andreas/0000-0002-8376-0843;</t>
  </si>
  <si>
    <t>Gary Comer Science and Education Foundation; National Science Foundation [OPP 0337891, 0944764, ATM 0602395]; Korea Meteorological Administration Research and Development Program [CATER 2012-7030]; Office of Polar Programs (OPP); Directorate For Geosciences [0944764] Funding Source: National Science Foundation</t>
  </si>
  <si>
    <t>Gary Comer Science and Education Foundation; National Science Foundation(National Science Foundation (NSF)); Korea Meteorological Administration Research and Development Program(Korea Meteorological Administration (KMA)); Office of Polar Programs (OPP); Directorate For Geosciences(National Science Foundation (NSF)NSF - Directorate for Geosciences (GEO))</t>
  </si>
  <si>
    <t>We thank Michael Kalk and James Lee for analytical assistance and the staff of the National Ice Core Lab for ice sampling and curation. We also thank Luke Skinner and Paul Mayewski for helpful discussions. Financial support was provided by the Gary Comer Science and Education Foundation, National Science Foundation grants OPP 0337891, 0944764 and ATM 0602395, and Korea Meteorological Administration Research and Development Program under grant CATER 2012-7030.</t>
  </si>
  <si>
    <t>L18711</t>
  </si>
  <si>
    <t>10.1029/2012GL053018</t>
  </si>
  <si>
    <t>014ZS</t>
  </si>
  <si>
    <t>WOS:000309415100004</t>
  </si>
  <si>
    <t>Harper, EM; Clark, MS; Hoffman, JI; Philipp, EER; Peck, LS; Morley, SA</t>
  </si>
  <si>
    <t>Harper, Elizabeth M.; Clark, Melody S.; Hoffman, Joseph I.; Philipp, Eva E. R.; Peck, Lloyd S.; Morley, Simon A.</t>
  </si>
  <si>
    <t>Iceberg Scour and Shell Damage in the Antarctic Bivalve Laternula elliptica</t>
  </si>
  <si>
    <t>POPULATION GENETIC-STRUCTURE; BLUE MUSSEL; OCEAN; CLAM; KING; TEMPERATURE; GROWTH; CALCIFICATION; DISSOLUTION; DIVERSITY</t>
  </si>
  <si>
    <t>We document differences in shell damage and shell thickness in a bivalve mollusc (Laternula elliptica) from seven sites around Antarctica with differing exposures to ice movement. These range from 60% of the sea bed impacted by ice per year (Hangar Cove, Antarctic Peninsula) to those protected by virtually permanent sea ice cover (McMurdo Sound). Patterns of shell damage consistent with blunt force trauma were observed in populations where ice scour frequently occurs; damage repair frequencies and the thickness of shells correlated positively with the frequency of iceberg scour at the different sites with the highest repair rates and thicker shells at Hangar Cove (74.2% of animals damaged) compared to the other less impacted sites (less than 10% at McMurdo Sound). Genetic analysis of population structure using Amplified Fragment Length Polymorphisms (AFLPs) revealed no genetic differences between the two sites showing the greatest difference in shell morphology and repair rates. Taken together, our results suggest that L. elliptica exhibits considerable phenotypic plasticity in response to geographic variation in physical disturbance.</t>
  </si>
  <si>
    <t>[Harper, Elizabeth M.] Univ Cambridge, Dept Earth Sci, Cambridge CB2 3EQ, England; [Clark, Melody S.; Peck, Lloyd S.; Morley, Simon A.] British Antarctic Survey, Nat Environm Res Council, Cambridge CB3 0ET, England; [Hoffman, Joseph I.] Univ Cambridge, Dept Zool, Cambridge CB2 3EQ, England; [Philipp, Eva E. R.] Univ Kiel, Inst Clin Mol Biol, Kiel, Germany</t>
  </si>
  <si>
    <t>University of Cambridge; UK Research &amp; Innovation (UKRI); Natural Environment Research Council (NERC); NERC British Antarctic Survey; University of Cambridge; University of Kiel</t>
  </si>
  <si>
    <t>Harper, EM (corresponding author), Univ Cambridge, Dept Earth Sci, Cambridge CB2 3EQ, England.</t>
  </si>
  <si>
    <t>emh21@cam.ac.uk</t>
  </si>
  <si>
    <t>Harper, Elizabeth M/B-3890-2008; Clark, Melody/D-7371-2014; Hoffman, Joseph/K-7725-2012</t>
  </si>
  <si>
    <t>Clark, Melody/0000-0002-3442-3824; Hoffman, Joseph/0000-0001-5895-8949</t>
  </si>
  <si>
    <t>British Antarctic Survey Polar Science for Planet Earth Progamme, Adaptation and Physiology Work Package; Natural Environment Research Council (NERC) British Antarctic Survey (BAS) Strategic Alliance Fellowship; University of Bremen; NERC [dml011000, bas0100025] Funding Source: UKRI; Natural Environment Research Council [dml011000, bas0100025] Funding Source: researchfish</t>
  </si>
  <si>
    <t>British Antarctic Survey Polar Science for Planet Earth Progamme, Adaptation and Physiology Work Package; Natural Environment Research Council (NERC) British Antarctic Survey (BAS) Strategic Alliance Fellowship; University of Bremen; NERC(UK Research &amp; Innovation (UKRI)Natural Environment Research Council (NERC)); Natural Environment Research Council(UK Research &amp; Innovation (UKRI)Natural Environment Research Council (NERC))</t>
  </si>
  <si>
    <t>This work was not part of any specific grant but as part of a general research programme between the University of Cambridge and the British Antarctic Survey. SAM, LSP and MSC were supported by the British Antarctic Survey Polar Science for Planet Earth Progamme, Adaptation and Physiology Work Package. JH was supported by a Natural Environment Research Council (NERC) British Antarctic Survey (BAS) Strategic Alliance Fellowship. During the sampling period of the Jubany specimens EP was supported by a PhD scholarship from the University of Bremen. The funders had no role in study design, data collection and analysis, decision to publish, or preparation of the manuscript.</t>
  </si>
  <si>
    <t>e46341</t>
  </si>
  <si>
    <t>10.1371/journal.pone.0046341</t>
  </si>
  <si>
    <t>022PZ</t>
  </si>
  <si>
    <t>Green Accepted, Green Submitted, gold, Green Published</t>
  </si>
  <si>
    <t>WOS:000309973900137</t>
  </si>
  <si>
    <t>Dambach, J; Thatje, S; Rödder, D; Basher, Z; Raupach, MJ</t>
  </si>
  <si>
    <t>Dambach, Johannes; Thatje, Sven; Roedder, Dennis; Basher, Zeenatul; Raupach, Michael J.</t>
  </si>
  <si>
    <t>Effects of Late-Cenozoic Glaciation on Habitat Availability in Antarctic Benthic Shrimps (Crustacea: Decapoda: Caridea)</t>
  </si>
  <si>
    <t>SPECIES DISTRIBUTION MODELS; EASTERN WEDDELL SEA; SOUTHERN-OCEAN; CHORISMUS ANTARCTICUS; CLIMATE-CHANGE; POLAR FRONT; ICE; TEMPERATURE; DISPERSAL; MAXIMUM</t>
  </si>
  <si>
    <t>Marine invertebrates inhabiting the high Antarctic continental shelves are challenged by disturbance of the seafloor by grounded ice, low but stable water temperatures and variable food availability in response to seasonal sea-ice cover. Though a high diversity of life has successfully adapted to such conditions, it is generally agreed that during the Last Glacial Maximum (LGM) the large-scale cover of the Southern Ocean by multi-annual sea ice and the advance of the continental ice sheets across the shelf faced life with conditions, exceeding those seen today by an order of magnitude. Conditions prevailing at the LGM may have therefore acted as a bottleneck event to both the ecology as well as genetic diversity of today's fauna. Here, we use for the first time specific Species Distribution Models (SDMs) for marine arthropods of the Southern Ocean to assess effects of habitat contraction during the LGM on the three most common benthic caridean shrimp species that exhibit a strong depth zonation on the Antarctic continental shelf. While the shallow-water species Chorismus antarcticus and Notocrangon antarcticus were limited to a drastically reduced habitat during the LGM, the deep-water shrimp Nematocarcinus lanceopes found refuge in the Southern Ocean deep sea. The modeling results are in accordance with genetic diversity patterns available for C. antarcticus and N. lanceopes and support the hypothesis that habitat contraction at the LGM resulted in a loss of genetic diversity in shallow water benthos.</t>
  </si>
  <si>
    <t>[Dambach, Johannes; Roedder, Dennis] Zool Forschungsmuseum Alexander Koenig, Bonn, Germany; [Thatje, Sven] Univ Southampton, Natl Oceanog Ctr, Southampton, Hants, England; [Basher, Zeenatul] Univ Auckland, Leigh Marine Lab, Auckland 1, New Zealand; [Raupach, Michael J.] Deutsch Zentrum Marine Biodiversitatsforsch, Wilhelmshaven, Germany</t>
  </si>
  <si>
    <t>Zoologisches Forschungsmuseum Alexander Koenig (ZFMK); University of Southampton; NERC National Oceanography Centre; University of Auckland</t>
  </si>
  <si>
    <t>Dambach, J (corresponding author), Zool Forschungsmuseum Alexander Koenig, Bonn, Germany.</t>
  </si>
  <si>
    <t>j.dambach.zfmk@uni-bonn.de</t>
  </si>
  <si>
    <t>Raupach, Michael/G-7072-2012; Raupach, Michael J./AAF-7566-2020; Rödder, Dennis/AAT-8644-2021</t>
  </si>
  <si>
    <t>Raupach, Michael J./0000-0001-8299-6697; Rödder, Dennis/0000-0002-6108-1639; Basher, Zeenatul/0000-0002-6439-8324</t>
  </si>
  <si>
    <t>German Research Foundation (DFG) [RA-1688-2]; New Zealand Government</t>
  </si>
  <si>
    <t>German Research Foundation (DFG)(German Research Foundation (DFG)); New Zealand Government</t>
  </si>
  <si>
    <t>This study was funded by the German Research Foundation (DFG, RA-1688-2). The Ross Sea specimens data collected by the cruise TAN0802 (IPY-CAML Voyage), made available through the New Zealand International Polar Year-Census of Antarctic Marine Life Project (Phase 1: So001IPY; Phase 2: IPY2007-01) was funded by the New Zealand Government. The authors gratefully acknowledge project governance by the Ministry of Fisheries Science Team and the Ocean Survey 20/20 CAML Advisory Group. The funders had no role in study design, data collection and analysis, decision to publish, or preparation of the manuscript.</t>
  </si>
  <si>
    <t>SEP 27</t>
  </si>
  <si>
    <t>e46283</t>
  </si>
  <si>
    <t>10.1371/journal.pone.0046283</t>
  </si>
  <si>
    <t>016KQ</t>
  </si>
  <si>
    <t>Green Submitted, gold, Green Published, Green Accepted</t>
  </si>
  <si>
    <t>WOS:000309517500083</t>
  </si>
  <si>
    <t>Galton-Fenzi, BK; Hunter, JR; Coleman, R; Marsland, SJ; Warner, RC</t>
  </si>
  <si>
    <t>Galton-Fenzi, B. K.; Hunter, J. R.; Coleman, R.; Marsland, S. J.; Warner, R. C.</t>
  </si>
  <si>
    <t>Modeling the basal melting and marine ice accretion of the Amery Ice Shelf</t>
  </si>
  <si>
    <t>OCEAN CIRCULATION BENEATH; BOTTOM WATER FORMATION; SEA-ICE; THERMOHALINE CIRCULATION; EAST ANTARCTICA; SOUTHERN-OCEAN; MOMENTUM FLUX; MASS-BALANCE; PRYDZ BAY; SURFACE</t>
  </si>
  <si>
    <t>The basal mass balance of the Amery Ice Shelf (AIS) in East Antarctica is investigated using a numerical ocean model. The main improvements of this model over previous studies are the inclusion of frazil formation and dynamics, tides and the use of the latest estimate of the sub-ice-shelf cavity geometry. The model produces a net basal melt rate of 45.6 Gt year(-1) (0.74 m ice year(-1)) which is in good agreement with reviewed observations. The melting at the base of the ice shelf is primarily due to interaction with High Salinity Shelf Water created from the surface sea-ice formation in winter. The temperature difference between the coldest waters created in the open ocean and the in situ freezing point of ocean water in contact with the deepest part of the AIS drives a melt rate that can exceed 30 m of ice year(-1). The inclusion of frazil dynamics is shown to be important for both melting and marine ice accretion (refreezing). Frazil initially forms in the supercooled water layer adjacent to the base of the ice shelf. The net accretion of marine ice is 5.3 Gt year(-1), comprised of 3.7 Gt year(-1) of frazil accretion and 1.6 Gt year(-1) of direct basal refreezing.</t>
  </si>
  <si>
    <t>[Galton-Fenzi, B. K.; Hunter, J. R.; Warner, R. C.] Univ Tasmania, Antarct Climate &amp; Ecosyst Cooperat Res Ctr, Hobart, Tas 7001, Australia; [Coleman, R.] Univ Tasmania, Inst Marine &amp; Antarct Studies, Hobart, Tas 7001, Australia; [Marsland, S. J.] CSIRO, Ctr Australian Weather &amp; Climate Res, Melbourne, Vic, Australia; [Marsland, S. J.] Bur Meteorol, Melbourne, Vic, Australia; [Warner, R. C.] Australian Antarctic Div, Kingston, Tas, Australia</t>
  </si>
  <si>
    <t>University of Tasmania; University of Tasmania; Commonwealth Scientific &amp; Industrial Research Organisation (CSIRO); Bureau of Meteorology - Australia; Australian Antarctic Division</t>
  </si>
  <si>
    <t>Galton-Fenzi, BK (corresponding author), Univ Tasmania, Antarct Climate &amp; Ecosyst Cooperat Res Ctr, Hobart, Tas 7001, Australia.</t>
  </si>
  <si>
    <t>ben.galton-fenzi@utas.edu.au</t>
  </si>
  <si>
    <t>Warner, Robert R./M-5342-2013; Warner, Roland Charles/ISS-2485-2023; Marsland, Simon J/A-1453-2012; Coleman, Richard/H-4425-2012</t>
  </si>
  <si>
    <t>Warner, Roland Charles/0000-0002-9778-3544; Marsland, Simon J/0000-0002-5664-5276; Galton-Fenzi, Benjamin Keith/0000-0003-1404-4103; Coleman, Richard/0000-0002-9731-7498</t>
  </si>
  <si>
    <t>Australian Commonwealth Scientific and Industrial Research Organization; University of Tasmania through the Quantitative Marine Science PhD program; Australian Government's Cooperative Research Centres Program through the Antarctic Climate and Ecosystems Cooperative Research Centre (ACE CRC); Australian National Computing Infrastructure [m68]</t>
  </si>
  <si>
    <t>Australian Commonwealth Scientific and Industrial Research Organization; University of Tasmania through the Quantitative Marine Science PhD program; Australian Government's Cooperative Research Centres Program through the Antarctic Climate and Ecosystems Cooperative Research Centre (ACE CRC)(Australian GovernmentDepartment of Industry, Innovation and ScienceCooperative Research Centres (CRC) Programme); Australian National Computing Infrastructure</t>
  </si>
  <si>
    <t>Ben Galton-Fenzi was supported by the Australian Commonwealth Scientific and Industrial Research Organization and the University of Tasmania through the Quantitative Marine Science PhD program. This work was supported by the Australian Government's Cooperative Research Centres Program through the Antarctic Climate and Ecosystems Cooperative Research Centre (ACE CRC). Computing hours were provided by both the Tasmanian Partnership for Advanced Computing and the Australian National Computing Infrastructure under grant m68. The ROMS code was kindly provided by The ROMS/TOMS Group under the MIT/X License. Thanks to Paul Holland (British Antarctic Survey, U. K.) for allowing us to examine the frazil plume model code, Ian Allison (ACE CRC) for reading an early draft, Michael Dinniman (Old Dominion University, U. S. A.) for advice on using ROMS, and Michael Schodlok (NASA, JPL, U. S. A.) for advice on ECCO2. We also thank two anonymous reviewers.</t>
  </si>
  <si>
    <t>SEP 26</t>
  </si>
  <si>
    <t>C09031</t>
  </si>
  <si>
    <t>10.1029/2012JC008214</t>
  </si>
  <si>
    <t>015CA</t>
  </si>
  <si>
    <t>WOS:000309421500001</t>
  </si>
  <si>
    <t>Duggan, S; Jordan, E; Gutierrez, M; Barrett, G; O'Brien, T; Hand, D; Kenny, K; Fanning, J; Leonard, N; Egan, J</t>
  </si>
  <si>
    <t>Duggan, Sharon; Jordan, Emily; Gutierrez, Montserrat; Barrett, Gaye; O'Brien, Tony; Hand, Darren; Kenny, Kevin; Fanning, June; Leonard, Nola; Egan, John</t>
  </si>
  <si>
    <t>Salmonella in meats, water, fruit and vegetables as disclosed from testing undertaken by Food Business Operators in Ireland from 2005 to 2009</t>
  </si>
  <si>
    <t>IRISH VETERINARY JOURNAL</t>
  </si>
  <si>
    <t>Salmonella; Surveillance; Meats; Vegetables; Fruit; Food Business Operator; Ireland</t>
  </si>
  <si>
    <t>Food Business Operators (FBO) are responsible for the safety of the food they produce and in Ireland those under the regulatory control of the Department of Agriculture, Food and Marine are required to provide summary data on microbiological tests undertaken as part of their food safety controls. These data are provided to the National Reference Laboratory through the 25 private laboratories undertaking the testing. Results: Over the five-year period Salmonella sp. was isolated from 0.7% of the 254,000 raw meat or raw meat products tested with the annual prevalence ranging from 0.5 to 1.1%. Poultry meats were consistently more contaminated than other meats with higher recovery rates in turkey (3.3%), duck (3.3%), and chicken (2.5%) compared with meats of porcine (1.6%), ovine (0.2%) and bovine origin (0.1%). Salmonella sp. was also isolated from 58 (0.06%) of the 96,115 cooked or partially cooked meat and meat products tested during the reporting period with the annual percentage positive samples ranging from 0.01 to 0.16%. A total of 50 different serotypes were recovered from raw meats over this period with the greatest diversity found in poultry samples (n = 36). Four serotypes, Kentucky, Typhimurium, Agona and Derby accounted for over 70% of all isolates detected on FBO testing over the period 2005 to 2009. Conclusions: Capturing microbiological data generated by Food Business Operators allows the regulatory sector access to a substantial amount of valuable data with the minimum financial outlay.</t>
  </si>
  <si>
    <t>[Duggan, Sharon; Jordan, Emily; Gutierrez, Montserrat; Barrett, Gaye; O'Brien, Tony; Hand, Darren; Kenny, Kevin; Fanning, June; Egan, John] Dept Agr Food &amp; Marine Labs, Natl Reference Lab Salmonella, Celbridge, Kildare, Ireland; [Duggan, Sharon; Jordan, Emily; Leonard, Nola] Univ Coll Dublin, Sch Agr Food Sci &amp; Vet Med, Dublin 2, Ireland</t>
  </si>
  <si>
    <t>University College Dublin</t>
  </si>
  <si>
    <t>Egan, J (corresponding author), Dept Agr Food &amp; Marine Labs, Natl Reference Lab Salmonella, Celbridge, Kildare, Ireland.</t>
  </si>
  <si>
    <t>john.egan@agriculture.gov.ie</t>
  </si>
  <si>
    <t>DAFM approved testing laboratories; FIRM [07FHRITAFRC5]</t>
  </si>
  <si>
    <t>DAFM approved testing laboratories; FIRM</t>
  </si>
  <si>
    <t>The authors gratefully acknowledge the DAFM approved testing laboratories for their participation and support in this work. The contributions of Geraldine Murray, Anne Murphy, Charles Dullea and John Ward at various times are gratefully acknowledged. The FoodMicro database and collection of data was initially made possible through the support of Safefood. Dr Duggan was a Post Doctoral contract researcher employed by UCD on the Safe and Healthy Foods project [FIRM project number 07FHRITAFRC5] when she contributed to this work. She is currently employed by the British Antarctic Survey.</t>
  </si>
  <si>
    <t>0368-0762</t>
  </si>
  <si>
    <t>2046-0481</t>
  </si>
  <si>
    <t>IRISH VET J</t>
  </si>
  <si>
    <t>Irish Vet. J.</t>
  </si>
  <si>
    <t>SEP 22</t>
  </si>
  <si>
    <t>10.1186/2046-0481-65-17</t>
  </si>
  <si>
    <t>Veterinary Sciences</t>
  </si>
  <si>
    <t>058KV</t>
  </si>
  <si>
    <t>WOS:000312633500001</t>
  </si>
  <si>
    <t>Stewart, AL; Thompson, AF</t>
  </si>
  <si>
    <t>Stewart, Andrew L.; Thompson, Andrew F.</t>
  </si>
  <si>
    <t>Sensitivity of the ocean's deep overturning circulation to easterly Antarctic winds</t>
  </si>
  <si>
    <t>LAST GLACIAL MAXIMUM; SOUTHERN-OCEAN; CIRCUMPOLAR CURRENT; WEDDELL SEA; DEACON CELL; MODEL; TRANSPORT; WATER</t>
  </si>
  <si>
    <t>We investigate the sensitivity of the deep meridional overturning circulation (MOC) in the Southern Ocean to changes in the easterly wind stress over the Antarctic continental slope. The deep MOC is driven by export of dense Antarctic Bottom Water from the Antarctic continental shelf, and exerts a strong influence on climate by ventilating the deep ocean with oxygen and storing carbon dioxide. The possibility that inter-climatic modifications of the deep overturning may have been driven by changes in the atmospheric circulation has motivated the recent interest in evaluating the sensitivity of the Southern Ocean MOC to modifications of the mid-latitude westerlies. Using a high-resolution eddy-resolving model of a sector of the Southern Ocean, we show that the deep cell of the MOC is highly sensitive to the strength of the polar easterlies, and relatively insensitive to the strength of the mid-latitude westerlies. Our results highlight that determining the deep ocean ventilation in past and future climates demands an accurate evaluation of the concurrent surface wind stress throughout the Southern Ocean. Citation: Stewart, A. L., and A. F. Thompson (2012), Sensitivity of the ocean's deep overturning circulation to easterly Antarctic winds, Geophys. Res. Lett., 39, L18604, doi: 10.1029/2012GL053099.</t>
  </si>
  <si>
    <t>[Stewart, Andrew L.; Thompson, Andrew F.] CALTECH, Pasadena, CA 91125 USA</t>
  </si>
  <si>
    <t>California Institute of Technology</t>
  </si>
  <si>
    <t>A.L.S.'s and A.F.T.'s research was supported by the California Institute of Technology. The simulations presented herein were conducted using the CITerra computing cluster in the Division of Geological and Planetary Sciences at the California Institute of Technology, and the authors thank the CITerra technicians for facilitating this work. The authors gratefully acknowledge the modelling efforts of the MITgcm team. The authors would like to thank Dimitris Menemenlis, Chris Wolfe, Rick Salmon and Paul Dellar for useful discussions that improved the original draft of this article. The authors would also like to thank three anonymous referees whose suggestions improved the manuscript.</t>
  </si>
  <si>
    <t>SEP 21</t>
  </si>
  <si>
    <t>L18604</t>
  </si>
  <si>
    <t>10.1029/2012GL053099</t>
  </si>
  <si>
    <t>011BB</t>
  </si>
  <si>
    <t>WOS:000309137200007</t>
  </si>
  <si>
    <t>Trossman, DS; Thompson, L; Mecking, S; Warner, MJ</t>
  </si>
  <si>
    <t>Trossman, D. S.; Thompson, L.; Mecking, S.; Warner, M. J.</t>
  </si>
  <si>
    <t>On the formation, ventilation, and erosion of mode waters in the North Atlantic and Southern Oceans</t>
  </si>
  <si>
    <t>ANTARCTIC MODE; MASS FORMATION; TRANSIT-TIME; CIRCULATION; DISTRIBUTIONS; RATES; VARIABILITY; ATMOSPHERE; FLUXES</t>
  </si>
  <si>
    <t>The mean residence times, subduction rates, and formation rates of Subtropical Mode Water (STMW) and Subpolar Mode Water (SPMW) in the North Atlantic and Subantarctic Mode Water (SAMW) in the Southern Ocean are estimated by combining a model and observations of chlorofluorocarbon-11 (CFC-11) via Bayesian Model Averaging (BMA), a statistical technique that weights model estimates according to how close they agree with observations. Subduction rates are estimated in two different ways to investigate the non-advective contribution to thermocline ventilation, which in turn are compared to formation rate estimates. One subduction rate estimate is based on entrainment/detrainment velocities and the other subduction rate estimate allows ventilation to be both an advective and diffusive process instead of a purely advective one by using transit-time distributions (TTDs). It is found that the subduction of all three mode waters is mostly an advective process, but up to about one-third of STMW subduction likely owes to non-advective processes. Also, while the formation of STMW is mostly due to subduction, the formation of SPMW is mostly due to other processes. About half of the formation of SAMW is due to subduction and half is due to other processes. A combination of air-sea flux, acting on relatively short timescales, and turbulent mixing, acting on a wide range of timescales, is likely the dominant SPMW erosion mechanism. Air-sea flux is likely responsible for most STMW erosion, and turbulent mixing is likely responsible for most SAMW erosion.</t>
  </si>
  <si>
    <t>[Trossman, D. S.] Univ Michigan, Dept Earth &amp; Environm Sci, Ann Arbor, MI 48109 USA; [Trossman, D. S.; Thompson, L.; Mecking, S.; Warner, M. J.] Univ Washington, Sch Oceanog, Seattle, WA 98195 USA; [Mecking, S.] Univ Washington, Appl Phys Lab, Seattle, WA 98105 USA</t>
  </si>
  <si>
    <t>University of Michigan System; University of Michigan; University of Washington; University of Washington Seattle; University of Washington; University of Washington Seattle</t>
  </si>
  <si>
    <t>Trossman, DS (corresponding author), Univ Michigan, Dept Earth &amp; Environm Sci, 2534 CC Little Sci Bldg,1100 N Univ Ave, Ann Arbor, MI 48109 USA.</t>
  </si>
  <si>
    <t>dtross@umich.edu</t>
  </si>
  <si>
    <t>Thompson, LuAnne/AAA-1000-2020</t>
  </si>
  <si>
    <t>Thompson, LuAnne/0000-0001-8295-0533; Trossman, David/0000-0001-8222-7214; Warner, Mark J/0000-0001-7678-441X</t>
  </si>
  <si>
    <t>NSF [OCE-0525874, OCE-0623548]; Division Of Ocean Sciences; Directorate For Geosciences [0752980] Funding Source: National Science Foundation</t>
  </si>
  <si>
    <t>NSF(National Science Foundation (NSF)); Division Of Ocean Sciences; Directorate For Geosciences(National Science Foundation (NSF)NSF - Directorate for Geosciences (GEO))</t>
  </si>
  <si>
    <t>The authors are grateful for the helpful comments of two anonymous reviewers and the technical support provided by David Darr with running HIM. Thanks to Vladimir Minin and Peter Guttorp for their review of our methods and the providers of the CFC data we used in this study. This study was supported by NSF grants OCE-0525874 and OCE-0623548.</t>
  </si>
  <si>
    <t>C09026</t>
  </si>
  <si>
    <t>10.1029/2012JC008090</t>
  </si>
  <si>
    <t>010ZE</t>
  </si>
  <si>
    <t>WOS:000309132300001</t>
  </si>
  <si>
    <t>Choi, KM; Lee, MY</t>
  </si>
  <si>
    <t>Choi, Kwang Man; Lee, Mi Young</t>
  </si>
  <si>
    <t>Differential protein expression associated with heat stress in Antarctic microalga</t>
  </si>
  <si>
    <t>BIOCHIP JOURNAL</t>
  </si>
  <si>
    <t>Heat stress; Proteomics; Antarctic microalga; Protein expression; Antioxidant enzyme</t>
  </si>
  <si>
    <t>NIMA-FAMILY KINASE; ANTIOXIDANT ENZYMES; CHLAMYDOMONAS-REINHARDTII; PROTEOMIC ANALYSIS; MOLECULAR-CLONING; GENE; CADMIUM; HEAT-SHOCK-PROTEIN-70; TEMPERATURE; RESPONSES</t>
  </si>
  <si>
    <t>We used proteomic approaches to study the survival and defense mechanisms of Antarctic microalga under heat stress. The microalga was cultured for optimal growth at 4 degrees C, the temperature was increased to 15 degrees C, and the resultant differentially expressed proteins induced by heat stress were analyzed by mass spectrometry following two-dimensional gel electrophoresis. Orthologues of 22 proteins showed more than two-fold changes in abundance; of these, 8 proteins were up-regulated, and 14 were down-regulated. In addition, changes in the enzyme activities and isozyme profiles of catalase, aldehyde dehydrogenase, superoxide dismutase, glutathione reductase, and ascorbate peroxidase were investigated using an in-gel activity-staining method. Alterations in protein expression and antioxidant enzyme activity in Antarctic algae may be related to survival and defense mechanisms against elevated temperatures.</t>
  </si>
  <si>
    <t>[Choi, Kwang Man; Lee, Mi Young] Soonchunhyang Univ, Dept Med Biotechnol, Asan 336600, Chungnam, South Korea</t>
  </si>
  <si>
    <t>Soonchunhyang University</t>
  </si>
  <si>
    <t>Lee, MY (corresponding author), Soonchunhyang Univ, Dept Med Biotechnol, Asan 336600, Chungnam, South Korea.</t>
  </si>
  <si>
    <t>miyoung@sch.ac.kr</t>
  </si>
  <si>
    <t>SoonChunHyang University research grant</t>
  </si>
  <si>
    <t>This work was supported in part by the SoonChunHyang University research grant.</t>
  </si>
  <si>
    <t>KOREAN BIOCHIP SOCIETY-KBCS</t>
  </si>
  <si>
    <t>SEOUL</t>
  </si>
  <si>
    <t>KOREA SCI &amp; TECHNOL CENT, #310, 635-4, YEOGSAM-DONG, KANGNAM-GU, SEOUL, 135-703, SOUTH KOREA</t>
  </si>
  <si>
    <t>1976-0280</t>
  </si>
  <si>
    <t>2092-7843</t>
  </si>
  <si>
    <t>BIOCHIP J</t>
  </si>
  <si>
    <t>BioChip J.</t>
  </si>
  <si>
    <t>SEP 20</t>
  </si>
  <si>
    <t>10.1007/s13206-012-6310-5</t>
  </si>
  <si>
    <t>Biochemical Research Methods; Chemistry, Analytical; Nanoscience &amp; Nanotechnology</t>
  </si>
  <si>
    <t>Biochemistry &amp; Molecular Biology; Chemistry; Science &amp; Technology - Other Topics</t>
  </si>
  <si>
    <t>005WC</t>
  </si>
  <si>
    <t>WOS:000308779800010</t>
  </si>
  <si>
    <t>Corbett, JG; Su, W; Loeb, NG</t>
  </si>
  <si>
    <t>Corbett, J. G.; Su, W.; Loeb, N. G.</t>
  </si>
  <si>
    <t>Observed effects of sastrugi on CERES top-of-atmosphere clear-sky reflected shortwave flux over Antarctica</t>
  </si>
  <si>
    <t>ENERGY SYSTEM CERES; BIDIRECTIONAL REFLECTANCE; ICE SHEETS; SNOW; CLOUDS; ALBEDO; TERRA</t>
  </si>
  <si>
    <t>Determining the clear-sky top-of-atmosphere (TOA) albedo over snow from space requires knowledge of the bi-directional reflectance distribution function (BRDF), which itself is strongly influenced by the surface roughness of the snow. Sastrugi, a common element of surface roughness on Antarctica, tend to have a preferred azimuth direction, meaning the BRDF depends on the location and time of sampling. In this study we demonstrate that a sastrugi signal is present in the Clouds and the Earth's Radiant Energy System (CERES) reflectance measurements and TOA albedo estimates, leading to a spurious variation in instantaneous albedo as a function of solar azimuth of up to 0.08. By using the difference in flux between oblique and nadir views, we estimate the biases in monthly-and annual-mean 24-hour energy weighted clear-sky reflected TOA fluxes caused by sastrugi over Antarctica. At the grid box level, statistically significant monthly-mean biases of between +/- 15 Wm(-2) are found. For the entire Antarctic continent, monthly-mean biases are between 0.2 +/- 0.9 Wm(-2) to -1.7 +/- 1.1 Wm(-2) where a negative bias indicates the reflected flux is being underestimated. On an annual basis, the Antarctic bias is between -0.9 +/- 1.1 Wm(-2) and -1.0 +/- 1.1 Wm(-2). For the global annual mean clear-sky TOA flux, the bias caused by the presence of sastrugi is insignificant, -0.01 +/- 0.02 Wm(-2). By examining the anisotropy and the wind direction we infer that the negative TOA flux biases are likely to caused by sastrugi perpendicular to the solar azimuth whereas the positive TOA flux biases are likely to be caused by sastrugi parallel to the solar azimuth.</t>
  </si>
  <si>
    <t>[Corbett, J. G.] NASA, Langley Res Ctr, Sci Syst &amp; Applicat Inc, Hampton, VA 23681 USA; [Su, W.; Loeb, N. G.] NASA, Langley Res Ctr, Climate Sci Branch, Hampton, VA 23681 USA</t>
  </si>
  <si>
    <t>Science Systems and Applications Inc; National Aeronautics &amp; Space Administration (NASA); NASA Langley Research Center; National Aeronautics &amp; Space Administration (NASA); NASA Langley Research Center</t>
  </si>
  <si>
    <t>Corbett, JG (corresponding author), NASA, Langley Res Ctr, Sci Syst &amp; Applicat Inc, Mail Stop 420, Hampton, VA 23681 USA.</t>
  </si>
  <si>
    <t>joseph.g.corbett@nasa.gov</t>
  </si>
  <si>
    <t>Loeb, Norman/ABC-7817-2021; Keyes, Dennis/AAZ-9285-2021</t>
  </si>
  <si>
    <t>Corbett, Joseph/0000-0002-2183-670X</t>
  </si>
  <si>
    <t>D18104</t>
  </si>
  <si>
    <t>10.1029/2012JD017529</t>
  </si>
  <si>
    <t>011BQ</t>
  </si>
  <si>
    <t>WOS:000309138800001</t>
  </si>
  <si>
    <t>Ruiz-González, C; Galí, M; Sintes, E; Herndl, GJ; Gasol, JM; Simó, R</t>
  </si>
  <si>
    <t>Ruiz-Gonzalez, Clara; Gali, Marti; Sintes, Eva; Herndl, Gerhard J.; Gasol, Josep M.; Simo, Rafel</t>
  </si>
  <si>
    <t>Sunlight Effects on the Osmotrophic Uptake of DMSP-Sulfur and Leucine by Polar Phytoplankton</t>
  </si>
  <si>
    <t>DISSOLVED ORGANIC-MATTER; ULTRAVIOLET-RADIATION; SUBSTRATE UPTAKE; SOLAR-RADIATION; AMINO-ACIDS; MARINE; BACTERIA; GLUCOSE; LIGHT; DIMETHYLSULFONIOPROPIONATE</t>
  </si>
  <si>
    <t>Even though the uptake and assimilation of organic compounds by phytoplankton has been long recognized, very little is still known about its potential ecological role in natural marine communities and whether it varies depending on the light regimes the algae experience. We combined measurements of size-fractionated assimilation of trace additions of H-3-leucine and S-35-dimethylsulfoniopropionate (DMSP) with microautoradiography to assess the extent and relevance of osmoheterotrophy in summer phytoplankton assemblages from Arctic and Antarctic waters, and the role of solar radiation on it was further investigated by exposing samples to different radiation spectra. Significant assimilation of both substrates occurred in the size fraction containing most phytoplankton (&gt;5 mu m), sunlight exposure generally increasing S-35-DMSP-sulfur assimilation and decreasing H-3-leucine assimilation. Microautoradiography revealed that the capacity to take up both organic substrates seemed widespread among different polar algal phyla, particularly in pennate and centric diatoms, and photosynthetic dinoflagellates. Image analysis of the microautoradiograms showed for the first time interspecific variability in the uptakes of S-35-DMSP and H-3-leucine by phytoplankton depending on the solar spectrum. Overall, these results suggest that the role of polar phytoplankton in the utilization of labile dissolved organic matter may be significant under certain conditions and further confirm the relevance of solar radiation in regulating heterotrophy in the pelagic ocean.</t>
  </si>
  <si>
    <t>[Ruiz-Gonzalez, Clara; Gali, Marti; Gasol, Josep M.; Simo, Rafel] CSIC, Dept Marine Biol, Inst Ciencies Mar, Barcelona, Spain; [Sintes, Eva; Herndl, Gerhard J.] Univ Vienna, Fac Ctr Ecol, Dept Marine Biol, Vienna, Austria</t>
  </si>
  <si>
    <t>Consejo Superior de Investigaciones Cientificas (CSIC); CSIC - Centro Mediterraneo de Investigaciones Marinas y Ambientales (CMIMA); CSIC - Instituto de Ciencias del Mar (ICM); University of Vienna</t>
  </si>
  <si>
    <t>Ruiz-González, C (corresponding author), CSIC, Dept Marine Biol, Inst Ciencies Mar, Barcelona, Spain.</t>
  </si>
  <si>
    <t>clararg@icm.csic.es</t>
  </si>
  <si>
    <t>Ruiz-Gonzalez, Clara/K-7782-2017; Herndl, Gerhard J./S-3011-2019; Herndl, Gerhard J./B-1513-2013; Galí, Martí/L-1541-2013; Gasol, Josep M/B-1709-2008; Sintes, Eva/H-8494-2015</t>
  </si>
  <si>
    <t>Herndl, Gerhard J./0000-0002-2223-2852; Galí, Martí/0000-0002-5587-1271; Gasol, Josep M/0000-0001-5238-2387; Ruiz Gonzalez, Clara/0000-0003-3568-4943; Simo, Rafel/0000-0003-3276-7663; Sintes, Eva/0000-0002-7408-5647</t>
  </si>
  <si>
    <t>Spanish Ministry of Science and Innovation [POL2006-00550/CTM, CTM2005-04795/MAR, CTM2008-03309/MAR]</t>
  </si>
  <si>
    <t>Spanish Ministry of Science and Innovation(Spanish Government)</t>
  </si>
  <si>
    <t>This study was supported by the Spanish Ministry of Science and Innovation through a PhD studentship to Clara Ruiz-Gonzalez and through the projects ATOS (POL2006-00550/CTM), MODIVUS (CTM2005-04795/MAR) and SUMMER (CTM2008-03309/MAR). The funders only provided funding after recommendation by a peer review panel. They had no role in study design, data collection and analysis, decision to publish, or preparation of the manuscript.</t>
  </si>
  <si>
    <t>SEP 19</t>
  </si>
  <si>
    <t>e45545</t>
  </si>
  <si>
    <t>10.1371/journal.pone.0045545</t>
  </si>
  <si>
    <t>014PP</t>
  </si>
  <si>
    <t>Green Submitted, Green Published, gold</t>
  </si>
  <si>
    <t>WOS:000309388400102</t>
  </si>
  <si>
    <t>Ruesch, O; Poulet, F; Vincendon, M; Bibring, JP; Carter, J; Erkeling, G; Gondet, B; Hiesinger, H; Ody, A; Reiss, D</t>
  </si>
  <si>
    <t>Ruesch, Ottaviano; Poulet, Francois; Vincendon, Mathieu; Bibring, Jean-Pierre; Carter, John; Erkeling, Gino; Gondet, Brigitte; Hiesinger, Harald; Ody, Anouck; Reiss, Dennis</t>
  </si>
  <si>
    <t>Compositional investigation of the proposed chloride-bearing materials on Mars using near-infrared orbital data from OMEGA/MEx</t>
  </si>
  <si>
    <t>JOURNAL OF GEOPHYSICAL RESEARCH-PLANETS</t>
  </si>
  <si>
    <t>ANTARCTIC PERMAFROST; TERRA MERIDIANI; SURFACE; REFLECTANCE; VALLEY; MINERALS; DEPOSITS; EXPRESS; ANALOG; PHYLLOSILICATES</t>
  </si>
  <si>
    <t>Several hundred occurrences of chloride-bearing salt deposits have been proposed in terrains within the southern highlands of Mars on the basis of Thermal Emission Imaging System and Thermal Emission Spectrometer infrared observations. The spectral identification of chloride salts by remote sensing is challenging because they are transparent over much of the thermal infrared portion of the spectrum. Further ambiguity arises from the diverse geologic settings in which the putative chloride-bearing materials are found. In order to better constrain the composition of these unique compositional units, we perform a global survey of these materials in the Near-Infrared (NIR) domain with the Observatoire pour la Mineralogie, l'Eau, les Glaces et l'Activite (OMEGA) imaging spectrometer. The spectral signatures of the deposits are consistent with - although not specific of - chlorides. We do not observe olivine to be associated with the deposits, which confirms that sulfides are an unlikely alternative candidate. Our systematic search reveals the global lack of association with hydrated minerals (phyllosilicates, sulfates, hydrated silica) except for a few deposits (noteworthy in northwestern Terra Sirenum) where a small fraction of chloride material overlaps Fe/Mg-rich clay-bearing terrains. Even in these locations, the morphology and crosscutting relationships of the deposits suggest two separate episodes of mineralization, first phyllosilicates then chlorides, followed by subsequent formation of sulfates. Our study shows that local groundwater upwelling seems to be the most frequent source for the water involved in the formation of chloride, rather than surface runoff.</t>
  </si>
  <si>
    <t>[Ruesch, Ottaviano; Erkeling, Gino; Hiesinger, Harald; Reiss, Dennis] Univ Munster, Inst Planetol, D-48149 Munster, Germany; [Ruesch, Ottaviano; Poulet, Francois; Vincendon, Mathieu; Bibring, Jean-Pierre; Carter, John; Gondet, Brigitte; Ody, Anouck] Univ Paris Sud, CNRS, Inst Astrophys Spatiale, Orsay, France</t>
  </si>
  <si>
    <t>University of Munster; Centre National de la Recherche Scientifique (CNRS); Sorbonne Universite; Universite Paris Cite; Universite Paris Saclay</t>
  </si>
  <si>
    <t>Ruesch, O (corresponding author), Univ Munster, Inst Planetol, Wilhelm Klemm Str 10, D-48149 Munster, Germany.</t>
  </si>
  <si>
    <t>ottaviano.ruesch@uni-muenster.de</t>
  </si>
  <si>
    <t>Reiss, Dennis/B-6211-2008</t>
  </si>
  <si>
    <t>Reiss, Dennis/0000-0002-1836-596X</t>
  </si>
  <si>
    <t>2169-9097</t>
  </si>
  <si>
    <t>2169-9100</t>
  </si>
  <si>
    <t>J GEOPHYS RES-PLANET</t>
  </si>
  <si>
    <t>J. Geophys. Res.-Planets</t>
  </si>
  <si>
    <t>E00J13</t>
  </si>
  <si>
    <t>10.1029/2012JE004108</t>
  </si>
  <si>
    <t>010ZN</t>
  </si>
  <si>
    <t>WOS:000309133200001</t>
  </si>
  <si>
    <t>Magalhaes, C; Stevens, MI; Cary, SC; Ball, BA; Storey, BC; Wall, DH; Türk, R; Ruprecht, U</t>
  </si>
  <si>
    <t>Magalhaes, Catarina; Stevens, Mark I.; Cary, S. Craig; Ball, Becky A.; Storey, Bryan C.; Wall, Diana H.; Tuerk, Roman; Ruprecht, Ulrike</t>
  </si>
  <si>
    <t>At Limits of Life: Multidisciplinary Insights Reveal Environmental Constraints on Biotic Diversity in Continental Antarctica</t>
  </si>
  <si>
    <t>MCMURDO DRY VALLEYS; VICTORIA LAND; CYANOBACTERIAL DIVERSITY; SOIL BIODIVERSITY; TAYLOR VALLEY; BIOGEOCHEMISTRY; BIOGEOGRAPHY; MOUNTAINS; NEMATODES; NORTHERN</t>
  </si>
  <si>
    <t>Multitrophic communities that maintain the functionality of the extreme Antarctic terrestrial ecosystems, while the simplest of any natural community, are still challenging our knowledge about the limits to life on earth. In this study, we describe and interpret the linkage between the diversity of different trophic level communities to the geological morphology and soil geochemistry in the remote Transantarctic Mountains (Darwin Mountains, 80 degrees S). We examined the distribution and diversity of biota (bacteria, cyanobacteria, lichens, algae, invertebrates) with respect to elevation, age of glacial drift sheets, and soil physicochemistry. Results showed an abiotic spatial gradient with respect to the diversity of the organisms across different trophic levels. More complex communities, in terms of trophic level diversity, were related to the weakly developed younger drifts (Hatherton and Britannia) with higher soil C/N ratio and lower total soluble salts content (thus lower conductivity). Our results indicate that an increase of ion concentration from younger to older drift regions drives a succession of complex to more simple communities, in terms of number of trophic levels and diversity within each group of organisms analysed. This study revealed that integrating diversity across multi-trophic levels of biotic communities with abiotic spatial heterogeneity and geological history is fundamental to understand environmental constraints influencing biological distribution in Antarctic soil ecosystems.</t>
  </si>
  <si>
    <t>[Magalhaes, Catarina] Univ Porto, Ctr Marine &amp; Environm Res, Oporto, Portugal; [Stevens, Mark I.] Univ Adelaide, S Australian Museum, Sch Earth &amp; Environm Sci, Adelaide, SA 5005, Australia; [Cary, S. Craig] Univ Waikato, Dept Biol Sci, Hamilton, New Zealand; [Ball, Becky A.] Arizona State Univ, Div Math &amp; Nat Sci, Glendale, AZ USA; [Storey, Bryan C.] Univ Canterbury, Christchurch 1, New Zealand; [Wall, Diana H.] Colorado State Univ, Dept Biol, Ft Collins, CO 80523 USA; [Wall, Diana H.] Colorado State Univ, Nat Resource Ecol Lab, Ft Collins, CO 80523 USA; [Tuerk, Roman; Ruprecht, Ulrike] Salzburg Univ, Dept Organism Biol, A-5020 Salzburg, Austria; [Cary, S. Craig] Univ Delaware, Coll Earth Ocean &amp; Environm, Lewes, DE 19958 USA</t>
  </si>
  <si>
    <t>Universidade do Porto; University of Adelaide; University of Waikato; Arizona State University; University of Canterbury; Colorado State University; Colorado State University; Salzburg University; University of Delaware</t>
  </si>
  <si>
    <t>Magalhaes, C (corresponding author), Univ Porto, Ctr Marine &amp; Environm Res, Rua Bragas, Oporto, Portugal.</t>
  </si>
  <si>
    <t>cmag@icbas.up.pt</t>
  </si>
  <si>
    <t>Ball, Becky A/E-6573-2011; Magalhães, Catarina Maria/A-6836-2016; Wall, Diana H/F-5491-2011</t>
  </si>
  <si>
    <t>Ball, Becky A/0000-0001-8592-1316;</t>
  </si>
  <si>
    <t>Foundation for Research in Science and Technology, New Zealand; Australian Antarctic Division [2355]; US National Science Foundation [OPP-0739648, MCM LTER OPP-0423595, OPP-1115245]; FCT [SFRH/BPD/76989/2011, PTDC/MAR/112723/2009]; University of Porto and Santander Totta; Fundação para a Ciência e a Tecnologia [PTDC/MAR/112723/2009, SFRH/BPD/76989/2011] Funding Source: FCT</t>
  </si>
  <si>
    <t>Foundation for Research in Science and Technology, New Zealand; Australian Antarctic Division; US National Science Foundation(National Science Foundation (NSF)); FCT(Fundacao para a Ciencia e a Tecnologia (FCT)); University of Porto and Santander Totta; Fundação para a Ciência e a Tecnologia(Fundacao para a Ciencia e a Tecnologia (FCT))</t>
  </si>
  <si>
    <t>This study was conducted as part of the New Zealand Latitudinal Gradient Project (LGP), in connection with the New Zealand Terrestrial Antarctic Biocomplexity Survey (NZTABS) - a New Zealand International Polar Year program - supported through a grant from the Foundation for Research in Science and Technology, New Zealand to SCC, BCS and MIS. The study was also supported, by a grant from Australian Antarctic Division (project 2355 to MIS) and grants from the US National Science Foundation to SCC (OPP-0739648), and to RAV and DHW (MCM LTER OPP-0423595 and OPP-1115245). This study was partial funded by FCT through a Postdoctoral fellowship and a grant to CM (SFRH/BPD/76989/2011; PTDC/MAR/112723/2009) and by University of Porto and Santander Totta through a grant to CM. The funders had no role in study design, data collection and analysis, decision to publish, or preparation of the manuscript.</t>
  </si>
  <si>
    <t>e44578</t>
  </si>
  <si>
    <t>10.1371/journal.pone.0044578</t>
  </si>
  <si>
    <t>WOS:000309388400027</t>
  </si>
  <si>
    <t>Hara, K; Osada, K; Yabuki, M; Yamanouchi, T</t>
  </si>
  <si>
    <t>Hara, K.; Osada, K.; Yabuki, M.; Yamanouchi, T.</t>
  </si>
  <si>
    <t>Seasonal variation of fractionated sea-salt particles on the Antarctic coast</t>
  </si>
  <si>
    <t>OZONE DEPLETION EVENTS; FROST FLOWERS; AEROSOL; REGIONS; TROPOSPHERE; CHEMISTRY; FEATURES</t>
  </si>
  <si>
    <t>Aerosol sampling was conducted at Syowa Station, Antarctica (coastal station) in 2004-2006. SO42- depletion by mirabilite precipitation was identified from April through November. The fractionated sea-salt particles were distributed in ultrafine-coarse modes. Molar ratios of Mg2+/Na+ and K+/Na+ were higher than in bulk seawater ratio during winter-spring. The Mg2+/Na+ ratio in aerosols greatly exceeded the upper limit in the case only with mirabilite precipitation. The temperature dependence of Mg2+/Na+ ratio strongly suggested that higher ratios of Mg2+/Na+ and K+/Na+ were associated with sea-salt fractionation by precipitation of mirabilite at -9 degrees C, hydrohalite at ca. -23 degrees C and other salts such as ikaite at ca. -5 degrees C and gypsum at ca. -22 degrees C during winter-spring. Mg-salts with lower deliquescence relative humidity can be enriched gradually in the fractionated sea-salt particles. Results suggests that sea-salt fractionation can alter aerosol hygroscopicity and atmospheric chemistry in polar regions. Citation: Hara, K., K. Osada, M. Yabuki, and T. Yamanouchi (2012), Seasonal variation of fractionated sea-salt particles on the Antarctic coast, Geophys. Res. Lett., 39, L18801, doi: 10.1029/2012GL052761.</t>
  </si>
  <si>
    <t>[Hara, K.] Fukuoka Univ, Fac Sci, Dept Earth Syst Sci, Fukuoka 8140180, Japan; [Hara, K.; Yabuki, M.; Yamanouchi, T.] Natl Inst Polar Res, Tokyo, Japan; [Osada, K.] Nagoya Univ, Grad Sch, Nagoya, Aichi 4648601, Japan; [Yabuki, M.] Kyoto Univ, Res Inst Sustainable Humanosphere, Kyoto, Japan</t>
  </si>
  <si>
    <t>Fukuoka University; Research Organization of Information &amp; Systems (ROIS); National Institute of Polar Research (NIPR) - Japan; Nagoya University; Kyoto University</t>
  </si>
  <si>
    <t>Hara, K (corresponding author), Fukuoka Univ, Fac Sci, Dept Earth Syst Sci, 8-19-1 Nanakuma, Fukuoka 8140180, Japan.</t>
  </si>
  <si>
    <t>harakei@fukuoka-u.ac.jp</t>
  </si>
  <si>
    <t>Yamanouchi, Takashi/P-2041-2015; Osada, Kazuo/I-6395-2014; Hara, Keiichiro/N-8264-2018</t>
  </si>
  <si>
    <t>Osada, Kazuo/0000-0003-3100-5835; Hara, Keiichiro/0000-0001-7440-7776</t>
  </si>
  <si>
    <t>Observation project of global atmospheric change in the Antarctic for JARE [43-47]; Ministry of Education, Culture, Sports, Science and Technology of Japan [16253001, 15310012]; Grants-in-Aid for Scientific Research [15310012, 22310013, 16253001] Funding Source: KAKEN</t>
  </si>
  <si>
    <t>Observation project of global atmospheric change in the Antarctic for JARE; 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</si>
  <si>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members of the 45th, 46th and 47th Japanese Antarctic Research Expedition for assistance with aerosol measurements at Syowa Station. This study was supported as an Observation project of global atmospheric change in the Antarctic for JARE 43-47. This work was also supported by a Grant-in Aid (16253001, PI: T. Yamanouchi, and 15310012, PI: K. Osada) from the Ministry of Education, Culture, Sports, Science and Technology of Japan.</t>
  </si>
  <si>
    <t>SEP 18</t>
  </si>
  <si>
    <t>L18801</t>
  </si>
  <si>
    <t>10.1029/2012GL052761</t>
  </si>
  <si>
    <t>011AQ</t>
  </si>
  <si>
    <t>WOS:000309136100002</t>
  </si>
  <si>
    <t>Matsuoka, K; Power, D; Fujita, S; Raymond, CF</t>
  </si>
  <si>
    <t>Matsuoka, Kenichi; Power, Donovan; Fujita, Shuji; Raymond, Charles F.</t>
  </si>
  <si>
    <t>Rapid development of anisotropic ice-crystal-alignment fabrics inferred from englacial radar polarimetry, central West Antarctica</t>
  </si>
  <si>
    <t>AIRBORNE RADAR; EAST ANTARCTICA; MASS-BALANCE; RADIO-WAVES; SIPLE-DOME; GPS DATA; SHEET; SYSTEM; SCATTERING; MODEL</t>
  </si>
  <si>
    <t>Anisotropy in englacial radar power was measured using 60-MHz and 179-MHz copolarized pulse-modulated radar at 19 sites in central West Antarctica. The study region is a 100 x 300 km(2) area near the West Antarctic Ice Sheet Divide that separates ice flow toward the Ross and Amundsen Embayments. The frequency dependence of the returned power indicates that most of the radar data are affected by vertical variations in the crystal-orientation fabric (COF), though the 60-MHz data are more affected by acidity contrasts in the top 1000 m. Significant polarimetric variations occur at most sites, likely due to effects of the anisotropic COF patterns. More anisotropic variations occur at sites with significant horizontal strain, whereas more isotropic variations occur at sites where vertical compression dominates. Azimuthal shifts with depth of the principal axes of COF were found in shallow ice near the current flow divide and at greater depths over locations of rough bed. The former indicates that the divide has differentially migrated, resulting in a rotation of the principal COF axes. Nevertheless, the regionally consistent radar signatures suggest that the first-order ice properties in this area have remained constant and that no major changes in the strain configuration or ice topography have occurred for the past five to eight thousand years. We conclude that shallow polarimetric features can be related to the current strain configurations, and that englacial polarimetric features can help constrain current ice rheology and evolution of the ice topography.</t>
  </si>
  <si>
    <t>[Matsuoka, Kenichi] Norwegian Polar Res Inst, N-9296 Tromso, Norway; [Power, Donovan; Raymond, Charles F.] Univ Washington, Dept Earth &amp; Space Sci, Seattle, WA 98195 USA; [Fujita, Shuji] Natl Inst Polar Res, Tokyo, Japan</t>
  </si>
  <si>
    <t>Norwegian Polar Institute; University of Washington; University of Washington Seattle; Research Organization of Information &amp; Systems (ROIS); National Institute of Polar Research (NIPR) - Japan</t>
  </si>
  <si>
    <t>Matsuoka, K (corresponding author), Norwegian Polar Res Inst, N-9296 Tromso, Norway.</t>
  </si>
  <si>
    <t>matsuoka@npolar.no</t>
  </si>
  <si>
    <t>Matsuoka, Kenichi/B-7298-2017; Fujita, Shuji/A-7884-2016</t>
  </si>
  <si>
    <t>Matsuoka, Kenichi/0000-0002-3587-3405; Fujita, Shuji/0000-0003-0127-0777</t>
  </si>
  <si>
    <t>U.S. National Science Foundation [ANT-0440847, ANT-0944199]; Washington NASA Space Grant; Grants-in-Aid for Scientific Research [21221002] Funding Source: KAKEN; Directorate For Geosciences; Office of Polar Programs (OPP) [0944199] Funding Source: National Science Foundation</t>
  </si>
  <si>
    <t>U.S. National Science Foundation(National Science Foundation (NSF)); Washington NASA Space Grant; Grants-in-Aid for Scientific Research(Ministry of Education, Culture, Sports, Science and Technology, Japan (MEXT)Japan Society for the Promotion of ScienceGrants-in-Aid for Scientific Research (KAKENHI)); Directorate For Geosciences; Office of Polar Programs (OPP)(National Science Foundation (NSF)NSF - Directorate for Geosciences (GEO))</t>
  </si>
  <si>
    <t>U.S. National Science Foundation funded this work (ANT-0440847 and ANT-0944199). Most radar instruments used in this study were provided by National Institute of Polar Research, Tokyo. The radar-data recording system was developed primarily by Pavan Vaswani, as a part of his undergraduate summer research program at the University of Washington, which was partly supported by a Washington NASA Space Grant. We also thank P. Braddock, M. Conway, R. Eastman, L. Hormen, J.A. MacGregor, H. C. Steen-Larsen, and V. Palmer for assistance in the field, UNAVCO for GPS support, and Raytheon Polar Services, Air National Guard, and Ken Borek Air for logistical support. Discussion with H. Conway and A. Rasmussen improved the paper, and comments from Bryn Hubbard (Editor), Jeremy Bassis (Associate Editor), Edward King (reviewer), and two anonymous reviewers improved the paper.</t>
  </si>
  <si>
    <t>F03029</t>
  </si>
  <si>
    <t>10.1029/2012JF002440</t>
  </si>
  <si>
    <t>011BP</t>
  </si>
  <si>
    <t>WOS:000309138600002</t>
  </si>
  <si>
    <t>Rose, NL; Jones, VJ; Noon, PE; Hodgson, DA; Flower, RJ; Appleby, PG</t>
  </si>
  <si>
    <t>Rose, Neil L.; Jones, Vivienne J.; Noon, Philippa E.; Hodgson, Dominic A.; Flower, Roger J.; Appleby, Peter G.</t>
  </si>
  <si>
    <t>Long-Range Transport of Pollutants to the Falkland Islands and Antarctica: Evidence from Lake Sediment Fly Ash Particle Records</t>
  </si>
  <si>
    <t>SIGNY ISLAND; ORGANIC-MATTER; HEAVY-METALS; BLACK CARBON; COATS LAND; SNOW; PALEOLIMNOLOGY; POPULATIONS; DEPOSITION; GREENLAND</t>
  </si>
  <si>
    <t>Pb-210-dated sediment cores taken from lakes on the Falkland Islands, the South Orkney Islands, and the Larsemann Hills in Antarctica were analyzed for fly ash particles to assess the temporal record of contamination from high temperature fossil-fuel combustion sources. Very low, but detectable, levels were observed in the Antarctic lakes. In the Falkland Island lakes, the record of fly ash extended back to the late-19th century and the scale of contamination was considerably higher. These data, in combination with meteorological, modeling, and fossil-fuel consumption data, indicate most likely sources are in South America, probably Chile and Brazil. Other southern hemisphere sources, notably from Australia, contribute to a background contamination and were more important historically. Comparing southern polar data with the equivalent from the northern hemisphere emphasizes the difference in contamination of the two circumpolar regions, with the Falkland Island sites only having a level of contamination similar to that of northern Svalbard.</t>
  </si>
  <si>
    <t>[Rose, Neil L.; Jones, Vivienne J.; Noon, Philippa E.; Flower, Roger J.] UCL, Dept Geog, Environm Change Res Ctr, London WC1E 6BT, England; [Hodgson, Dominic A.] British Antarctic Survey, Cambridge CB3 0ET, England; [Appleby, Peter G.] Univ Liverpool, Dept Math Sci, Liverpool L69 3BX, Merseyside, England</t>
  </si>
  <si>
    <t>University of London; University College London; UK Research &amp; Innovation (UKRI); Natural Environment Research Council (NERC); NERC British Antarctic Survey; University of Liverpool</t>
  </si>
  <si>
    <t>Rose, NL (corresponding author), UCL, Dept Geog, Environm Change Res Ctr, Gower St, London WC1E 6BT, England.</t>
  </si>
  <si>
    <t>n.rose@ucl.ac.uk</t>
  </si>
  <si>
    <t>Rose, Neil L/C-5739-2008</t>
  </si>
  <si>
    <t>Rose, Neil/0000-0002-5697-7334; Appleby, Peter/0000-0002-6945-1841</t>
  </si>
  <si>
    <t>UK Foreign &amp; Commonwealth Office Overseas Territories Fund; Natural Environment Research Council Antarctic Special Topic Award [GST/02/448]; Australian Antarctic Division (ASAC) [2112]; Natural Environment Research Council [bas0100024] Funding Source: researchfish; NERC [bas0100024] Funding Source: UKRI</t>
  </si>
  <si>
    <t>UK Foreign &amp; Commonwealth Office Overseas Territories Fund; Natural Environment Research Council Antarctic Special Topic Award; Australian Antarctic Division (ASAC); Natural Environment Research Council(UK Research &amp; Innovation (UKRI)Natural Environment Research Council (NERC)); NERC(UK Research &amp; Innovation (UKRI)Natural Environment Research Council (NERC))</t>
  </si>
  <si>
    <t>The Falkland Islands Biodiversity Research in Lakes Project (FI-BRIL) was funded by the UK Foreign &amp; Commonwealth Office Overseas Territories Fund with approval of Tom Eggeling of the Falkland Islands Government. Logistical support was provided by Falldands Conservation. Access to Mt Adam was made possible by the UK Ministry of Defence via David Relph, Military Liaison Officer and Air Movements (Brintel Helicopters) at Mt Pleasant. D. Broughton, Falklands Ministry of Agriculture, kindly provided laboratory analytical facilities in Stanley. Falklands Conservation and Ms B. Ingham kindly advised on fieldwork logistics. Other aspects of this study were supported by Natural Environment Research Council Antarctic Special Topic Award (GST/02/448) and Australian Antarctic Division (ASAC project 2112). We thank the British Antarctic Survey for logistic support and Signy Base members 1991-92 for field assistance. Finally, we are grateful to three anonymous referees for their constructive comments, Cath D'Alton in the UCL Department of Geography Cartographic Office for producing the map and to Dr Alice Milner for palynological advice.</t>
  </si>
  <si>
    <t>10.1021/es3023013</t>
  </si>
  <si>
    <t>005ZD</t>
  </si>
  <si>
    <t>WOS:000308787800009</t>
  </si>
  <si>
    <t>Tovar-Hernández, MA; Yáñez-Rivera, B; Giangrande, A; Gambi, MC</t>
  </si>
  <si>
    <t>Ana Tovar-Hernandez, Maria; Yanez-Rivera, Beatriz; Giangrande, Adriana; Gambi, Maria Cristina</t>
  </si>
  <si>
    <t>Notes on the species of Perkinsiana (Polychaeta: Sabellidae) from Antarctica with the description of P. brigittae sp. nov.</t>
  </si>
  <si>
    <t>Antarctica; Sabellidae; Perkinsiana; symbiosis</t>
  </si>
  <si>
    <t>REPRODUCTIVE-BIOLOGY; REVISION; GENUS</t>
  </si>
  <si>
    <t>Nine nominal species are known from Antarctica and adjacent waters that have been assigned to the genus Perkinsiana (Polychaeta: Sabellidae). Taxonomic notes for these species are provided. Currently, only six species are considered valid: Perkinsiana antarctica (Kinberg), P. decorata (Rullier), P. borsibrunoi Giangrande and Gambi, P. magalhaensis (Kinberg), P. milae Giangrande and Gambi and P. pusilla (Johansson); P. antarctica (Gravier) is incertae sedis; P. littoralis (Hartman) is a suggested synonym of P. magalhaensis (Kinberg) and P. antarctica (Gravier), while Potamilla antarctica christenseni Augener probably belongs to the genus Notaulax. Perkinsiana is amended based on the presence of a palmate membrane and radiolar flanges, and three types of abdominal chaetae. The new species Perkinsiana brigittae sp. nov. is here described from collections taken by the U. S. Antarctic Research Program (USARP) at Wilkes Station. A taxonomic key for species of Perkinsiana from Antarctica is provided.</t>
  </si>
  <si>
    <t>[Ana Tovar-Hernandez, Maria] Colegio Sinaloa, Culiacan 80000, Sinaloa, Mexico; [Yanez-Rivera, Beatriz] Posgrad Inst Ciencias Mar &amp; Limnol, Unidad Acad Mazatlan, Mazatlan 82000, Sinaloa, Mexico; [Giangrande, Adriana] Univ Salento, Dipartimento Sci &amp; Tecnol Biol &amp; Ambiental, I-73100 Lecce, Italy; [Gambi, Maria Cristina] Stn Zool A Dohrn, I-80121 Naples, Italy</t>
  </si>
  <si>
    <t>University of Salento; Stazione Zoologica Anton Dohrn di Napoli</t>
  </si>
  <si>
    <t>Tovar-Hernández, MA (corresponding author), Geomare AC Av Miguel Aleman 616-4B, Mazatlan 82040, Sinaloa, Mexico.</t>
  </si>
  <si>
    <t>maria_ana_tovar@yahoo.com</t>
  </si>
  <si>
    <t>Gambi, Maria Cristina/AFO-0958-2022; yáñez, beatriz/AAB-1457-2022; TOVAR-HERNANDEZ, MARIA ANA/F-3490-2019; Gambi, Maria Cristina/L-8246-2014</t>
  </si>
  <si>
    <t>yáñez, beatriz/0000-0002-3192-2142; TOVAR-HERNANDEZ, MARIA ANA/0000-0002-5263-2830; Gambi, Maria Cristina/0000-0002-0168-776X; Giangrande, Adriana/0000-0003-4531-2377</t>
  </si>
  <si>
    <t>SEP 17</t>
  </si>
  <si>
    <t>006AJ</t>
  </si>
  <si>
    <t>WOS:000308791200004</t>
  </si>
  <si>
    <t>Fogt, RL; Jones, JM; Renwick, J</t>
  </si>
  <si>
    <t>Fogt, Ryan L.; Jones, Julie M.; Renwick, James</t>
  </si>
  <si>
    <t>Seasonal Zonal Asymmetries in the Southern Annular Mode and Their Impact on Regional Temperature Anomalies</t>
  </si>
  <si>
    <t>SEA-LEVEL PRESSURE; ANTARCTIC OSCILLATION; EXTRATROPICAL CIRCULATION; CLIMATE IMPACTS; AMERICAN MODES; PART II; HEMISPHERE; VARIABILITY; TRENDS; ATMOSPHERE</t>
  </si>
  <si>
    <t>The Southern Hemisphere annular mode (SAM) is the dominant mode of climate variability in the extratropical Southern Hemisphere. Representing variations in pressure and the corresponding changes to the circumpolar zonal flow, it is typically thought of as an annular or ringlike structure. However, on seasonal time scales the zonal symmetry observed in the SAM in monthly or annual mean data is much less marked. This study further examines the seasonal changes in the SAM structure and explores temperature signals across the Southern Hemisphere that are strongly tied to the asymmetric SAM structure. The SAM asymmetries are most marked in the Pacific sector and in austral winter and spring, related to changes in the jet entrance and exit regions poleward of 30 degrees S. Depending on the season, the asymmetric SAM structure explains over 25% of the variance in the overall SAM structure and has strong connections with ENSO or zonal wavenumber 3. In austral summer and autumn the SAM has been becoming more zonally symmetric, especially after 1980, perhaps tied to changes in anthropogenic forcing. Across the Pacific sector, including the Antarctic Peninsula, temperature variations are strongly tied to the asymmetric SAM structure, while temperatures across East Antarctica are more strongly tied to the zonally symmetric SAM structure. The results suggest that studies examining the climate impacts of the SAM across the Southern Hemisphere need to consider the seasonal variations in the SAM structure as well as varying impacts between its positive and negative polarity to adequately describe the underlying relationships.</t>
  </si>
  <si>
    <t>[Fogt, Ryan L.] Ohio Univ, Dept Geog, Athens, OH 45701 USA; [Jones, Julie M.] Univ Sheffield, Dept Geog, Sheffield S10 2TN, S Yorkshire, England; [Renwick, James] Natl Inst Water &amp; Atmospher Res, Wellington, New Zealand</t>
  </si>
  <si>
    <t>University System of Ohio; Ohio University; University of Sheffield; National Institute of Water &amp; Atmospheric Research (NIWA) - New Zealand</t>
  </si>
  <si>
    <t>Fogt, RL (corresponding author), Ohio Univ, Dept Geog, 122 Clippinger Labs, Athens, OH 45701 USA.</t>
  </si>
  <si>
    <t>fogtr@ohio.edu</t>
  </si>
  <si>
    <t>Fogt, Ryan L/B-6989-2008</t>
  </si>
  <si>
    <t>Fogt, Ryan L/0000-0002-5398-3990; Renwick, James/0000-0002-9141-2486; Jones, Julie/0000-0003-2892-8647</t>
  </si>
  <si>
    <t>NSF OPP [ANT-0944168]; NZ Ministry for Research and Innovation [C01 x 0701]; Directorate For Geosciences; Office of Polar Programs (OPP) [0944168] Funding Source: National Science Foundation</t>
  </si>
  <si>
    <t>NSF OPP(National Science Foundation (NSF)NSF - Directorate for Geosciences (GEO)); NZ Ministry for Research and Innovation; Directorate For Geosciences; Office of Polar Programs (OPP)(National Science Foundation (NSF)NSF - Directorate for Geosciences (GEO))</t>
  </si>
  <si>
    <t>The Hadley Centre is thanked for providing HADSLP2 data, and the European Centre for Medium-Range Weather Forecasts is acknowledged for provision of the ERA-40 data. RLF acknowledges support from NSF OPP Grant ANT-0944168. JMJ thanks Tricia Muldoon and Graham Simpkins for help with collating the station data. JR is supported through contract C01 x 0701 with the NZ Ministry for Research and Innovation. All authors acknowledge the thorough comments from three anonymous reviewers that helped to tighten the text in many places and clarify our main points.</t>
  </si>
  <si>
    <t>SEP 15</t>
  </si>
  <si>
    <t>10.1175/JCLI-D-11-00474.1</t>
  </si>
  <si>
    <t>009PP</t>
  </si>
  <si>
    <t>WOS:000309038000013</t>
  </si>
  <si>
    <t>Tobin, TS; Ward, PD; Steig, EJ; Olivero, EB; Hilburn, IA; Mitchell, RN; Diamond, MR; Raub, TD; Kirschvink, JL</t>
  </si>
  <si>
    <t>Tobin, Thomas S.; Ward, Peter D.; Steig, Eric J.; Olivero, Eduardo B.; Hilburn, Isaac A.; Mitchell, Ross N.; Diamond, Matthew R.; Raub, Timothy D.; Kirschvink, Joseph L.</t>
  </si>
  <si>
    <t>Extinction patterns, δ18 O trends, and magnetostratigraphy from a southern high-latitude Cretaceous-Paleogene section: Links with Deccan volcanism</t>
  </si>
  <si>
    <t>Mass extinction; K-Pg; Paleotemperature; Magnetostratigraphy; Antarctica; Deccan Traps</t>
  </si>
  <si>
    <t>MASS EXTINCTION; FLOOD-BASALT; TERTIARY BOUNDARY; SEYMOUR-ISLAND; MARAMBIO GROUP; IMPACT; IRIDIUM; ANTARCTICA; BASIN; FRACTIONATION</t>
  </si>
  <si>
    <t>Although abundant evidence now exists for a massive bolide impact coincident with the Cretaceous-Paleogene (K-Pg) mass extinction event (similar to 65.5 Ma), the relative importance of this impact as an extinction mechanism is still the subject of debate. On Seymour Island, Antarctic Peninsula, the Lopez de Bertodano Formation yields one of the most expanded K-Pg boundary sections known. Using a new chronology from magnetostratigraphy, and isotopic data from carbonate-secreting macrofauna, we present a high-resolution, high-latitude paleotemperature record spanning this time interval. We find two prominent warming events synchronous with the three main phases of Deccan Traps flood volcanism, and the onset of the second is contemporaneous with a local extinction that pre-dates the bolide impact What has been termed the K-Pg extinction is potentially the sum of multiple, independent events, at least at high latitudes. (C) 2012 Elsevier B.V. All rights reserved.</t>
  </si>
  <si>
    <t>[Tobin, Thomas S.; Ward, Peter D.; Steig, Eric J.] Univ Washington, Seattle, WA 98195 USA; [Olivero, Eduardo B.] CADIC CONICET, Ushuaia, Tierra Del Fueg, Argentina; [Hilburn, Isaac A.; Diamond, Matthew R.; Kirschvink, Joseph L.] CALTECH, Pasadena, CA 91125 USA; [Mitchell, Ross N.] Yale Univ, New Haven, CT 06511 USA; [Raub, Timothy D.] Univ St Andrews, Dept Earth Sci, St Andrews KY16 9AL, Fife, Scotland</t>
  </si>
  <si>
    <t>University of Washington; University of Washington Seattle; Consejo Nacional de Investigaciones Cientificas y Tecnicas (CONICET); California Institute of Technology; Yale University; University of St Andrews</t>
  </si>
  <si>
    <t>Tobin, TS (corresponding author), Univ Washington, Box 351310, Seattle, WA 98195 USA.</t>
  </si>
  <si>
    <t>ttobin@u.washington.edu</t>
  </si>
  <si>
    <t>Kirschvink, Joseph L/U-5844-2017; /G-9088-2015</t>
  </si>
  <si>
    <t>Raub, Timothy/0000-0002-7471-0246; /0000-0002-8191-5549; Tobin, Thomas/0000-0003-0992-7809</t>
  </si>
  <si>
    <t>NSF [OPP-0739541, OPP-0739432]; PICTO [36315]; ANPCyT-DNA (Olivero) [0114]</t>
  </si>
  <si>
    <t>NSF(National Science Foundation (NSF)); PICTO; ANPCyT-DNA (Olivero)</t>
  </si>
  <si>
    <t>We thank Dr. Isem and Dr. Borg of NSF Polar Programs for grants OPP-0739541 (PI Kirschvink) and OPP-0739432 (PI's Ward and Steig). We also acknowledge funding from PICTO 36315 and 0114 ANPCyT-DNA (Olivero). We thank two anonymous reviewers for their comments which improved the manuscript. We would also like to thank David J. Smith, Alvar Sobral, Tomas Wagener, Melissa Rider, Stian Alesandrini, John Evans, Dave Barbeau, Andrew Schauer, and Ron Sletten for assistance in the field and laboratory. Magnetostratigraphic data for this paper are available in the supplemental online material and at the MagIC portal, and the isotopic data is available as a supplemental data set and on the UW Isolab website (http://depts.washington.edu/isolab/data/). Fossil material is held at the University of Washington's Burke Museum of Natural History.</t>
  </si>
  <si>
    <t>10.1016/j.palaeo.2012.06.029</t>
  </si>
  <si>
    <t>004MM</t>
  </si>
  <si>
    <t>WOS:000308685800014</t>
  </si>
  <si>
    <t>Marshall, M</t>
  </si>
  <si>
    <t>Marshall, Michael</t>
  </si>
  <si>
    <t>Antarctic plant fossils hint at steamy monsoon past</t>
  </si>
  <si>
    <t>009GX</t>
  </si>
  <si>
    <t>WOS:000309015300006</t>
  </si>
  <si>
    <t>Gerringa, LJA; Alderkamp, AC; Laan, P; Thuróczy, CE; De Baar, HJW; Mills, MM; van Dijken, GL; van Haren, H; Arrigo, KR</t>
  </si>
  <si>
    <t>Gerringa, Loes J. A.; Alderkamp, Anne-Carlijn; Laan, Patrick; Thuroczy, Charles-Edouard; De Baar, Hein J. W.; Mills, Matthew M.; van Dijken, Gert L.; van Haren, Hans; Arrigo, Kevin R.</t>
  </si>
  <si>
    <t>Iron from melting glaciers fuels the phytoplankton blooms in Amundsen Sea (Southern Ocean): Iron biogeochemistry</t>
  </si>
  <si>
    <t>DEEP-SEA RESEARCH PART II-TOPICAL STUDIES IN OCEANOGRAPHY</t>
  </si>
  <si>
    <t>Fe; Fe fluxes; Dissolved Fe; Total dissolvable Fe; Southern Ocean</t>
  </si>
  <si>
    <t>PINE ISLAND GLACIER; DISSOLVED IRON; ORGANIC COMPLEXATION; ROSS SEA; FERTILIZATION EXPERIMENT; TAXONOMIC VARIABILITY; COLLOIDAL IRON; PACIFIC-OCEAN; TIME-SERIES; ICE</t>
  </si>
  <si>
    <t>Dissolved iron (DFe) and total dissolvable Fe (TDFe) were measured in January-February 2009 in Pine Island Bay, as well as in the Pine Island and Amundsen polynyas (Amundsen Sea, Southern Ocean). Iron (Fe) has been shown to be a limiting nutrient for phytoplankton growth, even in the productive continental shelves surrounding the Antarctic continent. However, the polynyas of the Amundsen Sea harbor the highest concentrations of phytoplankton anywhere in Antarctica. Here we present data showing the likely sources of Fe that enable such a productive and long lasting phytoplankton bloom. Circumpolar Deep Water (CDW) flows over the bottom of the shelf into the Pine Island Bay where DFe and TDFe were observed to increase from 0.2 to 0.4 nM DFe and from 0.3-4.0 to 7-14 nM TDFe, respectively. At the southern end of Pine Island Bay, the CDW upwelled under the Pine Island Glacier, bringing nutrients (including Fe) to the surface and melting the base of the glacier. Concentrations of DFe in waters near the Pine Island Glacier and the more westward lying Crosson, Dotson, and Getz Ice Shelves varied between 0.40 and 1.31 nM, depending on the relative magnitude of upwelling, turbulent mixing, and melting. These values represent maximum concentrations since associated ligands (which increase the solubility of Fe in seawater) were saturated with Fe (Thuroczy et al., 2012). The TDFe concentrations were very high compared to what previously has been measured in the Southern Ocean, varying between 3 and 106 nM. In the Pine Island Polynya, macronutrients and DFe were consumed by the phytoplankton bloom and concentrations were very low. We calculate that atmospheric dust contributed &lt;1% of the Fe necessary to sustain the phytoplankton bloom, while vertical turbulent eddy diffusion from the sediment, sea ice melt, and upwelling contributed 1.0-3.8%, 0.7-2.9%, and 0.4-1.7%, respectively. The largest source was Fe input from the PIG, which could satisfy the total Fe demand by the phytoplankton bloom by lateral advection of Fe over a range of 150 km from the glacier. The role of TDFe as a phytoplankton nutrient remains unclear, perhaps representing an important indirect Fe source via dissolution and complexation by dissolved organic ligands (Gerringa et al., 2000; Borer et al., 2005). (C) 2012 Elsevier Ltd. All rights reserved.</t>
  </si>
  <si>
    <t>[Gerringa, Loes J. A.; Laan, Patrick; Thuroczy, Charles-Edouard; De Baar, Hein J. W.; van Haren, Hans] Royal Netherlands Inst Sea Res, NL-1790 AB Den Burg, Netherlands; [Alderkamp, Anne-Carlijn; De Baar, Hein J. W.] Univ Groningen, Dept Ocean Ecosyst, Energy &amp; Sustainabil Res Inst Groningen, Groningen, Netherlands; [Alderkamp, Anne-Carlijn; Mills, Matthew M.; van Dijken, Gert L.; Arrigo, Kevin R.] Stanford Univ, Dept Environm Earth Syst Sci, Stanford, CA 94305 USA</t>
  </si>
  <si>
    <t>Utrecht University; Royal Netherlands Institute for Sea Research (NIOZ); University of Groningen; Stanford University</t>
  </si>
  <si>
    <t>Gerringa, LJA (corresponding author), Royal Netherlands Inst Sea Res, POB 59, NL-1790 AB Den Burg, Netherlands.</t>
  </si>
  <si>
    <t>Loes.Gerringa@nioz.nl</t>
  </si>
  <si>
    <t>Van Dijken, Gert L/C-5276-2011</t>
  </si>
  <si>
    <t>Arrigo, Kevin/0000-0002-7364-876X; Van Dijken, Gert/0000-0002-9587-6317</t>
  </si>
  <si>
    <t>National Science Foundation Office of Polar Programs as part of the United States-International Polar Year program [ANT-0732535]; NWO Geotraces sub-project [851.40.10]; NWO-NAAP [851.20.041]</t>
  </si>
  <si>
    <t>National Science Foundation Office of Polar Programs as part of the United States-International Polar Year program; NWO Geotraces sub-project; NWO-NAAP(Netherlands Organization for Scientific Research (NWO))</t>
  </si>
  <si>
    <t>The authors are most grateful to the Captain and crew of R.V. Nathaniel B. Palmer, as well as to Stanley Jacobs, chief scientist during the NBP09-01 cruise. Frank Nitsche from Colombia University is thanked for making Fig. I and Nelleke Krijgsman (NIOZ) is acknowleged for improving the other figures. Ira van den Broek (NIOZ) is thanked for putting the data online. We thank the two anonynous reviewers for their constuctive remarks. The US component of this research was sponsored by the National Science Foundation Office of Polar Programs (DynaLiFe Grant ANT-0732535 to K.R. Arrigo) as part of the United States-International Polar Year program. The Dutch component was funded by NWO Geotraces sub-project (Grant 851.40.10) to H.J.W. de Baar and a NWO-NAAP Grant (851.20.041) to A-C. Alderkamp.</t>
  </si>
  <si>
    <t>0967-0645</t>
  </si>
  <si>
    <t>1879-0100</t>
  </si>
  <si>
    <t>DEEP-SEA RES PT II</t>
  </si>
  <si>
    <t>Deep-Sea Res. Part II-Top. Stud. Oceanogr.</t>
  </si>
  <si>
    <t>71-76</t>
  </si>
  <si>
    <t>10.1016/j.dsr2.2012.03.007</t>
  </si>
  <si>
    <t>964TW</t>
  </si>
  <si>
    <t>WOS:000305720600003</t>
  </si>
  <si>
    <t>Alderkamp, AC; Mills, MM; van Dijken, GL; Laan, P; Thuróczy, CE; Gerringa, LJA; de Baar, HJW; Payne, CD; Visser, RJW; Buma, AGJ; Arrigo, KR</t>
  </si>
  <si>
    <t>Alderkamp, Anne-Carlijn; Mills, Matthew M.; van Dijken, Gert L.; Laan, Patrick; Thuroczy, Charles-Edouard; Gerringa, Loes J. A.; de Baar, Hein J. W.; Payne, Christopher D.; Visser, Ronald J. W.; Buma, Anita G. J.; Arrigo, Kevin R.</t>
  </si>
  <si>
    <t>Iron from melting glaciers fuels phytoplankton blooms in the Amundsen Sea (Southern Ocean): Phytoplankton characteristics and productivity</t>
  </si>
  <si>
    <t>Phytoplankton; Photosynthesis; Primary productivity; Phaeocystis; Diatoms; Iron; Amundsen Sea; Pine Island Bay; Pine Island Glacier</t>
  </si>
  <si>
    <t>PINE ISLAND GLACIER; FRAGILARIOPSIS-CYLINDRUS BACILLARIOPHYCEAE; PHAEOCYSTIS-ANTARCTICA PRYMNESIOPHYCEAE; SPECTRAL ABSORPTION-COEFFICIENTS; ROSS SEA; ENRICHMENT EXPERIMENTS; TAXONOMIC VARIABILITY; MARINE-PHYTOPLANKTON; TAXA PHOTOSYNTHESIS; COMMUNITY STRUCTURE</t>
  </si>
  <si>
    <t>The phytoplankton community composition and productivity in waters of the Amundsen Sea and surrounding sea ice zone were characterized with respect to iron (Fe) input from melting glaciers. High Fe input from glaciers such as the Pine Island Glacier, and the Dotson and Crosson ice shelves resulted in dense phytoplankton blooms in surface waters of Pine Island Bay, Pine Island Polynya, and Amundsen Polynya. Phytoplankton biomass distribution was the opposite of the distribution of dissolved Fe (DFe), confirming the uptake of glacial DFe in surface waters by phytoplankton. Phytoplankton biomass in the polynyas ranged from 0.6 to 14 mu g Chl a L-1, with lower biomass at glacier sites where strong upwelling of Modified Circumpolar Deep Water from beneath glacier tongues was observed. Phytoplankton blooms in the polynyas were dominated by the haptophyte Phaeocystis antarctica, whereas the phytoplankton community in the sea ice zone was a mix of P. antarctica and diatoms, resembling the species distribution in the Ross Sea. Water column productivity based on photosynthesis versus irradiance characteristics averaged 3.00 g C m(-2)d(-1) in polynya sites, which was approximately twice as high as in the sea ice zone. The highest water column productivity was observed in the Pine Island Polynya, where both thermally and salinity stratified waters resulted in a shallow surface mixed layer with high phytoplankton biomass. In contrast, new production based on NO3 uptake was similar between different polynya sites, where a deeper UML in the weakly, thermally stratified Pine Island Bay resulted in deeper NO3 removal, thereby offsetting the lower productivity at the surface. These are the first in situ observations that confirm satellite observations of high phytoplankton biomass and productivity in the Amundsen Sea. Moreover, the high phytoplankton productivity as a result of glacial input of DFe is the first evidence that melting glaciers have the potential to increase phytoplankton productivity and thereby CO2 uptake, resulting in a small negative feedback to anthropogenic CO2 emissions. (C) 2012 Elsevier Ltd. All rights reserved.</t>
  </si>
  <si>
    <t>[Alderkamp, Anne-Carlijn; Mills, Matthew M.; van Dijken, Gert L.; Arrigo, Kevin R.] Stanford Univ, Dept Environm Earth Syst Sci, Stanford, CA 94305 USA; [Alderkamp, Anne-Carlijn; de Baar, Hein J. W.; Visser, Ronald J. W.; Buma, Anita G. J.] Univ Groningen, Dept Ocean Ecosyst, NL-9747 AG Groningen, Netherlands; [Laan, Patrick; Thuroczy, Charles-Edouard; Gerringa, Loes J. A.; de Baar, Hein J. W.] Royal Netherlands Inst Sea Res, NL-1790 AB Den Burg, Netherlands; [Payne, Christopher D.] Univ British Columbia, Dept Earth &amp; Ocean Sci, Vancouver, BC V5Z 1M9, Canada</t>
  </si>
  <si>
    <t>Stanford University; University of Groningen; Utrecht University; Royal Netherlands Institute for Sea Research (NIOZ); University of British Columbia</t>
  </si>
  <si>
    <t>Alderkamp, AC (corresponding author), Stanford Univ, Dept Environm Earth Syst Sci, Stanford, CA 94305 USA.</t>
  </si>
  <si>
    <t>Alderkamp@stanford.edu</t>
  </si>
  <si>
    <t>Buma, Anita GJ/E-8372-2015; Van Dijken, Gert L/C-5276-2011</t>
  </si>
  <si>
    <t>NSF [ANT-0732535]; Netherlands AntArctic Program (NAAP) [851.20.041]</t>
  </si>
  <si>
    <t>NSF(National Science Foundation (NSF)); Netherlands AntArctic Program (NAAP)</t>
  </si>
  <si>
    <t>We thank the captain and crew of the RVIB Nathaniel B. Palmer as well as Raytheon staff for their support, and cruise leaders Stan Jacobs and Adrian Jenkins and all NBP 0901 participants for their help. Frank Nitsche is acknowledged making Fig. 1. This research was sponsored by the NSF DynaLiFe program (grant ANT-0732535 to KRA) in the framework of the US-IPY program and the Netherlands AntArctic Program (NAAP grant 851.20.041 to AGJB).</t>
  </si>
  <si>
    <t>10.1016/j.dsr2.2012.03.005</t>
  </si>
  <si>
    <t>WOS:000305720600004</t>
  </si>
  <si>
    <t>Thuróczy, CE; Alderkamp, AC; Laan, P; Gerringa, LJA; Mills, MM; Van Dijken, GL; De Baar, HJW; Arrigo, KR</t>
  </si>
  <si>
    <t>Thuroczy, Charles-Edouard; Alderkamp, Anne-Carlijn; Laan, Patrick; Gerringa, Loes J. A.; Mills, Matthew M.; Van Dijken, Gert L.; De Baar, Hein J. W.; Arrigo, Kevin R.</t>
  </si>
  <si>
    <t>Key role of organic complexation of iron in sustaining phytoplankton blooms in the Pine Island and Amundsen Polynyas (Southern Ocean)</t>
  </si>
  <si>
    <t>Iron; Organic complexation; Ligands; Dissolved; Ratio [L]/[DFe]; Southern Ocean; Amundsen; Pine Island; Polynya; Phytoplankton bloom; Glacier; CLE-AdSV; Dyna LiFe; GEOTRACES; NBP09-01</t>
  </si>
  <si>
    <t>ANTARCTIC SEA-ICE; CATHODIC STRIPPING VOLTAMMETRY; EQUATORIAL PACIFIC-OCEAN; MELTING GLACIERS FUELS; SMALL COLLOIDAL IRON; ROSS SEA; PACK ICE; DISSOLVED IRON; TAXONOMIC VARIABILITY; COMPLEXING LIGANDS</t>
  </si>
  <si>
    <t>Primary productivity in the Amundsen Sea (Southern Ocean) is among the highest in Antarctica. The summer phytoplankton bloom in 2009 lasted for &gt; 70 days in both the Pine Island and Amundsen Polynyas. Such productive blooms require a large supply of nutrients, including the trace metal iron (Fe). The organic complexation of dissolved Fe was investigated in the Amundsen Sea during the spring of 2009 to better understand the potential role of ligands in enhancing the local stock of dissolved Fe. The main sources of Fe and ligands to the Amundsen Sea are thought to be melting sea-ice and the Circumpolar Deep Water (CDW), which is modified (MCDW) on the continental shelf and upwells beneath the coastal glaciers and ice-shelves. Upwelling of relatively warm MCDW is also responsible for the rapid melting of the Pine Island Glacier (PIG) and surrounding ice-shelves, resulting in additional release of Fe into surface waters. At upwelling stations near ice shelves, organic ligands were nearly saturated with Fe, thus enhancing the stock of Fe and its availability to the phytoplankton community. However, ligands had little capacity to buffer additional Fe input from glacial melt. In these coastal upwelling regions, much of the glacial Fe supply is lost due to vertical export of Fe via scavenging and precipitation. Conversely, within the phytoplankton bloom in the nearby coastal polynyas, the uptake of Fe combined with the production of organic matter enhanced the abundance of relatively unsaturated organic ligands capable of stabilizing additional Fe supplied from glacial melt. These unsaturated dissolved organic ligands, combined with the continuous input of Fe (dissolved and particulate) from glacial melt, appear to favor the solubilization of Fe, thus increasing the stock of bioavailable Fe and fueling the phytoplankton bloom. (C) 2012 Elsevier Ltd. All rights reserved.</t>
  </si>
  <si>
    <t>[Thuroczy, Charles-Edouard; Laan, Patrick; Gerringa, Loes J. A.; De Baar, Hein J. W.] Royal Netherlands Inst Sea Res Royal NIOZ, NL-1790 AB Den Burg, Netherlands; [Alderkamp, Anne-Carlijn; De Baar, Hein J. W.] Univ Groningen, Dept Ocean Ecosyst, Groningen, Netherlands; [Alderkamp, Anne-Carlijn; Mills, Matthew M.; Van Dijken, Gert L.] Stanford Univ, Dept Geophys, Stanford, CA 94305 USA</t>
  </si>
  <si>
    <t>Thuróczy, CE (corresponding author), Royal Netherlands Inst Sea Res Royal NIOZ, POB 59, NL-1790 AB Den Burg, Netherlands.</t>
  </si>
  <si>
    <t>Charles-Edouard.Thuroczy@nioz.nl</t>
  </si>
  <si>
    <t>Van Dijken, Gert/0000-0002-9587-6317; Arrigo, Kevin/0000-0002-7364-876X</t>
  </si>
  <si>
    <t>National Science Foundation as part of the International Polar Year [ANT-0732535]; Netherlands Organization for Scientific Research (NWO), Netherlands AntArctic Programme (NAAP) [851.20.041]</t>
  </si>
  <si>
    <t>National Science Foundation as part of the International Polar Year; Netherlands Organization for Scientific Research (NWO), Netherlands AntArctic Programme (NAAP)</t>
  </si>
  <si>
    <t>The authors are most grateful to the Captain and crew of R.V. Nathaniel B. Palmer, as well as to Stanley Jacobs, chief scientist during the NBP09-01 cruise. National Science Foundation DynaLiFe grant to KRA (ANT-0732535) as part of the International Polar Year and by the Netherlands Organization for Scientific Research (NWO), Netherlands AntArctic Programme (NAAP Grant 851.20.041).</t>
  </si>
  <si>
    <t>10.1016/j.dsr2.2012.03.009</t>
  </si>
  <si>
    <t>WOS:000305720600005</t>
  </si>
  <si>
    <t>Tortell, PD; Long, MC; Payne, CD; Alderkamp, AC; Dutrieux, P; Arrigo, KR</t>
  </si>
  <si>
    <t>Tortell, Philippe D.; Long, Matthew C.; Payne, Christopher D.; Alderkamp, Anne-Carlijn; Dutrieux, Pierre; Arrigo, Kevin R.</t>
  </si>
  <si>
    <t>Spatial distribution of pCO2, ΔO2/Ar and dimethylsulfide (DMS) in polynya waters and the sea ice zone of the Amundsen Sea, Antarctica</t>
  </si>
  <si>
    <t>Amundsen Sea; pCO(2); O-2/Ar; Dimethylsulfide; Iron; Phaeocystis; Diatoms; Net community production; Air-sea exchange; Modified circumpolar deep water</t>
  </si>
  <si>
    <t>NET COMMUNITY PRODUCTION; MELTING GLACIERS FUELS; PINE ISLAND GLACIER; ROSS SEA; PHYTOPLANKTON BIOMASS; ATMOSPHERIC SULFUR; OCEAN; IRON; DYNAMICS; EMISSIONS</t>
  </si>
  <si>
    <t>We report the first simultaneous measurements of surface water pCO(2), biological oxygen saturation (Delta O-2/Ar) and dimethylsulfide (DMS) concentrations in polynya waters and the sea ice zone of the Amundsen Sea, Antarctica. Across our survey region, we observed large spatial variability in surface water gas concentrations, tied to strong gradients in hydrography and phytoplankton biomass. Variability in sea surface temperature and salinity was attributed to the interacting effects of surface ocean circulation and heat fluxes, sea ice melt and the upwelling of relatively warm, saline and nutrient-rich modified circumpolar deep water. Phytoplankton biomass ranged from &lt;1 mu g L-1 to similar to 40 mu g L-1 chlorophyll a (Chl a), with the highest values observed in regions of shallow mixed layer depths. Phytoplankton assemblages were dominated by the colonial haptophyte Phaeocystis antarctica at most sampling stations, with lesser abundances of diatoms found throughout the polynya and sea ice zone. Cryptophytes were abundant at a few stations along the continental shelf break. Across the open polynya waters and sea ice zone, Delta O-2/Ar ranged from similar to -40% to 40% (mean 8.6%), pCO(2) ranged from 80 to 530 mu atm (mean 250 mu atm) and DMS concentrations varied from &lt;1 nM to -350 nM. Strong gradients in gas concentrations were observed over short (i.e. &lt;10 km) spatial scales. The distribution of pCO(2) and Delta O-2/Ar across our survey transects reflected the balance between deep water entrainment and net community production, with a significant imprint of air-sea exchange. Chl a concentrations were significantly correlated to both pCO(2) and Delta O-2/Ar, and the slope of the Delta O-2/Ar vs. pCO(2) relationship was consistent with photosynthetic stoichiometry (similar to 1.25 mol O-2 evolved per mol DIC removed). DMS and Chl a concentrations were also correlated in surface waters, but the spatial distribution of DMS was often uncoupled from pCO(2) and Delta O-2/Ar, likely due to complex microbial cycling processes. Sea surface temperature and salinity were related to surface gas concentrations through their effects on mixed layer depth and as tracers of upwelling. During the time of our cruise, the Amundsen Sea acted as an overall net sink for CO2 (mean sea-air flux = -15.9 mmol m(-2) d(-1)) and a DMS source (mean sea-air flux = 23.1 mu mol m(-2) d(-1)). Sea-air CO2 and DMS fluxes were more than 2-fold higher in open polynya waters relative to the overall cruise means. Simple calculations suggest that the Amundsen Sea contributes similar to 5% of total Southern Ocean CO2 fluxes, and similar to 1% of DMS fluxes. (C) 2012 Elsevier Ltd. All rights reserved.</t>
  </si>
  <si>
    <t>[Tortell, Philippe D.; Payne, Christopher D.] Univ British Columbia, Dept Earth &amp; Ocean Sci, Vancouver, BC V6T 1Z3, Canada; [Tortell, Philippe D.] Univ British Columbia, Dept Bot, Vancouver, BC V6T 1Z4, Canada; [Long, Matthew C.] Natl Ctr Atmospher Res, Boulder, CO 80305 USA; [Alderkamp, Anne-Carlijn; Arrigo, Kevin R.] Stanford Univ, Dept Environm Earth Syst Sci, Stanford, CA 94305 USA; [Dutrieux, Pierre] British Antarctic Survey, Div Phys Sci, Cambridge CB3 0ET, England</t>
  </si>
  <si>
    <t>University of British Columbia; University of British Columbia; National Center Atmospheric Research (NCAR) - USA; Stanford University; UK Research &amp; Innovation (UKRI); Natural Environment Research Council (NERC); NERC British Antarctic Survey</t>
  </si>
  <si>
    <t>Tortell, PD (corresponding author), Univ British Columbia, Dept Earth &amp; Ocean Sci, 2146 Hlth Sci Mall, Vancouver, BC V6T 1Z3, Canada.</t>
  </si>
  <si>
    <t>ptortell@eos.ubc.ca</t>
  </si>
  <si>
    <t>Long, Matthew C/H-4632-2016; Dutrieux, Pierre/GVS-2890-2022</t>
  </si>
  <si>
    <t>Dutrieux, Pierre/0000-0002-8066-934X; Arrigo, Kevin/0000-0002-7364-876X; Long, Matthew/0000-0003-1273-2957; Tortell, Philippe/0000-0003-0212-2151</t>
  </si>
  <si>
    <t>US National Science Foundation, Office of Polar Programs [ANT0732535]; Natural Sciences and Engineering Research Council of Canada; NERC [NE/G001367/1, bas0100028] Funding Source: UKRI; Natural Environment Research Council [NE/G001367/1, bas0100028] Funding Source: researchfish</t>
  </si>
  <si>
    <t>US National Science Foundation, Office of Polar Programs(National Science Foundation (NSF)); Natural Sciences and Engineering Research Council of Canada(Natural Sciences and Engineering Research Council of Canada (NSERC)CGIAR); NERC(UK Research &amp; Innovation (UKRI)Natural Environment Research Council (NERC)); Natural Environment Research Council(UK Research &amp; Innovation (UKRI)Natural Environment Research Council (NERC))</t>
  </si>
  <si>
    <t>This work was supported by the US National Science Foundation, Office of Polar Programs (Grant # ANT0732535 to KRA), and funding from the Natural Sciences and Engineering Research Council of Canada (PDT). We thank the Captain and crew of the RVIB Nathanial B. Palmer for logistical assistance, as well as the entire DynaLiFe science team for support at sea and valuable intellectual input. Quality-controlled pCO2 data from the equilibrator on the NB Palmer were provided courtesy of Taro Takahashi and the Lamont Doherty Earth Observatory CO2 group.</t>
  </si>
  <si>
    <t>10.1016/j.dsr2.2012.03.010</t>
  </si>
  <si>
    <t>WOS:000305720600007</t>
  </si>
  <si>
    <t>Fan, YL; Lin, SJ; Held, IM; Yu, ZT; Tolman, HL</t>
  </si>
  <si>
    <t>Fan, Yalin; Lin, Shian-Jiann; Held, Isaac M.; Yu, Zhitao; Tolman, Hendrik L.</t>
  </si>
  <si>
    <t>Global Ocean Surface Wave Simulation Using a Coupled Atmosphere-Wave Model</t>
  </si>
  <si>
    <t>PART I; TROPICAL CYCLONES; WIND-WAVES; CLIMATE; FLUXES; PARAMETERIZATION; COEFFICIENT; VARIABILITY; STRESS; TRENDS</t>
  </si>
  <si>
    <t>This study describes a 29-yr (1981-2009) global ocean surface gravity wave simulation generated by a coupled atmosphere wave model using NOAA/GFDL's High-Resolution Atmosphere Model (HiRAM) and the WAVEWATCH III surface wave model developed and used operationally at NOAA/NCEP. Extensive evaluation of monthly mean significant wave height (SWH) against in situ buoys, satellite altimeter measurements, and the 40-yr ECMWF Re-Analysis (ERA-40) show very good agreements in terms of magnitude, spatial distribution, and scatter. The comparisons with satellite altimeter measurements indicate that the SWH low bias in ERA-40 reanalysis has been improved in these model simulations. The model fields show a strong response to the North Atlantic Oscillation (NAO) in the North Atlantic and the Southern Oscillation index (SOI) in the Pacific Ocean that are well connected with the atmospheric responses. For the NAO in winter, the strongest subpolar wave responses are found near the northern Europe coast and the coast of Labrador rather than in the central-northern Atlantic where the wind response is strongest. Similarly, for the SOI in the Pacific Ocean, the wave responses are strongest in the northern Bering Sea and the Antarctic coast.</t>
  </si>
  <si>
    <t>[Fan, Yalin] Princeton Univ, Atmospher &amp; Ocean Sci Program, Princeton, NJ 08540 USA; [Fan, Yalin; Lin, Shian-Jiann; Held, Isaac M.; Yu, Zhitao] NOAA, Geophys Fluid Dynam Lab, Princeton, NJ USA; [Yu, Zhitao] Univ Corp Atmospher Res, Princeton, NJ USA; [Tolman, Hendrik L.] NOAA, NCEP Environm Modeling Ctr, Camp Springs, MD USA</t>
  </si>
  <si>
    <t>National Oceanic Atmospheric Admin (NOAA) - USA; Princeton University; National Oceanic Atmospheric Admin (NOAA) - USA; National Center Atmospheric Research (NCAR) - USA; National Oceanic Atmospheric Admin (NOAA) - USA</t>
  </si>
  <si>
    <t>Fan, YL (corresponding author), Princeton Univ, Atmospher &amp; Ocean Sci Program, Princeton, NJ 08540 USA.</t>
  </si>
  <si>
    <t>yalin.fan@noaa.gov</t>
  </si>
  <si>
    <t>Held, Isaac/0000-0002-6744-439X</t>
  </si>
  <si>
    <t>NOAA</t>
  </si>
  <si>
    <t>NOAA(National Oceanic Atmospheric Admin (NOAA) - USA)</t>
  </si>
  <si>
    <t>The authors thank M. Hemer for providing the TOPEX/Poseidon altimeter-measurement analysis data used in Fig. 8; Andreas Sterl for providing the corrected ERA-40 data used in Figs. 7 and 8; T. Delworth, S. Griffies, and O. Sergienko for valuable discussions on the interpretation of these results; and Z. Liang for helping the development of the coupled system used in this study. Yalin Fan was partially supported by the Hurricane Forecast Improvement Program by NOAA.</t>
  </si>
  <si>
    <t>10.1175/JCLI-D-11-00621.1</t>
  </si>
  <si>
    <t>WOS:000309038000012</t>
  </si>
  <si>
    <t>Lauderdale, JM; Garabato, ACN; Oliver, KIC; Thomas, LN</t>
  </si>
  <si>
    <t>Lauderdale, J. M.; Garabato, A. C. Naveira; Oliver, K. I. C.; Thomas, L. N.</t>
  </si>
  <si>
    <t>Climatic variations of the work done by the wind on the ocean's general circulation</t>
  </si>
  <si>
    <t>LAST GLACIAL MAXIMUM; ANTARCTIC CIRCUMPOLAR CURRENT; SOUTHERN-HEMISPHERE WESTERLIES; COARSE-RESOLUTION; ATMOSPHERIC CO2; ENERGY INPUT; TRANSPORT; STRESS; MODEL; THERMOHALINE</t>
  </si>
  <si>
    <t>The Southern Hemisphere westerlies exert an important influence on global climate, supplying nearly half of the mechanical energy for the deep overturning circulation. In a coarse-resolution ocean model, northward-shifted winds increase the work done on surface geostrophic flows due to enhanced velocities associated with the Antarctic Circumpolar Current (ACC). Alternatively, energy supply is diminished by southward-shifted winds, primarily through reduced correspondence between wind stress and surface velocity in the Southern Ocean due to dynamical and topographic constraints on the ACC. When combined perturbations in latitude and magnitude of the westerlies are applied, these results are reconciled with estimates of recent trends in wind work and volume transport in the Southern Ocean from observations and coupled climate models. This indicates that the strength of the winds exerts a dominant effect that masks the opposing consequences of latitudinal migration. In particular, transport through Drake Passage shows a clear relationship with wind work and velocity when the winds move poleward leading to a reduction in all three quantities. However, under equatorward-shifted winds, stronger polar easterlies adjacent to the Antarctic continent establishes a recirculation gyre leading to increased mechanical energy input and swifter currents but reduced transport. Significant (O(25%)) changes in the mechanical energy supply from the winds may be possible on climatic time scales, particularly associated with the spatial correlation between winds and the ACC that does not depend critically on unresolved eddy processes in this model, leading to a pathway for altering abyssal diapycnal mixing rates and stratification of the ocean interior.</t>
  </si>
  <si>
    <t>[Lauderdale, J. M.] Univ Liverpool, Sch Environm Sci, Liverpool L69 3GP, Merseyside, England; [Lauderdale, J. M.; Garabato, A. C. Naveira; Oliver, K. I. C.] Univ Southampton, Natl Oceanog Ctr, Southampton, Hants, England; [Thomas, L. N.] Stanford Univ, Dept Environm Earth Syst Sci, Stanford, CA 94305 USA</t>
  </si>
  <si>
    <t>University of Liverpool; NERC National Oceanography Centre; University of Southampton; Stanford University</t>
  </si>
  <si>
    <t>Lauderdale, JM (corresponding author), Univ Liverpool, Sch Environm Sci, 4 Brownlow St, Liverpool L69 3GP, Merseyside, England.</t>
  </si>
  <si>
    <t>j.lauderdale@liverpool.ac.uk</t>
  </si>
  <si>
    <t>Garabato, Alberto Naveira/AAQ-1114-2020; Lauderdale, Jonathan Maitland/AAU-5792-2020</t>
  </si>
  <si>
    <t>Garabato, Alberto Naveira/0000-0001-6071-605X; Lauderdale, Jonathan Maitland/0000-0002-2993-7484</t>
  </si>
  <si>
    <t>UK NERC PhD Studentship [NER/S/A/2006/14210]; UK NERC [NE/G018782/1]; NERC [NE/G018782/1, NE/E007058/1] Funding Source: UKRI; Natural Environment Research Council [NE/C517633/1, NE/E007058/1, NE/G018782/1] Funding Source: researchfish</t>
  </si>
  <si>
    <t>UK NERC PhD Studentship; UK NERC(UK Research &amp; Innovation (UKRI)Natural Environment Research Council (NERC)); NERC(UK Research &amp; Innovation (UKRI)Natural Environment Research Council (NERC)); Natural Environment Research Council(UK Research &amp; Innovation (UKRI)Natural Environment Research Council (NERC))</t>
  </si>
  <si>
    <t>Thanks to Anand Gnanadesikan, Andy Hogg, J. R. Toggweiler and Ric Williams for insightful comments that have greatly improved this work. JML was supported by a UK NERC PhD Studentship (NER/S/A/2006/14210) and UK NERC grant NE/G018782/1.</t>
  </si>
  <si>
    <t>SEP 14</t>
  </si>
  <si>
    <t>C09017</t>
  </si>
  <si>
    <t>10.1029/2012JC008135</t>
  </si>
  <si>
    <t>007ND</t>
  </si>
  <si>
    <t>WOS:000308894100003</t>
  </si>
  <si>
    <t>Corbett, RW; Middleton, B; Arendt, J</t>
  </si>
  <si>
    <t>Corbett, R. W.; Middleton, B.; Arendt, J.</t>
  </si>
  <si>
    <t>An hour of bright white light in the early morning improves performance and advances sleep and circadian phase during the Antarctic winter</t>
  </si>
  <si>
    <t>NEUROSCIENCE LETTERS</t>
  </si>
  <si>
    <t>Light; Circadian rhythm; Human; Sleep; Melatonin</t>
  </si>
  <si>
    <t>COGNITIVE PERFORMANCE; MELATONIN RHYTHM; PERIOD; SYSTEM; TIME; ENTRAINMENT; PACEMAKER; RESPONSES; HUMANS; NIGHT</t>
  </si>
  <si>
    <t>Previous work has demonstrated that exposure to an hour of bright light in the morning and the evening during the Polar winter has beneficial effects on circadian phase. This study investigated the effect of a single hour of bright white morning light on circadian phase, sleep, alertness and cognitive performance. Nine individuals (eight male, one female, median age 30 years), wintering at Halley Research Station (75 degrees S), Antarctica from 7th May until 6th August 2007, were exposed to bright white light for a fortnight from 08:30 to 09:30 h, with two fortnight control periods on either side. This sequence was performed twice, before and following Midwinter. Light exposure, sleep and alertness were assessed daily by actigraphy, sleep diaries and subjective visual analogue scales. Circadian phase (assessed by urinary 6-sulphatoxymelatonin rhythm) and cognitive performance were evaluated at the end of each fortnight. During light exposure circadian phase was advanced from 4.97 +/- 0.96 decimal hours (dh) (mean +/- SD) to 4.08 +/- 0.68 dh (p = 0.003). Wake-up time was shifted by a similar margin from 8.45 +/- 1.83 dh to 7.59 +/- 0.78 dh (p &lt; 0.001). Sleep start time was also advanced (p = 0.047) but by a lesser amount, consequently, actual sleep time was slightly reduced. There was no change in objective or subjective measures of sleep quality or subjective measures of alertness. An improvement in cognitive performance was found with both the Single Letter Cancellation Test (p &lt; 0.001) and the Digit Symbol Substitution Test (p 0.026) with preserved circadian variation. These beneficial effects of a single short duration light treatment may have implications not only for the Antarctic but other remote environments where access to natural light and delayed circadian phase, is problematic. These results require validation in larger studies at varying locations. (C) 2012 Elsevier Ireland Ltd. All rights reserved.</t>
  </si>
  <si>
    <t>[Corbett, R. W.] Derriford Hosp, British Antarctic Survey, Med Unit, Plymouth PL6 8DH, Devon, England; [Middleton, B.; Arendt, J.] Univ Surrey, Fac Hlth &amp; Med Sci, Ctr Chronobiol, Guildford GU2 5XH, Surrey, England</t>
  </si>
  <si>
    <t>UK Research &amp; Innovation (UKRI); Natural Environment Research Council (NERC); NERC British Antarctic Survey; Derriford Hospital; University of Surrey</t>
  </si>
  <si>
    <t>Corbett, RW (corresponding author), Derriford Hosp, British Antarctic Survey, Med Unit, Plymouth PL6 8DH, Devon, England.</t>
  </si>
  <si>
    <t>rwcorbett@doctors.org.uk</t>
  </si>
  <si>
    <t>Corbett, Richard/W-1784-2019; Corbett, Richard/H-5577-2013</t>
  </si>
  <si>
    <t>Corbett, Richard/0000-0002-4607-8554; Corbett, Richard/0000-0002-4607-8554</t>
  </si>
  <si>
    <t>British Antarctic Survey via the British Antarctic Survey Medical Unit; Stockgrand Ltd., University of Surrey; NERC [bas010011] Funding Source: UKRI; National Institute for Health Research [ACF-2010-21-043] Funding Source: researchfish; Natural Environment Research Council [bas010011] Funding Source: researchfish</t>
  </si>
  <si>
    <t>British Antarctic Survey via the British Antarctic Survey Medical Unit; Stockgrand Ltd., University of Surrey; NERC(UK Research &amp; Innovation (UKRI)Natural Environment Research Council (NERC)); National Institute for Health Research(National Institutes of Health Research (NIHR)); Natural Environment Research Council(UK Research &amp; Innovation (UKRI)Natural Environment Research Council (NERC))</t>
  </si>
  <si>
    <t>The study was supported by the British Antarctic Survey via the British Antarctic Survey Medical Unit and Stockgrand Ltd., University of Surrey. Phillips Lighting B.V., Eindhoven, The Netherlands, kindly supplied the lighting equipment.</t>
  </si>
  <si>
    <t>ELSEVIER IRELAND LTD</t>
  </si>
  <si>
    <t>CLARE</t>
  </si>
  <si>
    <t>ELSEVIER HOUSE, BROOKVALE PLAZA, EAST PARK SHANNON, CO, CLARE, 00000, IRELAND</t>
  </si>
  <si>
    <t>0304-3940</t>
  </si>
  <si>
    <t>1872-7972</t>
  </si>
  <si>
    <t>NEUROSCI LETT</t>
  </si>
  <si>
    <t>Neurosci. Lett.</t>
  </si>
  <si>
    <t>SEP 13</t>
  </si>
  <si>
    <t>10.1016/j.neulet.2012.06.046</t>
  </si>
  <si>
    <t>Neurosciences</t>
  </si>
  <si>
    <t>Neurosciences &amp; Neurology</t>
  </si>
  <si>
    <t>009HA</t>
  </si>
  <si>
    <t>WOS:000309015600012</t>
  </si>
  <si>
    <t>Bromley, GRM; Hall, BL; Stone, JO; Conway, H</t>
  </si>
  <si>
    <t>Bromley, Gordon R. M.; Hall, Brenda L.; Stone, John O.; Conway, Howard</t>
  </si>
  <si>
    <t>Late Pleistocene evolution of Scott Glacier, southern Transantarctic Mountains: implications for the Antarctic contribution to deglacial sea level</t>
  </si>
  <si>
    <t>West Antarctic Ice Sheet; Glacial geology; Palaeoclimate; Meltwater pulse 1A</t>
  </si>
  <si>
    <t>GROUNDED ICE-SHEET; SUBSEQUENT RETREAT HISTORY; MELTWATER PULSE 1A; WESTERN ROSS-SEA; WEDDELL SEA; HOLOCENE DEGLACIATION; SURFACE FLUCTUATIONS; DRAINAGE SYSTEM; EXPOSURE AGES; TAYLOR VALLEY</t>
  </si>
  <si>
    <t>Glacial deposits preserved adjacent to Scott Glacier, southern Transantarctic Mountains, provide a record of past fluctuations in the thickness of the West Antarctic Ice Sheet. Geologic mapping of these deposits, in conjunction with emerging Be-10 surface-exposure data, indicate that the most recent expansion of Scott Glacier occurred during the last glacial maximum in response to grounding of ice in the Ross Sea Embayment. At that time, the ice surface at the confluence of Scott Glacier and the West Antarctic Ice Sheet lay at 1100 m elevation. While this ice-surface reconstruction is in accord with other geologic estimates from throughout the Ross Sea Embayment, it contrasts with most computer-based simulations, which tend to overestimate former ice thickness in the southern Ross Sea. Together with recently modelled estimates of Antarctica's contribution to sea level, this finding calls into question an Antarctic source for meltwater pulse 1A. (C) 2012 Elsevier Ltd. All rights reserved.</t>
  </si>
  <si>
    <t>[Bromley, Gordon R. M.; Hall, Brenda L.] Univ Maine, Bryand Global Sci Ctr, Dept Earth Sci, Orono, ME 04469 USA; [Bromley, Gordon R. M.; Hall, Brenda L.] Univ Maine, Bryand Global Sci Ctr, Climate Change Inst, Orono, ME 04469 USA; [Stone, John O.; Conway, Howard] Univ Washington, Dept Earth &amp; Space Sci, Seattle, WA 98195 USA</t>
  </si>
  <si>
    <t>University of Maine System; University of Maine Orono; University of Maine System; University of Maine Orono; University of Washington; University of Washington Seattle</t>
  </si>
  <si>
    <t>Bromley, GRM (corresponding author), Lamont Doherty Earth Inst, 61 Route 9W, Palisades, NY 10964 USA.</t>
  </si>
  <si>
    <t>gbromley@ldeo.columbia.edu</t>
  </si>
  <si>
    <t>Conway, Howard/0000-0003-4634-3474</t>
  </si>
  <si>
    <t>Office of Polar Programs of the National Science Foundation [ANT-0636687]</t>
  </si>
  <si>
    <t>This project was supported by the Office of Polar Programs of the National Science Foundation (Grant number ANT-0636687). We are grateful for the excellent logistical support provided by Ken Borek Air, the Air National Guard, and Raytheon Polar Services. Also, we are indebted to Maurice Conway, Seth Cowdery, and Nathan Mietkiewicz for invaluable assistance in the field, to Terry Hughes for technical discussions, and to two anonymous reviews for providing thoughtful, in-depth, and constructive comments.</t>
  </si>
  <si>
    <t>SEP 12</t>
  </si>
  <si>
    <t>10.1016/j.quascirev.2012.06.010</t>
  </si>
  <si>
    <t>015GI</t>
  </si>
  <si>
    <t>WOS:000309434000001</t>
  </si>
  <si>
    <t>Burke, MJ; Brennand, TA; Perkins, AJ</t>
  </si>
  <si>
    <t>Burke, Matthew J.; Brennand, Tracy A.; Perkins, Andrew J.</t>
  </si>
  <si>
    <t>Evolution of the subglacial hydrologic system beneath the rapidly decaying Cordilleran Ice Sheet caused by ice-dammed lake drainage: implications for meltwater-induced ice acceleration</t>
  </si>
  <si>
    <t>Ice sheet hydrology; Glacier dynamics; Cordilleran Ice Sheet; Tunnel channel; Esker; Ground-penetrating radar; Electrical resistivity tomography</t>
  </si>
  <si>
    <t>GROUND-PENETRATING-RADAR; CENTRAL BRITISH-COLUMBIA; SOUTH-CENTRAL ONTARIO; FRASER-RIVER VALLEY; OAK RIDGES MORAINE; SEDIMENTARY ARCHITECTURE; SEASONAL EVOLUTION; WEST ANTARCTICA; TUNNEL CHANNELS; PUGET LOWLAND</t>
  </si>
  <si>
    <t>A positive correlation between ice-dammed lake drainage and ice acceleration at Antarctic Ice Sheets (AIS) and land-terminating sections of the Greenland Ice Sheet (GrIS) has been implicated in enhanced ice sheet decay. However, the paucity of direct measurements at the ice sheet bed restricts our understanding of subglacial drainage system evolution in response to transient water inputs. We present evidence that two meltwater corridors on the former bed of the thin (similar to 600 m at Last Glacial Maximum over the interior Plateaus of British Columbia) and rapidly decaying Cordilleran Ice Sheet (CIS) were generated subglacially in response to the drainage of an ice-dammed lake and operated as canals (tunnel channels). Geomorphological, ground-penetrating radar (GPR) and electrical resistivity tomography (ERT) data reveal a simple event sequence that includes initial propagation of a broad (at least 2.5 km wide) fioodwave (inefficient drainage) from an ice-dammed lake, over relatively short (3-24 km) zones at the corridor heads that collapsed into efficient canals (large (up to 0.25-2.5 km wide) channels incised down into the sediment bed and up into the ice) downglacier. Canal formation on the southern Fraser Plateau involved synchronous (along the full canal length) system development, including elements of headward erosion and plunge pool formation. Our data suggest that ice-dammed lake drainage beneath a rapidly decaying thin ice mass that has an efficient antecedent drainage network is not conducive to large-scale ice acceleration. These data may aid better assessment of the role of ice-dammed lake drainage on the dynamics of former, as well as contemporary, ice sheets. (C) 2012 Elsevier Ltd. All rights reserved.</t>
  </si>
  <si>
    <t>[Burke, Matthew J.; Brennand, Tracy A.; Perkins, Andrew J.] Simon Fraser Univ, Dept Geog, Burnaby, BC V5A 1S6, Canada</t>
  </si>
  <si>
    <t>Simon Fraser University</t>
  </si>
  <si>
    <t>Burke, MJ (corresponding author), Simon Fraser Univ, Dept Geog, Burnaby, BC V5A 1S6, Canada.</t>
  </si>
  <si>
    <t>mjburke@sfu.ca</t>
  </si>
  <si>
    <t>Leverhulme Trust; NSERC; GSA</t>
  </si>
  <si>
    <t>Leverhulme Trust(Leverhulme Trust); NSERC(Natural Sciences and Engineering Research Council of Canada (NSERC)); GSA</t>
  </si>
  <si>
    <t>This work was supported by a scholarship to MJB from The Leverhulme Trust, NSERC Discovery and equipment grants to TAB, and a GSA Student Research Grant to AJP. We are grateful to John Woodward and Northumbria University for loan of the GPR, and thank Jared Peters for assistance in the field. We also thank Gwenn Flowers for discussion concerning subglacial lake modelling, as well as Jutta Winsemann and an anonymous reviewer for detailed comments that have significantly improved the manuscript.</t>
  </si>
  <si>
    <t>10.1016/j.quascirev.2012.07.005</t>
  </si>
  <si>
    <t>WOS:000309434000009</t>
  </si>
  <si>
    <t>Nield, GA; Whitehouse, PL; King, MA; Clarke, PJ; Bentley, MJ</t>
  </si>
  <si>
    <t>Nield, Grace A.; Whitehouse, Pippa L.; King, Matt A.; Clarke, Peter J.; Bentley, Michael J.</t>
  </si>
  <si>
    <t>Increased ice loading in the Antarctic Peninsula since the 1850s and its effect on glacial isostatic adjustment</t>
  </si>
  <si>
    <t>POSTGLACIAL SEA-LEVEL; VARIABILITY; FIELD</t>
  </si>
  <si>
    <t>Antarctic Peninsula (AP) ice core records indicate significant accumulation increase since 1855, and any resultant ice mass increase has the potential to contribute substantially to present-day glacial isostatic adjustment (GIA). We derive empirical orthogonal functions from climate model output to infer typical spatial patterns of accumulation over the AP and, by combining with ice core records, estimate annual accumulation for the period 1855-2010. In response to this accumulation history, high resolution ice-sheet modeling predicts ice thickness increases of up to 45 m, with the greatest thickening in the northern and western AP. Whilst this thickening is predicted to affect GRACE estimates by no more than 6.2 Gt/yr, it may contribute up to -7 mm/yr to the present-day GIA uplift rate, depending on the chosen Earth model, with a strong east-west gradient across the AP. Its consideration is therefore critical to the interpretation of observed GPS velocities in the AP. Citation: Nield, G. A., P. L. Whitehouse, M. A. King, P. J. Clarke, and M. J. Bentley (2012), Increased ice loading in the Antarctic Peninsula since the 1850s and its effect on glacial isostatic adjustment, Geophys. Res. Lett., 39, L17504, doi: 10.1029/2012GL052559.</t>
  </si>
  <si>
    <t>[Nield, Grace A.; King, Matt A.; Clarke, Peter J.] Newcastle Univ, Sch Civil Engn &amp; Geosci, Newcastle Upon Tyne NE1 7RU, Tyne &amp; Wear, England; [Whitehouse, Pippa L.; Bentley, Michael J.] Univ Durham, Dept Geog, Durham, England</t>
  </si>
  <si>
    <t>Newcastle University - UK; Durham University</t>
  </si>
  <si>
    <t>Nield, GA (corresponding author), Newcastle Univ, Sch Civil Engn &amp; Geosci, Newcastle Upon Tyne NE1 7RU, Tyne &amp; Wear, England.</t>
  </si>
  <si>
    <t>g.a.nield@newcastle.ac.uk</t>
  </si>
  <si>
    <t>King, Matt/B-4622-2008; Clarke, Peter John/B-1783-2008; Bentley, Michael J/F-7386-2011; Nield, Grace/I-8366-2012</t>
  </si>
  <si>
    <t>King, Matt/0000-0001-5611-9498; Clarke, Peter John/0000-0003-1276-8300; Bentley, Michael J/0000-0002-2048-0019; Whitehouse, Pippa/0000-0002-9092-3444; Nield, Grace/0000-0002-3897-7904</t>
  </si>
  <si>
    <t>COST Action Improved constraints on models of glacial isostatic adjustment. [ES0701]; NERC PhD studentship; RCUK Academic Fellowship; Natural Environment Research Council [NE/F01452X/1, NE/I027681/1, 1105036] Funding Source: researchfish; NERC [NE/I027681/1, NE/F01452X/1] Funding Source: UKRI</t>
  </si>
  <si>
    <t>COST Action Improved constraints on models of glacial isostatic adjustment.; NERC PhD studentship(UK Research &amp; Innovation (UKRI)Natural Environment Research Council (NERC)); RCUK Academic Fellowship(UK Research &amp; Innovation (UKRI)); Natural Environment Research Council(UK Research &amp; Innovation (UKRI)Natural Environment Research Council (NERC)); NERC(UK Research &amp; Innovation (UKRI)Natural Environment Research Council (NERC))</t>
  </si>
  <si>
    <t>Part of this work was supported by COST Action ES0701 Improved constraints on models of glacial isostatic adjustment. We thank Glenn Milne for providing the GIA model, Mark Tamisiea for supplying Earth model input, Michiel van den Broeke and Jan Lenaerts for providing SMB output from RACMO2.1/ANT, and Elizabeth Thomas for making ice core data available to us. We also thank Riccardo Riva and Anne Le Brocq for their valuable advice, and three anonymous reviewers for their helpful comments. G.A.N. is supported by a NERC PhD studentship. M.A.K. is supported by an RCUK Academic Fellowship.</t>
  </si>
  <si>
    <t>L17504</t>
  </si>
  <si>
    <t>10.1029/2012GL052559</t>
  </si>
  <si>
    <t>007LV</t>
  </si>
  <si>
    <t>Bronze, Green Submitted, Green Published</t>
  </si>
  <si>
    <t>WOS:000308890700001</t>
  </si>
  <si>
    <t>Kaschner, K; Quick, NJ; Jewell, R; Williams, R; Harris, CM</t>
  </si>
  <si>
    <t>Kaschner, Kristin; Quick, Nicola J.; Jewell, Rebecca; Williams, Rob; Harris, Catriona M.</t>
  </si>
  <si>
    <t>Global Coverage of Cetacean Line-Transect Surveys: Status Quo, Data Gaps and Future Challenges</t>
  </si>
  <si>
    <t>EASTERN TROPICAL PACIFIC; POPULATION-DENSITY; HARBOR PORPOISE; WHALE ABUNDANCE; MARINE MAMMALS; DOLPHINS; TRENDS; WATERS; RECAPTURE; DIVERSITY</t>
  </si>
  <si>
    <t>Knowledge of abundance, trends and distribution of cetacean populations is needed to inform marine conservation efforts, ecosystem models and spatial planning. We compiled a geo-spatial database of published data on cetacean abundance from dedicated visual line-transect surveys and encoded &gt;1100 abundance estimates for 47 species from 430 surveys conducted worldwide from 1975-2005. Our subsequent analyses revealed large spatial, temporal and taxonomic variability and gaps in survey coverage. With the exception of Antarctic waters, survey coverage was biased toward the northern hemisphere, especially US and northern European waters. Overall, &lt;25% of the world's ocean surface was surveyed and only 6% had been covered frequently enough (&gt;= 5 times) to allow trend estimation. Almost half the global survey effort, defined as total area (km(2)) covered by all survey study areas across time, was concentrated in the Eastern Tropical Pacific (ETP). Neither the number of surveys conducted nor the survey effort had increased in recent years. Across species, an average of 10% of a species' predicted range had been covered by at least one survey, but there was considerable variation among species. With the exception of three delphinid species, &lt;1% of all species' ranges had been covered frequently enough for trend analysis. Sperm whales emerged from our analyses as a relatively data-rich species. This is a notoriously difficult species to survey visually, and we use this as an example to illustrate the challenges of using available data from line-transect surveys for the detection of trends or for spatial planning. We propose field and analytical methods to fill in data gaps to improve cetacean conservation efforts.</t>
  </si>
  <si>
    <t>[Kaschner, Kristin] Univ Freiburg, Inst Biol Zool 1, Evolutionary Biol &amp; Ecol Lab, Freiburg, Germany; [Quick, Nicola J.; Jewell, Rebecca] SMRU Ltd, New Technol Ctr, St Andrews, Fife, Scotland; [Williams, Rob; Harris, Catriona M.] Univ St Andrews, Sea Mammal Res Unit, Scottish Oceans Inst, St Andrews, Fife, Scotland; [Quick, Nicola J.; Jewell, Rebecca; Harris, Catriona M.] Univ St Andrews, Ctr Res Ecol &amp; Environm Modelling, St Andrews, Fife, Scotland</t>
  </si>
  <si>
    <t>University of Freiburg; University of St Andrews; University of St Andrews</t>
  </si>
  <si>
    <t>Kaschner, K (corresponding author), Univ Freiburg, Inst Biol Zool 1, Evolutionary Biol &amp; Ecol Lab, Albertstr 21A, Freiburg, Germany.</t>
  </si>
  <si>
    <t>Kristin.kaschner@biologie.uni-freiburg.de</t>
  </si>
  <si>
    <t>Quick, Nicola J/D-8827-2011; Kaschner, Kristin/GQQ-6475-2022; Williams, Rob/C-5882-2011</t>
  </si>
  <si>
    <t>Kaschner, Kristin/0000-0002-4061-626X; Harris, Catriona/0000-0001-9198-2414; Williams, Rob/0000-0001-7496-453X; Quick, Nicola/0000-0003-3840-6711</t>
  </si>
  <si>
    <t>Pew Charitable Trusts of Philadelphia through the Sea Around Us Project; United Kingdom Hydrographic Office; E&amp;P Sound and Marine Life Programme [JIP22 06-10]; German Research Foundation (DFG); Albert-Ludwigs-University of Freiburg</t>
  </si>
  <si>
    <t>Pew Charitable Trusts of Philadelphia through the Sea Around Us Project; United Kingdom Hydrographic Office; E&amp;P Sound and Marine Life Programme; German Research Foundation (DFG)(German Research Foundation (DFG)); Albert-Ludwigs-University of Freiburg</t>
  </si>
  <si>
    <t>Financial support for data collection was provided by Pew Charitable Trusts of Philadelphia through the Sea Around Us Project, the United Kingdom Hydrographic Office, and the E&amp;P Sound and Marine Life Programme under contract reference JIP22 06-10. The article processing charge was funded by the German Research Foundation (DFG) and the Albert-Ludwigs-University of Freiburg in the funding programme Open Access Publishing. The funders had no role in study design, data collection and analysis, decision to publish, or preparation of the manuscript.</t>
  </si>
  <si>
    <t>e44075</t>
  </si>
  <si>
    <t>10.1371/journal.pone.0044075</t>
  </si>
  <si>
    <t>005GJ</t>
  </si>
  <si>
    <t>WOS:000308738500028</t>
  </si>
  <si>
    <t>Giddy, IS; Swart, S; Tagliabue, A</t>
  </si>
  <si>
    <t>Giddy, Isabelle S.; Swart, Sebastiaan; Tagliabue, Alessandro</t>
  </si>
  <si>
    <t>Drivers of non-Redfield nutrient utilization in the Atlantic sector of the Southern Ocean</t>
  </si>
  <si>
    <t>PHYTOPLANKTON; STOICHIOMETRY; GROWTH; RATIOS; SIZE</t>
  </si>
  <si>
    <t>The canonical C/N/P ratio of 106/16/1 in phytoplankton has been instrumental in our understanding of ocean biogeochemical cycles and the development of numerical models as it couples the cycling of C to nutrients. However, this ratio can show marked variability and the processes driving these trends are still uncertain. There are, in particular, two main hypotheses to explain N/P ratios that deviate from 16/1. Firstly, it is postulated that species have specific, yet distinct, ratios that are averaged out over large spatial and temporal scales. Alternatively, varying optimal growth strategies resulting from physiological adaptation to environmental conditions could drive N/P variability, which simply averages out as 16/1 under current environmental conditions. To address these hypotheses, we examine seasonal changes in the NO3- to PO43- ratio (via the geochemical tracer N*) on a section between Cape Town and Antarctica, where macronutrients are not fully depleted. Overall, we find roles for both species composition and physiology in driving the seasonal changes in N* depending on the location. Both mechanisms could act in concert and physiology was generally more important in regions undergoing large changes in phytoplankton biomass. Better understanding the driving mechanisms behind changes in the Southern Ocean N/P ratio is important as its signal is exported to low latitudes, having major impacts on global biogeochemical cycles. Citation: Giddy, I. S., S. Swart, and A. Tagliabue (2012), Drivers of non-Redfield nutrient utilization in the Atlantic sector of the Southern Ocean, Geophys. Res. Lett., 39, L17604, doi:10.1029/2012GL052454.</t>
  </si>
  <si>
    <t>[Giddy, Isabelle S.; Swart, Sebastiaan; Tagliabue, Alessandro] Univ Cape Town, Dept Oceanog, ZA-7701 Rondebosch, South Africa; [Swart, Sebastiaan; Tagliabue, Alessandro] CSIR NRE, So Ocean Carbon &amp; Climate Observ, Stellenbosch, South Africa</t>
  </si>
  <si>
    <t>University of Cape Town</t>
  </si>
  <si>
    <t>Tagliabue, A (corresponding author), Univ Cape Town, Dept Oceanog, ZA-7701 Rondebosch, South Africa.</t>
  </si>
  <si>
    <t>atagliab@gmail.com</t>
  </si>
  <si>
    <t>; Swart, Sebastiaan/U-5498-2017</t>
  </si>
  <si>
    <t>Tagliabue, Alessandro/0000-0002-3572-3634; Giddy, Isabelle/0000-0002-8926-3311; Swart, Sebastiaan/0000-0002-2251-8826</t>
  </si>
  <si>
    <t>Southern Ocean Carbon and Climate Observatory (SOCCO); NRF bursary; ACCESS; NRF</t>
  </si>
  <si>
    <t>This work was supported through the Southern Ocean Carbon and Climate Observatory (SOCCO). I. Giddy was supported by an NRF bursary, while S. Swart and A. Tagliabue were supported by ACCESS and NRF grants. We thank the South African National Antarctic Program (SANAP) for their continued support in the undertaking of the research voyages, Howard Waldron and Craig Attwood for the nutrient analysis and Sandy Thomalla for comments on the manuscript, as well as two anonymous reviewers for their insightful remarks. Ocean colour data was supplied by the GlobColour Project.</t>
  </si>
  <si>
    <t>SEP 8</t>
  </si>
  <si>
    <t>L17604</t>
  </si>
  <si>
    <t>10.1029/2012GL052454</t>
  </si>
  <si>
    <t>003CS</t>
  </si>
  <si>
    <t>WOS:000308586400001</t>
  </si>
  <si>
    <t>Jensen, SK; Nymo, IH; Forcada, J; Godfroid, J; Hall, A</t>
  </si>
  <si>
    <t>Jensen, S-K.; Nymo, I. H.; Forcada, J.; Godfroid, J.; Hall, A.</t>
  </si>
  <si>
    <t>Prevalence of Toxoplasma gondii antibodies in pinnipeds from Antarctica</t>
  </si>
  <si>
    <t>VETERINARY RECORD</t>
  </si>
  <si>
    <t>DOLPHINS TURSIOPS-TRUNCATUS; INFECTION; OOCYSTS</t>
  </si>
  <si>
    <t>[Jensen, S-K.; Hall, A.] Univ St Andrews, Scottish Oceans Inst, Sea Mammal Res Unit, St Andrews KY16 8LB, Fife, Scotland; [Nymo, I. H.; Godfroid, J.] Norwegian Sch Vet Sci, Sect Arctic Vet Med, N-9010 Tromso, Norway; [Forcada, J.] British Antarctic Survey, Cambridge CB3 0ET, England</t>
  </si>
  <si>
    <t>University of St Andrews; Norwegian University of Life Sciences; UK Research &amp; Innovation (UKRI); Natural Environment Research Council (NERC); NERC British Antarctic Survey</t>
  </si>
  <si>
    <t>Jensen, SK (corresponding author), Univ St Andrews, Scottish Oceans Inst, Sea Mammal Res Unit, St Andrews KY16 8LB, Fife, Scotland.</t>
  </si>
  <si>
    <t>skj3@st-andrews.ac.uk</t>
  </si>
  <si>
    <t>Godfroid, Jacques/HCI-7835-2022; Hall, Ailsa J/E-1596-2011; Forcada, Jaume/GYU-0677-2022; godfroid, jacques/U-3524-2017</t>
  </si>
  <si>
    <t>Nymo, Ingebjorg Helena/0000-0002-4844-8344; Hall, Ailsa/0000-0002-7562-1771; godfroid, jacques/0000-0002-0782-7858</t>
  </si>
  <si>
    <t>Natural Environment Research Council [smru10001] Funding Source: researchfish</t>
  </si>
  <si>
    <t>Natural Environment Research Council(UK Research &amp; Innovation (UKRI)Natural Environment Research Council (NERC))</t>
  </si>
  <si>
    <t>BRITISH VETERINARY ASSOC</t>
  </si>
  <si>
    <t>7 MANSFIELD ST, LONDON W1M 0AT, ENGLAND</t>
  </si>
  <si>
    <t>0042-4900</t>
  </si>
  <si>
    <t>VET REC</t>
  </si>
  <si>
    <t>Vet. Rec.</t>
  </si>
  <si>
    <t>10.1136/vr.100848</t>
  </si>
  <si>
    <t>002KO</t>
  </si>
  <si>
    <t>WOS:000308531100016</t>
  </si>
  <si>
    <t>Gebbie, G</t>
  </si>
  <si>
    <t>Gebbie, Geoffrey</t>
  </si>
  <si>
    <t>Tracer transport timescales and the observed Atlantic-Pacific lag in the timing of the Last Termination</t>
  </si>
  <si>
    <t>NORTHEAST ATLANTIC; OCEANIC TRACER; TIME SCALES; AGE; WATER; CIRCULATION; RECORD; DISTRIBUTIONS; TEMPERATURE; CALIBRATION</t>
  </si>
  <si>
    <t>The midpoint of the Last Termination occurred 4,000 years earlier in the deep Atlantic than the deep Pacific according to a pair of benthic foraminiferal delta O-18 records, seemingly implying an internal circulation shift because the lag is much longer than the deep radiocarbon age. Here a scenario where the lag is instead caused by regional surface boundary condition changes, delays due to oceanic transit timescales, and the interplay between temperature and seawater delta O-18 (delta O-18(w)) is quantified with a tracer transport model of the modern-day ocean circulation. Using an inverse method with individual Green functions for 2,806 surface sources, a time history of surface temperature and delta O-18(w) is reconstructed for the last 30,000 years that is consistent with the foraminiferal oxygen-isotope data, Mg/Ca-derived deep temperature, and glacial pore water records. Thus, in the case that the ocean circulation was relatively unchanged between glacial and modern times, the interbasin lag could be explained by the relatively late local glacial maximum around Antarctica where surface delta O-18(w) continues to rise even after the North Atlantic delta O-18(w) falls. The arrival of the signal of the Termination is delayed at the Pacific core site due to the destructive interference of the still-rising Antarctic signal and the falling North Atlantic signal. This scenario is only possible because the ocean is not a single conveyor belt where all waters at the Pacific core site previously passed the Atlantic core site, but instead the Pacific core site is bathed more prominently by waters with a direct Antarctic source.</t>
  </si>
  <si>
    <t>Woods Hole Oceanog Inst, Dept Phys Oceanog, Woods Hole, MA 02543 USA</t>
  </si>
  <si>
    <t>Woods Hole Oceanographic Institution</t>
  </si>
  <si>
    <t>Gebbie, G (corresponding author), Woods Hole Oceanog Inst, Dept Phys Oceanog, MS 29, Woods Hole, MA 02543 USA.</t>
  </si>
  <si>
    <t>ggebbie@whoi.edu</t>
  </si>
  <si>
    <t>NSF [OIA-1124880]; WHOI Arctic Research Initiative; Office of Integrative Activities; Office Of The Director [1125181, 1124880] Funding Source: National Science Foundation; Office Of The Director; Office of Integrative Activities [1125422] Funding Source: National Science Foundation</t>
  </si>
  <si>
    <t>NSF(National Science Foundation (NSF)); WHOI Arctic Research Initiative; Office of Integrative Activities; Office Of The Director(National Science Foundation (NSF)NSF - Office of the Director (OD)NSF - Office of Integrative Activities (OIA)); Office Of The Director; Office of Integrative Activities(National Science Foundation (NSF)NSF - Office of the Director (OD)NSF - Office of Integrative Activities (OIA))</t>
  </si>
  <si>
    <t>We thank Francois Primeau, Luke Skinner, an anonymous associate editor, and the Editor, Chris Charles, for thorough and constructive reviews. We also thank Dan Amrhein and Kuo-Fang (Denner) Huang for helpful calculations, Ken Decoteau for technical assistance, and Holly Dail, Peter Huybers, Olivier Marchal, and Carl Wunsch for comments. G.G. is supported by NSF grant OIA-1124880 and the WHOI Arctic Research Initiative.</t>
  </si>
  <si>
    <t>SEP 6</t>
  </si>
  <si>
    <t>PA3225</t>
  </si>
  <si>
    <t>10.1029/2011PA002273</t>
  </si>
  <si>
    <t>030AV</t>
  </si>
  <si>
    <t>WOS:000310540900001</t>
  </si>
  <si>
    <t>Fiori, RAD; Boteler, DH; Koustov, AV</t>
  </si>
  <si>
    <t>Fiori, R. A. D.; Boteler, D. H.; Koustov, A. V.</t>
  </si>
  <si>
    <t>Response of ionospheric convection to sharp southward IMF turnings inferred from magnetometer and radar data</t>
  </si>
  <si>
    <t>INTERPLANETARY MAGNETIC-FIELD; HIGH-LATITUDE IONOSPHERE; TIME; COMPONENT; MODEL; RECONFIGURATION; MAGNETOSPHERE; PROPAGATION; SUPERDARN; PATTERN</t>
  </si>
  <si>
    <t>Reconfiguration of the convection pattern associated with a sudden transition in the north/south component of the IMF from stable positive to stable negative values is investigated for two events using both magnetometer and SuperDARN data. The IMF transition impinges upon the magnetosphere near the 10 MLT sector; perturbations are clearly seen on the dayside at the time of onset and on the nightside with a similar to 10 min delay from onset. This implies a dayside-to-nightside progression of the ionospheric response observed in the magnetic perturbations and SuperDARN velocities, contrary to the globally simultaneous response reported in the literature for a number of other events. The foci of the dawnside convection cells are shown to shift from near midnight toward the dayside, reaching a final location between 06 MLT and 08 MLT within 14-18 min of onset. The location of the duskside convection cell remains in the early afternoon sector both prior to and after the transition for both events. Once the convection foci reach a final location, the overall convection pattern enhances.</t>
  </si>
  <si>
    <t>[Fiori, R. A. D.; Boteler, D. H.] Nat Resources Canada, Geomagnet Observ, Ottawa, ON K1A 0E7, Canada; [Fiori, R. A. D.; Koustov, A. V.] Univ Saskatchewan, Inst Space &amp; Atmospher Studies, Saskatoon, SK S7N 0W0, Canada</t>
  </si>
  <si>
    <t>Natural Resources Canada; University of Saskatchewan</t>
  </si>
  <si>
    <t>Fiori, RAD (corresponding author), Nat Resources Canada, Geomagnet Observ, 2617 Anderson Rd, Ottawa, ON K1A 0E7, Canada.</t>
  </si>
  <si>
    <t>rfiori@NRCan.gc.ca</t>
  </si>
  <si>
    <t>Fiori, Robyn/0000-0002-7313-8890</t>
  </si>
  <si>
    <t>Natural Resources Canada; Earth Sciences Sector; Public Safety Geosciences program; Canadian Space Agency; NSERC grant; funding agency of Canada; funding agency of France; funding agency of Japan; funding agency of U.K.; funding agency of U.S.; STFC [PP/E007929/1] Funding Source: UKRI; Science and Technology Facilities Council [PP/E007929/1] Funding Source: researchfish</t>
  </si>
  <si>
    <t>Natural Resources Canada(Natural Resources CanadaCanadian Forest Service); Earth Sciences Sector; Public Safety Geosciences program; Canadian Space Agency(Canadian Space Agency); NSERC grant(Natural Sciences and Engineering Research Council of Canada (NSERC)); funding agency of Canada; funding agency of France; funding agency of Japan; funding agency of U.K.; funding agency of U.S.; STFC(UK Research &amp; Innovation (UKRI)Science &amp; Technology Facilities Council (STFC)); Science and Technology Facilities Council(UK Research &amp; Innovation (UKRI)Science &amp; Technology Facilities Council (STFC))</t>
  </si>
  <si>
    <t>This work was supported by the Natural Resources Canada, Earth Sciences Sector, Public Safety Geosciences program and the Canadian Space Agency. This work was also supported by an NSERC grant to A. V. K. Operation of the northern hemisphere Super-DARN radars considered in this study is supported by funding agencies of Canada, France, Japan, the U.K., and the U.S. We thank the ACE/SIS instrument team, the ACE Science Center, and the CDAWeb team at GSFC/SPDF for providing ACE data. For the ground magnetometer data we gratefully acknowledge: INTERMAGNET, USGS, Danish Meteorological Institute, CARISMA, CANMOS, the S-RAMP Database, the SPIDR database, MACCS, GIMA, MEASURE, SAMBA, 210 Chain, SAMNET, the institutes that maintain the IMAGE magnetometer array, PENGUIN, AUTUMN, Greenland magnetometers operated by DTU Space, South Pole and McMurdo Magnetometer, ICESTAR, RAPIDMAG, PENGUIn, British Antarctic Survey, BGS, Pushkov Institute of Terrestrial Magnetism, Ionosphere and Radio Wave Propagation (IZMIRAN), and SuperMAG. Constructive and critical comments of both reviewers are greatly appreciated (NRCan ESS contribution 20120143).</t>
  </si>
  <si>
    <t>A09302</t>
  </si>
  <si>
    <t>10.1029/2012JA017755</t>
  </si>
  <si>
    <t>030AR</t>
  </si>
  <si>
    <t>WOS:000310540500004</t>
  </si>
  <si>
    <t>Steig, EJ</t>
  </si>
  <si>
    <t>Steig, Eric J.</t>
  </si>
  <si>
    <t>CLIMATE CHANGE Brief but warm Antarctic summer</t>
  </si>
  <si>
    <t>ICE SHELVES; RETREAT; SURFACE; RECORD</t>
  </si>
  <si>
    <t>[Steig, Eric J.] Univ Washington, Quaternary Res Ctr, Seattle, WA 98195 USA; [Steig, Eric J.] Univ Washington, Dept Earth &amp; Space Sci, Seattle, WA 98195 USA</t>
  </si>
  <si>
    <t>University of Washington; University of Washington Seattle; University of Washington; University of Washington Seattle</t>
  </si>
  <si>
    <t>Steig, EJ (corresponding author), Univ Washington, Quaternary Res Ctr, Seattle, WA 98195 USA.</t>
  </si>
  <si>
    <t>steig@uw.edu</t>
  </si>
  <si>
    <t>/G-9088-2015</t>
  </si>
  <si>
    <t>/0000-0002-8191-5549</t>
  </si>
  <si>
    <t>Office of Polar Programs (OPP); Directorate For Geosciences [0837988] Funding Source: National Science Foundation</t>
  </si>
  <si>
    <t>10.1038/nature11483</t>
  </si>
  <si>
    <t>999WW</t>
  </si>
  <si>
    <t>WOS:000308347000028</t>
  </si>
  <si>
    <t>Mulvaney, R; Abram, NJ; Hindmarsh, RCA; Arrowsmith, C; Fleet, L; Triest, J; Sime, LC; Alemany, O; Foord, S</t>
  </si>
  <si>
    <t>Mulvaney, Robert; Abram, Nerilie J.; Hindmarsh, Richard C. A.; Arrowsmith, Carol; Fleet, Louise; Triest, Jack; Sime, Louise C.; Alemany, Olivier; Foord, Susan</t>
  </si>
  <si>
    <t>Recent Antarctic Peninsula warming relative to Holocene climate and ice-shelf history</t>
  </si>
  <si>
    <t>SEA-ICE; SURFACE; CORES</t>
  </si>
  <si>
    <t>Rapid warming over the past 50 years on the Antarctic Peninsula is associated with the collapse of a number of ice shelves and accelerating glacier mass loss(1-7). In contrast, warming has been comparatively modest over West Antarctica and significant changes have not been observed over most of East Antarctica(8,9), suggesting that the ice-core palaeoclimate records available from these areas may not be representative of the climate history of the Antarctic Peninsula. Here we show that the Antarctic Peninsula experienced an early-Holocene warm period followed by stable temperatures, from about 9,200 to 2,500 years ago, that were similar to modern-day levels. Our temperature estimates are based on an ice-core record of deuterium variations from James Ross Island, off the northeastern tip of the Antarctic Peninsula. We find that the late-Holocene development of ice shelves near James Ross Island was coincident with pronounced cooling from 2,500 to 600 years ago. This cooling was part of a millennial-scale climate excursion with opposing anomalies on the eastern and western sides of the Antarctic Peninsula. Although warming of the northeastern Antarctic Peninsula began around 600 years ago, the high rate of warming over the past century is unusual (but not unprecedented) in the context of natural climate variability over the past two millennia. The connection shown here between past temperature and ice-shelf stability suggests that warming for several centuries rendered ice shelves on the northeastern Antarctic Peninsula vulnerable to collapse. Continued warming to temperatures that now exceed the stable conditions of most of the Holocene epoch is likely to cause ice-shelf instability to encroach farther southward along the Antarctic Peninsula.</t>
  </si>
  <si>
    <t>[Mulvaney, Robert; Abram, Nerilie J.; Hindmarsh, Richard C. A.; Fleet, Louise; Triest, Jack; Sime, Louise C.; Foord, Susan] British Antarctic Survey, NERC, Cambridge CB3 0ET, England; [Abram, Nerilie J.] Australian Natl Univ, Res Sch Earth Sci, Canberra, ACT 0200, Australia; [Arrowsmith, Carol] NERC, Isotope Geosci Lab, Keyworth NG12 5GG, Notts, England; [Alemany, Olivier] UJF Grenoble 1, CNRS, LGGE, UMR 5183, F-38041 Grenoble, France</t>
  </si>
  <si>
    <t>UK Research &amp; Innovation (UKRI); Natural Environment Research Council (NERC); NERC British Antarctic Survey; Australian National University; UK Research &amp; Innovation (UKRI); Natural Environment Research Council (NERC); NERC British Geological Survey; Communaute Universite Grenoble Alpes; Universite Grenoble Alpes (UGA); Centre National de la Recherche Scientifique (CNRS)</t>
  </si>
  <si>
    <t>Mulvaney, R (corresponding author), British Antarctic Survey, NERC, Cambridge CB3 0ET, England.</t>
  </si>
  <si>
    <t>rmu@bas.ac.uk</t>
  </si>
  <si>
    <t>Abram, Nerilie/AAT-5171-2021; Sime, Louise/F-8058-2012; Sime, Louise/AAX-7730-2021; Hindmarsh, Richard/N-1195-2019; Mulvaney, Robert/K-3929-2012</t>
  </si>
  <si>
    <t>Sime, Louise/0000-0002-9093-7926; Sime, Louise/0000-0002-9093-7926; Hindmarsh, Richard/0000-0003-1633-2416; Arrowsmith, Carol/0000-0003-3849-5179; Mulvaney, Robert/0000-0002-5372-8148; Abram, Nerilie/0000-0003-1246-2344</t>
  </si>
  <si>
    <t>Natural Environment Research Council; Institut Polaire Francais - Paul Emile Victor (IPEV); Institut National des Sciences de l'Univers in France (INSU/PNEDC AMANCAY project); Natural Environment Research Council [bas0100024, NE/F015526/1] Funding Source: researchfish; NERC [NE/F015526/1, bas0100024] Funding Source: UKRI</t>
  </si>
  <si>
    <t>Natural Environment Research Council(UK Research &amp; Innovation (UKRI)Natural Environment Research Council (NERC)); Institut Polaire Francais - Paul Emile Victor (IPEV); Institut National des Sciences de l'Univers in France (INSU/PNEDC AMANCAY project); Natural Environment Research Council(UK Research &amp; Innovation (UKRI)Natural Environment Research Council (NERC)); NERC(UK Research &amp; Innovation (UKRI)Natural Environment Research Council (NERC))</t>
  </si>
  <si>
    <t>We thank our colleague in the field, S. Shelley, who took part in the ice-core drilling project; the captain and crew of HMS Endurance, who provided logistical support for the drilling field season; S. Kipfstuhl and the Alfred Wegner Institute at Bremerhaven for assistance in the processing of the ice core; J. Smellie and S. Roberts for discussions on Antarctic Peninsula tephras; D. Hodgson and E. Wolff for comments during preparation of the manuscript; and E. Capron, N. Lang, J. Levine and E. Ludlow for laboratory assistance. This study is part of the British Antarctic Survey Polar Science for Planet Earth Programme and was funded by the Natural Environment Research Council. Support from the Institut Polaire Francais - Paul Emile Victor (IPEV), and from the Institut National des Sciences de l'Univers in France (INSU/PNEDC AMANCAY project), facilitated by J. Chappellaz and F. Vimeux, enabled the technical contribution of the French National Center for Drilling and Coring (INSU/C2FN).</t>
  </si>
  <si>
    <t>NATURE PORTFOLIO</t>
  </si>
  <si>
    <t>BERLIN</t>
  </si>
  <si>
    <t>HEIDELBERGER PLATZ 3, BERLIN, 14197, GERMANY</t>
  </si>
  <si>
    <t>U204</t>
  </si>
  <si>
    <t>10.1038/nature11391</t>
  </si>
  <si>
    <t>WOS:000308347000051</t>
  </si>
  <si>
    <t>Golubev, Y</t>
  </si>
  <si>
    <t>Golubev, Yury</t>
  </si>
  <si>
    <t>Ocean-generated magnetic field study based on satellite geomagnetic measurements: 2. Signal inference</t>
  </si>
  <si>
    <t>ANTARCTIC CIRCUMPOLAR CURRENT; ATLANTIC CIRCULATION MODELS; SEA; INDUCTION; TRANSPORT; VOLTAGES; FLOW</t>
  </si>
  <si>
    <t>The work presented here is the second part of an ocean-generated magnetic field study and provides a procedure for inferring the ocean-generated magnetic field from satellite geomagnetic measurements. The procedure was first tested on synthetic data. The simulation employed a hypothetical satellite measuring the magnetic field at an altitude of 400 km. The measurements (generated by the CM4 and CHAOS models) included the core field, the lithospheric field, the ionospheric and magnetospheric fields, the secular variation, and the ocean-generated magnetic field. The search algorithm, as proposed in part 1, converts irregular measurements into fields on a regular grid. The filtration procedure is based on the Savitzky-Golay algorithm. The procedure includes four steps providing seven unknown filter parameters. Parameter values were obtained by solving the problem of minimizing the spatially averaged squared residuals between the inferred field and the model field. Then, the parameters were used in the filter to infer the ocean-generated magnetic field that was initially added to the measurements. The inferred signal, although spatially corrupted and having a smaller magnitude (60% of the magnitude of the initial signal), indicated the presence of magnetic anomalies within the Southern Ocean. The technique was then applied to CHAMP geomagnetic measurements. The result of filtering was clear magnetic anomalies within the Southern Ocean with a spatial character that were close to what models of the ocean-generated magnetic field provided. The magnitude of the inferring signal was 5 nT, the corrected values were 7-8 nT, 1-2 nT larger than the modeled field magnitude. To compare the temporal variability of the inferred field with the variability of sea surface height, ten 10 degrees by 10 degrees areas were selected within the Southern Ocean and the root-mean-square of both SSH and the magnetic field were computed for each area. A comparison of the results indicated a close similarity between SSH and the magnetic field temporal variability, which allowed the identification of the inferred field as the ocean-generated magnetic field.</t>
  </si>
  <si>
    <t>Adv Marine Syst Inc, Anaheim, CA 92807 USA</t>
  </si>
  <si>
    <t>Golubev, Y (corresponding author), Adv Marine Syst Inc, 209 N Kodiak St,Suite D, Anaheim, CA 92807 USA.</t>
  </si>
  <si>
    <t>yury_golubev@yahoo.com</t>
  </si>
  <si>
    <t>NASA [NNX09AF37G]; NASA [117649, NNX09AF37G] Funding Source: Federal RePORTER</t>
  </si>
  <si>
    <t>I thank the AVISO Project team for providing SSH data. I am very grateful to anonymous reviewers for comments and recommendations. Also I am deeply indebted to N. Pandya (Raytheon) and M. Siomin for help, discussion, and useful comments. This work was partially (50%) supported by NASA (grant NNX09AF37G).</t>
  </si>
  <si>
    <t>SEP 5</t>
  </si>
  <si>
    <t>C09006</t>
  </si>
  <si>
    <t>10.1029/2012JC007976</t>
  </si>
  <si>
    <t>003HB</t>
  </si>
  <si>
    <t>WOS:000308599100002</t>
  </si>
  <si>
    <t>Stumpf, AR; Madden, MEE; Soreghan, GS; Hall, BL; Keiser, LJ; Marra, KR</t>
  </si>
  <si>
    <t>Stumpf, A. R.; Madden, M. E. Elwood; Soreghan, G. S.; Hall, B. L.; Keiser, L. J.; Marra, K. R.</t>
  </si>
  <si>
    <t>Glacier meltwater stream chemistry in Wright and Taylor Valleys, Antarctica: Significant roles of drift, dust and biological processes in chemical weathering in a polar climate</t>
  </si>
  <si>
    <t>CHEMICAL GEOLOGY</t>
  </si>
  <si>
    <t>Proglacial stream; Mineral dissolution; Aqueous geochemistry</t>
  </si>
  <si>
    <t>MCMURDO DRY VALLEYS; SOUTHERN VICTORIA LAND; FRYXELL BASIN; COLD GLACIERS; ROSS SEA; ICE; LAKES; GEOCHEMISTRY; DEPOSITION; RATES</t>
  </si>
  <si>
    <t>This study examines stream chemistry within glacial drainages in Wright and Taylor Valley Antarctica in conjunction with geochemical modeling and sediment leach experiments in order to assess the source of chemical weathering fluxes within polar drainages. The targeted catchments are underlain by granitoid basement, with streams flowing through glacial drifts of variable composition. Analyses of meltwater from Clark Glacier in Wright Valley, and Howard Glacier (Delta Stream) in Taylor Valley show increases in solute concentrations as a function of distance from the glaciers. Surface area normalized weathering rate estimates based on Si and K fluxes within the streams confirm that significant chemical weathering is occurring in these systems at rates comparable to field and laboratory rates of silicate weathering under much warmer conditions. Downstream increases in several cations (Ca, Na, K, and Mg) occur within both drainages; however solute concentrations between the two streams differ significantly. Clark Glacier stream contains Na &gt; Ca whereas Howard Glacier stream contains Ca &gt; Na distally. Geochemical reaction path modeling for Clark Glacier predicts increasing concentrations of Ca, Na, and Mg over the reaction progress, paralleling the results of field data from Clark Stream. Modeling of Howard Glacier stream also shows an increase in several cations; however Na concentrations exceed those for Ca, which differs from the observed field data, and suggests that the differences in stream chemistry are not due to differing bedrock mineralogy. Instead, ion-leaching experiments conducted on drift sediments demonstrate that (1) glacial deposits within Wright Valley and Taylor Valley may significantly affect stream chemistry through direct water-rock interactions within the stream channel, and/or (2) the water chemistries are influenced by eolian additions of locally sourced dust to glacier surfaces. Differences in Fe concentrations between the two stream systems indicate that biological activity may also significantly influence iron concentrations within Howard Glacier stream. (C) 2012 Elsevier B.V. All rights reserved.</t>
  </si>
  <si>
    <t>[Stumpf, A. R.; Madden, M. E. Elwood; Soreghan, G. S.; Keiser, L. J.; Marra, K. R.] Univ Oklahoma, Sch Geol &amp; Geophys, Norman, OK 73019 USA; [Hall, B. L.] Univ Maine, Dept Earth Sci, Orono, ME 04469 USA; [Hall, B. L.] Univ Maine, Climate Change Inst, Bryand Global Sci Ctr 5790, Orono, ME 04469 USA</t>
  </si>
  <si>
    <t>University of Oklahoma System; University of Oklahoma - Norman; University of Maine System; University of Maine Orono; University of Maine System; University of Maine Orono</t>
  </si>
  <si>
    <t>Madden, MEE (corresponding author), Univ Oklahoma, Sch Geol &amp; Geophys, 100 E Boyd,Suite 710, Norman, OK 73019 USA.</t>
  </si>
  <si>
    <t>Alison@ou.edu; melwood@ou.edu; Isoreg@ou.edu; brendah@maine.edu; lkeiser@ou.edu; kmarra@ou.edu</t>
  </si>
  <si>
    <t>Elwood Madden, Megan/C-3381-2009</t>
  </si>
  <si>
    <t>Elwood Madden, Megan/0000-0002-6735-4554; Soreghan, Gerilyn/0000-0001-6925-5675</t>
  </si>
  <si>
    <t>NSF [ANT-0842639]</t>
  </si>
  <si>
    <t>NSF(National Science Foundation (NSF))</t>
  </si>
  <si>
    <t>Thanks to A. Madden for the helpful discussions. The authors also appreciate comments from co-editor J. Blum and two anonymous reviewers whose feedback strengthened the manuscript significantly. Funding for this project was provided by NSF Antarctic Earth Sciences Program (ANT-0842639).</t>
  </si>
  <si>
    <t>0009-2541</t>
  </si>
  <si>
    <t>1872-6836</t>
  </si>
  <si>
    <t>CHEM GEOL</t>
  </si>
  <si>
    <t>Chem. Geol.</t>
  </si>
  <si>
    <t>10.1016/j.chemgeo.2012.06.009</t>
  </si>
  <si>
    <t>008RG</t>
  </si>
  <si>
    <t>WOS:000308973600007</t>
  </si>
  <si>
    <t>Kelly, NM; Harley, SL; Möller, A</t>
  </si>
  <si>
    <t>Kelly, Nigel M.; Harley, Simon L.; Moeller, Andreas</t>
  </si>
  <si>
    <t>Complexity in the behavior and recrystallization of monazite during high-T metamorphism and fluid infiltration</t>
  </si>
  <si>
    <t>Monazite; Recrystallization; Electron microprobe dating; Trace element; Rayner Complex; Antarctica</t>
  </si>
  <si>
    <t>U-PB GEOCHRONOLOGY; GRANULITE-FACIES METAMORPHISM; ELECTRON-MICROPROBE; EAST ANTARCTICA; RARE-EARTH; KEMP-LAND; HYDROTHERMAL ALTERATION; GRADE METAMORPHISM; OYGARDEN ISLANDS; RAYNER COMPLEX</t>
  </si>
  <si>
    <t>A detailed study of monazite grains in silica-undersaturated and quartz-bearing Mg-Al metapelite from the Oygarden Group of islands, east Antarctica, reveals a complex history of growth and recrystallization during two separate events in the Neoproterozoic and earliest Cambrian. Monazite grains from garnet-poor and garnet-rich metapelite preserve core domains that have ages corresponding to growth and/or recrystallization at granulite facies (Pr approximate to 9-1.0 GPa, T &gt;= 850-900 degrees C) conditions during the Rayner Structural Episode between 930 and 890 ma. High-Th rims (&lt;= 22 wt.% ThO2) that are in textural equilibrium with sapphirine-orthopyroxene symplectites formed after garnet during late-Rayner decompression, occur on monazite grains in garnet-rich assemblages, and give electron microprobe ages (883 +/- 18 Ma) within error of core domains (903 +/- 14 Ma). These high-Th rim domains are interpreted to have formed through recrystallization of liberated inclusions via a process dominated by coupled dissolution-reprecipitation reactions facilitated by transient fluid films on the large surface areas in the symplectite and not by new growth. In garnet-poor metapelite, monazite grains that have grain boundaries in textural equilibrium with the granulite-facies assemblage also show alteration to higher-Th compositions on rims and along vein-like fractures. This compositional shift is accompanied by partial- to complete-resetting of ages to similar to 500 Ma, along with minor modification of core domain ages. Textures and patterns of chemical age resetting are interpreted to also be the result of a coupled dissolution-reprecipitation reaction process, but in contrast to garnet-bearing assemblages, this alteration occurred during a fluid influx at lower temperatures during regional 'Pan African' tectonism. This study highlights the susceptibility of monazite to resetting, with fluid-present conditions dramatically increasing the potential for recrystallization. (C) 2012 Elsevier B.V. All rights reserved.</t>
  </si>
  <si>
    <t>[Kelly, Nigel M.] Colorado Sch Mines, Dept Geol &amp; Geol Engn, Golden, CO 80401 USA; [Harley, Simon L.] Univ Edinburgh, Sch GeoSci, Edinburgh EH9 3JW, Midlothian, Scotland; [Moeller, Andreas] Univ Kansas, Dept Geol, Lawrence, KS 66045 USA</t>
  </si>
  <si>
    <t>Colorado School of Mines; University of Edinburgh; University of Kansas</t>
  </si>
  <si>
    <t>Kelly, NM (corresponding author), Colorado Sch Mines, Dept Geol &amp; Geol Engn, Golden, CO 80401 USA.</t>
  </si>
  <si>
    <t>nkelly@mines.edu</t>
  </si>
  <si>
    <t>EIMF, EIMF/AAD-8512-2020; Möller, Andreas/B-4638-2008</t>
  </si>
  <si>
    <t>EIMF, EIMF/0000-0001-6248-6657; Möller, Andreas/0000-0002-3692-1579; Harley, Simon/0000-0002-1903-939X</t>
  </si>
  <si>
    <t>Royal Society of Edinburgh SEELLD at the University of Edinburgh; ASAC [2214, 1150]; Royal Society; NERC-EMIF steering committee; NERC; National Institute of Polar Research, Tokyo; NERC [IMF010001] Funding Source: UKRI; Natural Environment Research Council [NE/B504157/1, IMF010001] Funding Source: researchfish</t>
  </si>
  <si>
    <t>Royal Society of Edinburgh SEELLD at the University of Edinburgh; ASAC; Royal Society(Royal Society); NERC-EMIF steering committee; NERC(UK Research &amp; Innovation (UKRI)Natural Environment Research Council (NERC)); National Institute of Polar Research, Tokyo; NERC(UK Research &amp; Innovation (UKRI)Natural Environment Research Council (NERC)); Natural Environment Research Council(UK Research &amp; Innovation (UKRI)Natural Environment Research Council (NERC))</t>
  </si>
  <si>
    <t>The analytical work for this study was completed while NMK was in receipt of a Royal Society of Edinburgh SEELLD Postdoctoral Fellowship at the University of Edinburgh. Samples used in the study were collected during the 1996/97 and 1997/98 austral summers (ASAC projects. 2214 and 1150) - NMK would like to thank the Australian Government Antarctic Division and expeditioners of ANARE's 49, 50 and 51 for support while in the field and at Mawson Station. Analyses were funded in part by Royal Society grant to SLH, a NERC-EMIF steering committee grant-in-kind and a NERC New Investigators award to NMK. NMK wishes to acknowledge the hospitality and support of the National Institute of Polar Research, Tokyo, and Tomokazu Hokada for assistance with EMP analysis. Nicola Cayzer is thanked for assistance with SEM imaging, Peter Hill and David Steele for assistance with the electron microprobe, and Richard Hinton for assistance with ion probe analyses. The manuscript was significantly improved with the aid of helpful and constructive reviews by Mike Williams and an anonymous reviewer, and through continuing lively discussion with other members of the metamorphic geochronology community.</t>
  </si>
  <si>
    <t>10.1016/j.chemgeo.2012.07.001</t>
  </si>
  <si>
    <t>WOS:000308973600015</t>
  </si>
  <si>
    <t>Ha, SY; Kim, YN; Park, MO; Kang, SH; Kim, HC; Shin, KH</t>
  </si>
  <si>
    <t>Ha, Sun-Yong; Kim, Young-Nam; Park, Mi-Ok; Kang, Sung-Ho; Kim, Hyun-choel; Shin, Kyung-Hoon</t>
  </si>
  <si>
    <t>Production of mycosporine-like amino acids of in situ phytoplankton community in Kongsfjorden, Svalbard, Arctic</t>
  </si>
  <si>
    <t>JOURNAL OF PHOTOCHEMISTRY AND PHOTOBIOLOGY B-BIOLOGY</t>
  </si>
  <si>
    <t>UV-absorbing compounds; Mycosporine-like amino acids; Thalassiosira sp.; Phaeocystis sp.; Carbon stable isotope; Kongsfjorden</t>
  </si>
  <si>
    <t>ULTRAVIOLET-B RADIATION; UV-ABSORBING COMPOUNDS; ANTARCTIC PHYTOPLANKTON; FRESH-WATER; PHAEOCYSTIS-ANTARCTICA; MARINE-PHYTOPLANKTON; OZONE DEPLETION; PHOTOSYNTHESIS; MAAS; ACCLIMATION</t>
  </si>
  <si>
    <t>The spatial distribution of UV-absorbing compounds (mycosporine-like amino acids, MAAs), was investigated by comparing the phytoplankton community structures in the inner and outer waters of the Kongsfjorden inlet, which is located in arctic Svalbard. Thalassiosira sp. and Phaeocystis sp. were dominant in the outer waters of the Kongfjorden inlet, demonstrating high chlorophyll a (chl a) concentrations and low MAA concentrations in the outer bay waters. However, Kongsfjorden Bay was dominated by Phaeocystis sp. and demonstrated high MAA concentrations despite low chl a concentrations. The carbon fixation rate at a station located inside Kongsfjorden Bay (T05) was significantly photo-inhibited by UV radiation, demonstrating higher production rates of MAA and chl a than at a station (B09) in outer bloom waters. Additionally, the turnover rates of individual MAAs were faster inside the Kongsfjorden Bay than in the outside waters. As a result, the natural phytoplankton community demonstrated different UV adaptation mechanisms according to the phytoplankton species, in this case, Thalassiosira sp. vs. Phaeocystis sp. It is possible to understand real-time changes for newly photosynthesized MAAs as UV-absorbing compounds in the natural phytoplankton community. This takes place via determination of in situ MM production rates using C-13 tracer and High Performance Liquid Chromatography (HPLC) combined with an isotope ratio mass spectrometer (irMS). (C) 2012 Elsevier B.V. All rights reserved.</t>
  </si>
  <si>
    <t>[Ha, Sun-Yong; Shin, Kyung-Hoon] Hanyang Univ, Dept Marine Environm Sci, Ansan 425791, Kyeonggi Do, South Korea; [Park, Mi-Ok] Pukyong Natl Univ, Dept Oceanog, Pusan 608737, South Korea; [Kim, Young-Nam; Kang, Sung-Ho; Kim, Hyun-choel] Korea Polar Res Inst KOPRI, Div Polar Climate Res, Inchon 406840, South Korea</t>
  </si>
  <si>
    <t>Hanyang University; Pukyong National University; Korea Polar Research Institute (KOPRI)</t>
  </si>
  <si>
    <t>Shin, KH (corresponding author), Hanyang Univ, Dept Marine Environm Sci, 1271-3 Dong, Ansan 425791, Kyeonggi Do, South Korea.</t>
  </si>
  <si>
    <t>shinkh@hanyang.ac.kr</t>
  </si>
  <si>
    <t>Shin, Kyung-Hoon/AAD-6999-2021</t>
  </si>
  <si>
    <t>Shin, Kyung-Hoon/0000-0002-3169-4274</t>
  </si>
  <si>
    <t>Korea Science and Engineering Foundation [R01-2008-000-20244-0]</t>
  </si>
  <si>
    <t>Korea Science and Engineering Foundation(Korea Science and Engineering Foundation)</t>
  </si>
  <si>
    <t>We thank M. Klisch and D.P. Hader for providing the MM-standards, M. Maturilli for measuring the UV-B irradiance. This study funded by Korea Science and Engineering Foundation (R01-2008-000-20244-0).</t>
  </si>
  <si>
    <t>ELSEVIER SCIENCE SA</t>
  </si>
  <si>
    <t>LAUSANNE</t>
  </si>
  <si>
    <t>PO BOX 564, 1001 LAUSANNE, SWITZERLAND</t>
  </si>
  <si>
    <t>1011-1344</t>
  </si>
  <si>
    <t>1873-2682</t>
  </si>
  <si>
    <t>J PHOTOCH PHOTOBIO B</t>
  </si>
  <si>
    <t>J. Photochem. Photobiol. B-Biol.</t>
  </si>
  <si>
    <t>SEP 3</t>
  </si>
  <si>
    <t>10.1016/j.jphotobiol.2012.03.011</t>
  </si>
  <si>
    <t>987KJ</t>
  </si>
  <si>
    <t>WOS:000307415500001</t>
  </si>
  <si>
    <t>Lampert, A; Maturilli, M; Ritter, C; Hoffmann, A; Stock, M; Herber, A; Birnbaum, G; Neuber, R; Dethloff, K; Orgis, T; Stone, R; Brauner, R; Kässbohrer, J; Haas, C; Makshtas, A; Sokolov, V; Liu, P</t>
  </si>
  <si>
    <t>Lampert, Astrid; Maturilli, Marion; Ritter, Christoph; Hoffmann, Anne; Stock, Maria; Herber, Andreas; Birnbaum, Gerit; Neuber, Roland; Dethloff, Klaus; Orgis, Thomas; Stone, Robert; Brauner, Ralf; Kaessbohrer, Johannes; Haas, Christian; Makshtas, Alexander; Sokolov, Vladimir; Liu, Peter</t>
  </si>
  <si>
    <t>The Spring-Time Boundary Layer in the Central Arctic Observed during PAMARCMiP 2009</t>
  </si>
  <si>
    <t>ATMOSPHERE</t>
  </si>
  <si>
    <t>Arctic boundary layer; dropsonde; airborne lidar; sea ice thickness</t>
  </si>
  <si>
    <t>RESOLUTION IMAGING SPECTRORADIOMETER; SURFACE HEAT-BUDGET; SEA-ICE THICKNESS; AGASP-II; AIR-FLOW; SHEBA; AIRCRAFT; AEROSOL; OCEAN; CLOUD</t>
  </si>
  <si>
    <t>The Arctic atmospheric boundary layer (AABL) in the central Arctic was characterized by dropsonde, lidar, ice thickness and airborne in situ measurements during the international Polar Airborne Measurements and Arctic Regional Climate Model Simulation Project (PAMARCMiP) in April 2009. We discuss AABL observations in the lowermost 500 m above (A) open water, (B) sea ice with many open/refrozen leads (C) sea ice with few leads, and (D) closed sea ice with a front modifying the AABL. Above water, the AABL had near-neutral stratification and contained a high water vapor concentration. Above sea ice, a low AABL top, low near-surface temperatures, strong surface-based temperature inversions and an increase of moisture with altitude were observed. AABL properties and particle concentrations were modified by a frontal system, allowing vertical mixing with the free atmosphere. Above areas with many leads, the potential temperature decreased with height in the lowest 50 m and was nearly constant above, up to an altitude of 100-200 m, indicating vertical mixing. The increase of the backscatter coefficient towards the surface was high. Above sea ice with few refrozen leads, the stably stratified boundary layer extended up to 200-300 m altitude. It was characterized by low specific humidity and a smaller increase of the backscatter coefficient towards the surface.</t>
  </si>
  <si>
    <t>[Lampert, Astrid; Maturilli, Marion; Ritter, Christoph; Hoffmann, Anne; Stock, Maria; Neuber, Roland; Dethloff, Klaus; Orgis, Thomas] Alfred Wegener Inst Polar &amp; Marine Res, D-14473 Potsdam, Germany; [Herber, Andreas; Birnbaum, Gerit] Alfred Wegener Inst Polar &amp; Marine Res, D-27570 Bremerhaven, Germany; [Stone, Robert] NOAA, Earth Syst Res Lab, Boulder, CO 80305 USA; [Brauner, Ralf] Jade Hsch, D-26931 Elsfleth, Germany; [Kaessbohrer, Johannes] Fielax GmbH, D-27568 Bremerhaven, Germany; [Haas, Christian] Univ Alberta, Edmonton, AB T6G 2E3, Canada; [Makshtas, Alexander; Sokolov, Vladimir] Arctic &amp; Antarctic Res Inst, St Petersburg 199397, Russia; [Liu, Peter] Environm Canada, Sci &amp; Technol Branch, Downsview, ON M3H 5T4, Canada</t>
  </si>
  <si>
    <t>Helmholtz Association; Alfred Wegener Institute, Helmholtz Centre for Polar &amp; Marine Research; Helmholtz Association; Alfred Wegener Institute, Helmholtz Centre for Polar &amp; Marine Research; National Oceanic Atmospheric Admin (NOAA) - USA; Jade University of Applied Sciences; University of Alberta; Arctic &amp; Antarctic Research Institute; Environment &amp; Climate Change Canada</t>
  </si>
  <si>
    <t>Lampert, A (corresponding author), TU Braunschweig, Inst Aerosp Syst, Hermann Blenk St 23, D-38108 Braunschweig, Germany.</t>
  </si>
  <si>
    <t>Astrid.Lampert@tu-bs.de; marion.maturilli@awi.de; christoph.ritter@awi.de; anne.hoffmann@awi.de; maria.stock@awi.de; andreas.herber@awi.de; gerit.birnbaum@awi.de; roland.neuber@awi.de; klaus.dethloff@awi.de; thomas.orgis@awi.de; robert.stone@noaa.gov; brineera@t-online.de; kaessbohrer@fielax.de; chaas@ualberta.ca; maksh@aari.ru; svt@aari.ru; peter.liu@ec.gc.ca</t>
  </si>
  <si>
    <t>Birnbaum, Gerit/D-4350-2014; Haas, Christian/L-5279-2016; Dethloff, Klaus/B-4879-2014; Pfüller, Anne/I-1273-2012; Maturilli, Marion/A-4344-2017; Neuber, Roland/B-4923-2014</t>
  </si>
  <si>
    <t>Haas, Christian/0000-0002-7674-3500; Maturilli, Marion/0000-0001-6818-7383; Neuber, Roland/0000-0001-7382-7832; Birnbaum, Gerit/0000-0002-0252-6781</t>
  </si>
  <si>
    <t>MDPI AG</t>
  </si>
  <si>
    <t>2073-4433</t>
  </si>
  <si>
    <t>ATMOSPHERE-BASEL</t>
  </si>
  <si>
    <t>Atmosphere</t>
  </si>
  <si>
    <t>SEP</t>
  </si>
  <si>
    <t>10.3390/atmos3030320</t>
  </si>
  <si>
    <t>175QY</t>
  </si>
  <si>
    <t>WOS:000321247800002</t>
  </si>
  <si>
    <t>Klaus, D; Dorn, W; Dethloff, K; Rinke, A; Mielke, M</t>
  </si>
  <si>
    <t>Klaus, Daniel; Dorn, Wolfgang; Dethloff, Klaus; Rinke, Annette; Mielke, Moritz</t>
  </si>
  <si>
    <t>Evaluation of Two Cloud Parameterizations and Their Possible Adaptation to Arctic Climate Conditions</t>
  </si>
  <si>
    <t>cloud parameterization; single-column climate model; model evaluation; sensitivity study</t>
  </si>
  <si>
    <t>SINGLE-COLUMN MODEL; BOUNDARY-LAYER; RADIATION BUDGET; SEA-ICE; SIMULATIONS; SURFACE; MICROPHYSICS; SENSITIVITY; TEMPERATURE; VARIABILITY</t>
  </si>
  <si>
    <t>Based on the atmospheric regional climate model HIRHAM5, the single-column model version HIRHAM5-SCM was developed and applied to investigate the performance of a relative humidity based (RH-Scheme) and a prognostic statistical cloud scheme (PS-Scheme) in the central Arctic. The surface pressure as well as dynamical tendencies of temperature, specific humidity, and horizontal wind were prescribed from the ERA-Interim data set to enable the simulation of a realistic annual cycle. Both modeled temperature and relative humidity profiles were validated against radio soundings carried out on the 35th North Pole drifting station (NP-35). Simulated total cloud cover was evaluated with NP-35 and satellite-based ISCCP-D2 and MODIS observations. The more sophisticated PS-Scheme was found to perform more realistically and matched the observations better. Nevertheless, the model systematically overestimated the monthly averaged total cloud cover. Sensitivity studies were conducted to assess the effect of modified tuning parameters on cloud-related model variables. Two tunable parameters of the PS-Scheme and six tuning parameters contained in the cloud microphysics were analyzed. Lower values of the PS-Scheme adjustment parameter (q) over tilde (0), which defines the shape of the symmetric beta distribution (acting as probability density function), as well as higher values of the cloud water threshold CWmin or autoconversion rate gamma(1) are able to reduce the overestimation of Arctic clouds. Furthermore, a lower cloud ice threshold gamma(thr), which controls the Bergeron-Findeisen process, improves model cloudiness and the ratio of liquid to solid water content.</t>
  </si>
  <si>
    <t>[Klaus, Daniel; Dorn, Wolfgang; Dethloff, Klaus; Rinke, Annette; Mielke, Moritz] Alfred Wegener Inst Polar &amp; Marine Res, Res Dept Potsdam, D-14473 Potsdam, Germany</t>
  </si>
  <si>
    <t>Klaus, D (corresponding author), Alfred Wegener Inst Polar &amp; Marine Res, Res Dept Potsdam, Telegrafenberg A43, D-14473 Potsdam, Germany.</t>
  </si>
  <si>
    <t>daniel.klaus@awi.de; wolfgang.dorn@awi.de; klaus.dethloff@awi.de; annette.rinke@awi.de; moritz.mielke@awi.de</t>
  </si>
  <si>
    <t>Dethloff, Klaus/B-4879-2014; Rinke, Annette/B-4922-2014</t>
  </si>
  <si>
    <t>Dorn, Wolfgang/0000-0002-2071-9472; Rinke, Annette/0000-0002-6685-9219</t>
  </si>
  <si>
    <t>Helmholtz Climate Initiative REKLIM</t>
  </si>
  <si>
    <t>Financial support was provided by the Helmholtz Climate Initiative REKLIM. The authors thank the ECMWF for providing the ERA-Interim data set and Ines Hebestadt for technical support. We are deeply grateful to the ISCCP for providing ISCCP-D2 and to the NSIDC for providing MODIS satellite cloud data. Special thanks go to the Arctic and Antarctic Research Institute (AARI) St. Petersburg, Russia, and Jurgen Graser for the measurements on NP-35.</t>
  </si>
  <si>
    <t>10.3390/atmos3030419</t>
  </si>
  <si>
    <t>WOS:000321247800006</t>
  </si>
  <si>
    <t>Ranjith, L; Shukla, SP; Vennila, A; Gashaw, TD</t>
  </si>
  <si>
    <t>Ranjith, L.; Shukla, S. P.; Vennila, A.; Gashaw, T. D.</t>
  </si>
  <si>
    <t>Bioinvasion in Antarctic Ecosystems</t>
  </si>
  <si>
    <t>PROCEEDINGS OF THE NATIONAL ACADEMY OF SCIENCES INDIA SECTION B-BIOLOGICAL SCIENCES</t>
  </si>
  <si>
    <t>Bioinvasion; Antarctic ecosystems; Climate change; Microorganisms; Propagules</t>
  </si>
  <si>
    <t>CLIMATE-CHANGE; SOUTHERN-OCEAN; IMPACTS; ISLANDS; CYANOBACTERIA; BIODIVERSITY; RESPONSES; RECORDS; PLANTS; LIFE</t>
  </si>
  <si>
    <t>Antarctic ecosystems are considered to be pristine ecosystems; however, increasing global temperature and a considerable increase in human activities pertaining to scientific investigations and tourism are major issues that need an immediate address by global scientific communities. This review encompasses around the present and future threats to Antarctic ecosystems due to bioinvasion highlighting the conservation value of native Antarctic species vis-a-vis the impacts of invasive species on native organisms. The initiatives for prevention of bio-invasion in Antarctic ecosystems have also been summarised.</t>
  </si>
  <si>
    <t>[Ranjith, L.; Shukla, S. P.; Vennila, A.] Indian Council Agr Res, Cent Inst Fisheries Educ, Aquat Environm &amp; Hlth Management Div, Bombay 400061, Maharashtra, India; [Gashaw, T. D.] Indian Council Agr Res, Cent Inst Fisheries Educ, Aquaculture Div, Bombay 400061, Maharashtra, India</t>
  </si>
  <si>
    <t>Indian Council of Agricultural Research (ICAR); ICAR - Central Institute of Fisheries Education; Indian Council of Agricultural Research (ICAR); ICAR - Central Institute of Fisheries Education</t>
  </si>
  <si>
    <t>Ranjith, L (corresponding author), Indian Council Agr Res, Marine Biodivers Div, Tuticorin Res Ctr, Cent Marine Fisheries Res Inst, S Beach Rd,Near Rochi Pk, Tuticorin 628001, India.</t>
  </si>
  <si>
    <t>ranjith_bfsc@yahoo.co.in</t>
  </si>
  <si>
    <t>Prakash, Satya/AAJ-4842-2020; Prakash, Satya/HNS-9397-2023; Lakshmanan, Ranjith/D-7217-2011; Alagarsamy, Vennila/E-7785-2011</t>
  </si>
  <si>
    <t>Lakshmanan, Ranjith/0000-0002-4940-0887; Alagarsamy, Vennila/0000-0002-8686-906X</t>
  </si>
  <si>
    <t>NATL ACAD SCIENCES INDIA</t>
  </si>
  <si>
    <t>ALLAHABAD</t>
  </si>
  <si>
    <t>5 LAJPATRAI RD, ALLAHABAD 211002, INDIA</t>
  </si>
  <si>
    <t>0369-8211</t>
  </si>
  <si>
    <t>2250-1746</t>
  </si>
  <si>
    <t>P NATL A SCI INDIA B</t>
  </si>
  <si>
    <t>Proc. Nat. Acad. Sci. India Sect. B-Biol. Sci.</t>
  </si>
  <si>
    <t>10.1007/s40011-012-0054-9</t>
  </si>
  <si>
    <t>083JC</t>
  </si>
  <si>
    <t>WOS:000314458500003</t>
  </si>
  <si>
    <t>Porter-Smith, R; McKinlay, J</t>
  </si>
  <si>
    <t>Porter-Smith, R.; McKinlay, J.</t>
  </si>
  <si>
    <t>Mesoscale coastal complexity and its relationship to structure and forcing from marine processes</t>
  </si>
  <si>
    <t>coastline complexity; geological regions; coastal morphology; GIS</t>
  </si>
  <si>
    <t>STATISTICAL SELF-SIMILARITY; FRACTAL DIMENSIONS; CLASSIFICATION; COASTLINE; SCALE; WAVE; GEOMORPHOLOGY; FREQUENCY; CHARACTER; EXPOSURE</t>
  </si>
  <si>
    <t>This study investigates Australia's coastline complexity to establish the relationship between geological inheritance and ocean processes, as well as determine the characteristic length scales at which they operate. Each of Australia's geological regions displays discrete complexity signatures indicating a correlation between coastal complexity and geology. These mesoscale complexity signatures can vary enormously, between regions over a range of length scales. An angled measurement technique is used to quantify coastal complexity for a large number of random nodes, at varying length scales, around the Australian continental margin. Cluster analysis are used to determine characteristic complexity 'signatures' for random nodes, and dimension reduction techniques and additive models are used to assess the relative effects of wave and tide power and physical variables in each geological region. However, although some geological regions are visibly distinct, all geological regions are comprised of up to three basic classes or typologies. Furthermore, this study demonstrates that at the mesoscale (1-100 km), geological inheritance has the major influence in determining coastal complexity. Results show lithological mix to be an important factor and coastlines of a homogeneous lithology tend to be straighter than coastlines of mixed lithology. They further demonstrate that wave action promotes a straight coastline if the lithology is homogeneous and a complex one if the lithology is heterogeneous This work will contribute to ongoing research in the classification of the Australian continental margin by utilising available geophysical datasets that are fundamental to the establishment of rigorous boundaries in the regional marine planning process. It provides important information about drivers responsible for coastal complexity at the mesoscale. It is only from such studies that constructive quantitative approaches can be developed for robust regionalisation of coastal and marine systems. Crown Copyright (C) 2012 Published by Elsevier B.V. All rights reserved.</t>
  </si>
  <si>
    <t>[Porter-Smith, R.] CSIRO, Div Marine &amp; Atmospher Res, Hobart, Tas 7000, Australia; [McKinlay, J.] Australian Antarctic Div, Kingston, Tas 7050, Australia</t>
  </si>
  <si>
    <t>Commonwealth Scientific &amp; Industrial Research Organisation (CSIRO); Australian Antarctic Division</t>
  </si>
  <si>
    <t>Porter-Smith, R (corresponding author), CSIRO, Div Marine &amp; Atmospher Res, Hobart, Tas 7000, Australia.</t>
  </si>
  <si>
    <t>Rick.Smith@csiro.au; John.McKinlay@aad.gov.au</t>
  </si>
  <si>
    <t>Smith, Rick/E-4801-2013</t>
  </si>
  <si>
    <t>McKinlay, John/0000-0003-4858-2604</t>
  </si>
  <si>
    <t>Oceans Flagship</t>
  </si>
  <si>
    <t>We would like to thank colleagues Kelvin Michael, Melody Puckridge, Mark Hemer, Jim Gunson, Richard Mount, Chris Sharples and Rich Little for insightful comments on an earlier version of this manuscript. Two anonymous reviewers are thanked for their comprehensive reviews. We would like to acknowledge Geoscience Australia for their provision of wave, tide and geological data. Finally, we are grateful for the support of Wealth from Oceans Flagship. This manuscript is published with permission of CSIRO Marine and Atmospheric Research.</t>
  </si>
  <si>
    <t>SEP 1</t>
  </si>
  <si>
    <t>10.1016/j.margeo.2012.07.011</t>
  </si>
  <si>
    <t>024QM</t>
  </si>
  <si>
    <t>WOS:000310123700001</t>
  </si>
  <si>
    <t>Demidov, AB; Mosharov, SA; Gagarin, VI</t>
  </si>
  <si>
    <t>Demidov, A. B.; Mosharov, S. A.; Gagarin, V. I.</t>
  </si>
  <si>
    <t>Meridional asymmetric distribution of the primary production in the Atlantic Sector of the Southern Ocean in the austral spring and summer</t>
  </si>
  <si>
    <t>CHLOROPHYLL-A; PHYTOPLANKTON BIOMASS; ANTARCTIC PENINSULA; MIXED-LAYER; SEA-ICE; IRON; WATER; BLOOMS; WEST</t>
  </si>
  <si>
    <t>The spatial distribution of the phytoplankton productivity was investigated in the Atlantic Sector of the Southern Ocean in the austral summer of 2009-2010 and the spring of 2010 on the basis of field measurements. In October-November, the average integrated primary production and the concentration of surface and integrated (photosynthetic layer) chlorophyll a in the Subantarctic waters of the Drake Passage exceeded the similar values along the Greenwich meridian by 3, 2, and 1.5 times, respectively. Similar primary production was observed in December-January for the water column in the eastern and western sectors of the studied area. The chlorophyll a concentration in the surface water layer was higher by 1.7 times for the Greenwich meridian area compared to the deep layers, but the concentrations of this pigment in the deeper layers did not differ. During the spring, the average primary production in the water column (the chlorophyll a concentration in the surface and in the photosynthetic layer) differed in the Drake Passage and along the Greenwich meridian by 2.3, 1.6, and 1.7 times, respectively. The opposite pattern was observed during the summer period, when the parameters listed above were higher for the Greenwich meridian area by 1.9, 2.5, and 1.7 times, respectively. Therefore, the western Antarctic areas in the spring are characterized by higher production than the eastern ones, and an opposite pattern is observed in the summer. The possible reasons for the meridional zonation of the chlorophyll a and the primary production are discussed in regard to different seasons.</t>
  </si>
  <si>
    <t>[Demidov, A. B.; Mosharov, S. A.; Gagarin, V. I.] Russian Acad Sci, PP Shirshov Oceanol Inst, Moscow, Russia</t>
  </si>
  <si>
    <t>Demidov, AB (corresponding author), Russian Acad Sci, PP Shirshov Oceanol Inst, Moscow, Russia.</t>
  </si>
  <si>
    <t>demspa@rambler.ru</t>
  </si>
  <si>
    <t>Mosharov, Sergey/O-2565-2013; Demidov, Andrey/G-1043-2014</t>
  </si>
  <si>
    <t>Mosharov, Sergey/0000-0002-0055-8982; Demidov, Andrey/0000-0002-1370-079X</t>
  </si>
  <si>
    <t>Meridian Project [1901-17-09]; Basic Research of the Russian Academy of Sciences [21, 14.6]; Ministry of Education and Science of the Russian Federation [16.515.11.5016]</t>
  </si>
  <si>
    <t>Meridian Project; Basic Research of the Russian Academy of Sciences(Russian Academy of Sciences); Ministry of Education and Science of the Russian Federation(Ministry of Education and Science, Russian Federation)</t>
  </si>
  <si>
    <t>This study was supported by State Contract no. 1901-17-09 of the Meridian Project, Program no. 21 of Basic Research of the Russian Academy of Sciences (project no. 14.6), and State Contract no. 16.515.11.5016 of the Ministry of Education and Science of the Russian Federation.</t>
  </si>
  <si>
    <t>1531-8508</t>
  </si>
  <si>
    <t>10.1134/S0001437012050050</t>
  </si>
  <si>
    <t>027JG</t>
  </si>
  <si>
    <t>WOS:000310347700005</t>
  </si>
  <si>
    <t>Ryberg, PE; Taylor, EL; Taylor, TN</t>
  </si>
  <si>
    <t>Ryberg, Patricia E.; Taylor, Edith L.; Taylor, Thomas N.</t>
  </si>
  <si>
    <t>ANTARCTIC GLOSSOPTERID DIVERSITY ON A LOCAL SCALE: THE PRESENCE OF MULTIPLE MEGASPOROPHYLL GENERA, UPPER PERMIAN, MT. ACHERNAR, TRANSANTARCTIC MOUNTAINS, ANTARCTICA</t>
  </si>
  <si>
    <t>AMERICAN JOURNAL OF BOTANY</t>
  </si>
  <si>
    <t>Antarctica; fossil plants; glossopterids; Late Permian; Lidgettoniopsis ramulus; megasporophylls; pteridosperms; Scutum leiophyllum</t>
  </si>
  <si>
    <t>PRINCE-CHARLES MOUNTAINS; BOWEN BASIN; FRUCTIFICATIONS; LEAVES; FLORA; ENVIRONMENTS; PALEOBOTANY; AUSTRALIA; COALFIELD; CLIMATE</t>
  </si>
  <si>
    <t>Premise of the study: The glossopterids are a group of plants that thrived during a time of global warming similar to what is happening on the Earth today as well as the transition from archaic plant groups to the ancestors of modern groups. The diversity of the glossopterid clade is based on the megasporangiate structures assigned to the group, because the vegetative and pollen-bearing structures vary little. The presence of numerous reproductive genera from a single Upper Permian locality in the central Transantarctic Mountains provides important data on local glossopterid diversity in Antarctica. Methods: Impression/compression fossils were imaged with a Leica 5000C digital camera on a dissecting microscope or a Fujifilm FinePix S1pro digital camera. Key results: Two megasporangiate taxa are described: Scutum leiophyllum, which represents the first confirmed record of the genus in Antarctica, and Lidgettoniopsis ramulus, a new morphology consisting of a pinnate structure with oppositely attached megasporophylls. Plumsteadia ovata specimens indicate that this genus can be larger than previously recorded and illustrate the vegetative surface with a distinct midrib. Conclusions: The presence of a laminar, multiovulate structure and a pinnate structure at the same site indicates that local-level glossopterid diversity in Antarctica is greater than previously hypothesized. The discovery of a new megasporophyll morphology in Antarctica (confirming the presence of three distinctive morphologies on the continent) shows that Antarctic glossopterid heterogeneity is on a par with other Gondwanan continents. The diversity of the Antarctic landscape reveals that high polar latitudes can sustain a diverse ecosystem during times of global warming.</t>
  </si>
  <si>
    <t>Univ Kansas, Dept Ecol &amp; Evolutionary Biol, Nat Hist Museum, Lawrence, KS 66045 USA; Univ Kansas, Biodivers Inst, Lawrence, KS 66045 USA</t>
  </si>
  <si>
    <t>University of Kansas; University of Kansas</t>
  </si>
  <si>
    <t>Ryberg, PE (corresponding author), Pk Univ, Dept Nat &amp; Phys Sci, 8700 NW River Pk Dr, Parkville, MO 64152 USA.</t>
  </si>
  <si>
    <t>patricia.ryberg@park.edu</t>
  </si>
  <si>
    <t>National Science Foundation [OISE-0825291, OPP-0943934]; Directorate For Geosciences; Office of Polar Programs (OPP) [0943934] Funding Source: National Science Foundation</t>
  </si>
  <si>
    <t>A heartfelt thanks to Dr. Rosemary Prevec and her work on the glossopterids. Thanks to Dr. Judith Skog for help in interpreting the ICBN. None of this research could have been conducted without the contributions of the 2010-2011 Austral field season team including Anne-Laure Decombeix, Ignacio Escapa, Erik Gulbranson, Andrew Schwendemann, Rudolph Serbet, and Brian Staite. A special thanks to Kimberly Lawton and Rob Teasdale who provided support at the field camp as well as collecting at Mt. Achernar. Finally, many thanks to two anonymous reviewers whose comments helped to refine this paper. This research was funded by the National Science Foundation (grant OISE-0825291 to PER and ELT, grant OPP-0943934 to ELT and TNT).</t>
  </si>
  <si>
    <t>0002-9122</t>
  </si>
  <si>
    <t>1537-2197</t>
  </si>
  <si>
    <t>AM J BOT</t>
  </si>
  <si>
    <t>Am. J. Bot.</t>
  </si>
  <si>
    <t>10.3732/ajb.1200142</t>
  </si>
  <si>
    <t>004OA</t>
  </si>
  <si>
    <t>WOS:000308689800023</t>
  </si>
  <si>
    <t>Shivaji, S; Reddy, PVV; Rao, SSSN; Begum, Z; Manasa, P; Srinivas, TNR</t>
  </si>
  <si>
    <t>Shivaji, S.; Reddy, P. Vishnu Vardhan; Rao, S. S. S. Nageshwara; Begum, Zareena; Manasa, Poorna; Srinivas, T. N. R.</t>
  </si>
  <si>
    <t>Cyclobacterium qasimii sp nov., a psychrotolerant bacterium isolated from Arctic marine sediment</t>
  </si>
  <si>
    <t>INTERNATIONAL JOURNAL OF SYSTEMATIC AND EVOLUTIONARY MICROBIOLOGY</t>
  </si>
  <si>
    <t>CENTRAL BALTIC SEA; ET-AL. 2003; GEN. NOV.; EMENDED DESCRIPTION; SURFACE-WATER; HONGIELLA YI; ALGORIPHAGUS; IDENTIFICATION; SYSTEMATICS; ANTARCTICA</t>
  </si>
  <si>
    <t>A novel Gram-stain-negative, horseshoe-shaped, non-motile bacterium, designated strain M12-11B(T), was isolated from a marine sediment sample collected at a depth of 200 m from Kongsfjorden, Svalbard. The colony colour was orangish red due to the presence of carotenoids. Fatty acids were dominated by branched and unsaturated fatty acids (90.8%), with a high abundance of iso-C-15:0 (14.9 %), anteiso-C-15:0 (11.4%), iso-C-15:1 G (13.1%), C-15:1 omega 6C (5.4 %), C-17:1 omega 6C (6.7 %), summed feature 3 (C-16:1 omega 7c and/or C-16:1 omega 6c; 9.3 %) and summed feature 9 (10-methyl C-16:0 and/or iso-C-17:1 omega 9c; 5.9%). Strain M12-11B(T) contained MK-7 as the major respiratory quinone. The polar lipids consisted of phosphatidylcholine, phosphatidylethanolamine, one unidentified aminolipid and three unidentified lipids. Based on 16S rRNA gene sequence similarities, the type strains of Cyclobacterium amurskyense, Cyclobacterium marinum and Cyclobacterium lianum were most closely related to M12-11B(T) with sequence similarities of 98.2, 96.8 and 93.3%, respectively. Other members of the family Cyclobacteriaceae had sequence similarities of &lt;92.0%. However, DNA-DNA hybridization with Cyclobacterium amurskyense KCTC 12363(T) and Cyclobacterium marinum DSM 745(T) showed relatedness values of only 24.5 and 32.5 % with respect to strain M12-11B(T). Based on the results of DNA-DNA hybridization experiments and phenotypic and chemotaxonomic data, it appears that strain M12-11B(T) represents a novel species of the genus Cyclobacterium, for which the name Cyclobacterium qasimii sp. nov. is proposed; the type strain is M12-11B(T) (=KCTC 23011(T)=NBRC 106168(T)) and it has a DNA G+C content of 40.5 mol%.</t>
  </si>
  <si>
    <t>[Shivaji, S.; Reddy, P. Vishnu Vardhan; Rao, S. S. S. Nageshwara; Begum, Zareena; Manasa, Poorna; Srinivas, T. N. R.] Ctr Cellular &amp; Mol Biol, Hyderabad 500007, Andhra Pradesh, India</t>
  </si>
  <si>
    <t>Council of Scientific &amp; Industrial Research (CSIR) - India; CSIR - Centre for Cellular &amp; Molecular Biology (CCMB)</t>
  </si>
  <si>
    <t>Shivaji, S (corresponding author), Ctr Cellular &amp; Mol Biol, Uppal Rd, Hyderabad 500007, Andhra Pradesh, India.</t>
  </si>
  <si>
    <t>shivas@ccmb.res.in</t>
  </si>
  <si>
    <t>TANUKU, SRINIVAS N R/F-1029-2013</t>
  </si>
  <si>
    <t>Bhamidimarri, Poorna Manasa/0000-0002-7418-0492; shivaji, sisinthy/0000-0003-0376-4658</t>
  </si>
  <si>
    <t>National Centre for Antarctic and Ocean Research, Goa; CSIR Network Project on Exploitation of India's rich microbial diversity [NWP0006]; CSIR, Government of India</t>
  </si>
  <si>
    <t>National Centre for Antarctic and Ocean Research, Goa; CSIR Network Project on Exploitation of India's rich microbial diversity; CSIR, Government of India(Council of Scientific &amp; Industrial Research (CSIR) - India)</t>
  </si>
  <si>
    <t>S. S. is thankful to the National Centre for Antarctic and Ocean Research, Goa, and the CSIR Network Project on Exploitation of India's rich microbial diversity (NWP0006) for funding. T. N. R. S. acknowledges the CSIR, Government of India, for the award of a Research Associateship. The skilful assistance of B. Puma Manasa in chemotaxonomic analysis is gratefully acknowledged.</t>
  </si>
  <si>
    <t>SOC GENERAL MICROBIOLOGY</t>
  </si>
  <si>
    <t>READING</t>
  </si>
  <si>
    <t>MARLBOROUGH HOUSE, BASINGSTOKE RD, SPENCERS WOODS, READING RG7 1AG, BERKS, ENGLAND</t>
  </si>
  <si>
    <t>1466-5026</t>
  </si>
  <si>
    <t>INT J SYST EVOL MICR</t>
  </si>
  <si>
    <t>Int. J. Syst. Evol. Microbiol.</t>
  </si>
  <si>
    <t>10.1099/ijs.0.038661-0</t>
  </si>
  <si>
    <t>023QD</t>
  </si>
  <si>
    <t>WOS:000310048600013</t>
  </si>
  <si>
    <t>Yu, Y; Li, HR; Zeng, YX; Sun, K; Chen, B</t>
  </si>
  <si>
    <t>Yu, Yong; Li, Hui-Rong; Zeng, Yin-Xin; Sun, Kun; Chen, Bo</t>
  </si>
  <si>
    <t>Pricia antarctica gen. nov., sp nov., a member of the family Flavobacteriaceae, isolated from Antarctic intertidal sediment</t>
  </si>
  <si>
    <t>MESOPHILIC MARINE BACTERIUM; CYTOPHAGA-ULIGINOSA ZOBELL; 1944 REICHENBACH 1989; DOKDONENSIS SP NOV.; EMENDED DESCRIPTION; SEA-WATER; RECLASSIFICATION; ALGA; CLASSIFICATION; RHIZOSPHERE</t>
  </si>
  <si>
    <t>A yellow-coloured, rod-shaped, Gram-reaction- and Gram-staining-negative, non-motile and aerobic bacterium, designated strain ZS1-8(T), was isolated from a sample of sandy intertidal sediment collected from the Antarctic coast. Flexirubin-type pigments were absent. In phylogenetic analyses based on 16S rRNA gene sequences, strain ZS1-8(T) formed a distinct phyletic line and the results indicated that the novel strain should be placed in a new genus within the family Flavobacteriaceae. In pairwise comparisons between strain ZS1-8(T) and recognized species, the levels of 16S rRNA gene sequence similarity were all &lt;93.3%. The strain required Ca2+ and K+ ions as well as NaCl for growth. Optimal growth was observed at pH 7.5-8.0, 17-19 degrees C and with 2-3% (w/v) NaCl. The major fatty acids were iso-C-15:1 G, iso-C-15:0, summed feature 3 (iso-C-15:(0) 2-OH and/or C-16:1 omega 7C), an unknown acid with an equivalent chain-length of 13.565 and iso-C-17:0 3-OH. The major respiratory quinone was MK-6. The predominant polar lipid was phosphatidylethanolamine. The genomic DNA G+C content was 43.9 mol%. Based on the phylogenetic, phenotypic and chemotaxonomic data, strain ZS1-8(T) represents a novel species in a new genus in the family Flavobacteriaceae for which the name Pricia antarctica gen. nov., sp. nov. is proposed. The type strain of the type species is ZS1-8(T) (=JCM 17291(T)=DSM 23421(T)).</t>
  </si>
  <si>
    <t>[Yu, Yong; Li, Hui-Rong; Zeng, Yin-Xin; Sun, Kun; Chen, Bo] Polar Res Inst China, SOA Key Lab Polar Sci, Shanghai 200136, Peoples R China</t>
  </si>
  <si>
    <t>Yu, Y (corresponding author), Polar Res Inst China, SOA Key Lab Polar Sci, Shanghai 200136, Peoples R China.</t>
  </si>
  <si>
    <t>yuyong@pric.gov.cn</t>
  </si>
  <si>
    <t>National Natural Science Foundation of China [30500001, 41076131, 40876097]; Natural Science Foundation of Shanghai [11ZR1441000]; Ocean Public Welfare Scientific Research Project of China [201005032-4]; Special Foundation for Comprehensive Survey of the Polar Environment [CHINARE2012-02-01]</t>
  </si>
  <si>
    <t>National Natural Science Foundation of China(National Natural Science Foundation of China (NSFC)); Natural Science Foundation of Shanghai(Natural Science Foundation of Shanghai); Ocean Public Welfare Scientific Research Project of China; Special Foundation for Comprehensive Survey of the Polar Environment</t>
  </si>
  <si>
    <t>This work was supported by the National Natural Science Foundation of China (grants 30500001, 41076131 and 40876097), the Natural Science Foundation of Shanghai (grant 11ZR1441000), the Ocean Public Welfare Scientific Research Project of China (grant 201005032-4) and the Special Foundation for Comprehensive Survey of the Polar Environment (grant CHINARE2012-02-01). The authors thank the staff of the Chinese Arctic and Antarctic Administration who supported the field work in the Antarctic.</t>
  </si>
  <si>
    <t>MICROBIOLOGY SOC</t>
  </si>
  <si>
    <t>14-16 MEREDITH ST, LONDON, ENGLAND</t>
  </si>
  <si>
    <t>1466-5034</t>
  </si>
  <si>
    <t>10.1099/ijs.0.037515-0</t>
  </si>
  <si>
    <t>WOS:000310048600028</t>
  </si>
  <si>
    <t>Kumar, PA; Srinivas, TNR; Madhu, S; Sravan, R; Singh, S; Naqvi, SWA; Mayilraj, S; Shivaji, S</t>
  </si>
  <si>
    <t>Kumar, P. Anil; Srinivas, T. N. R.; Madhu, S.; Sravan, R.; Singh, Shashi; Naqvi, S. W. A.; Mayilraj, S.; Shivaji, S.</t>
  </si>
  <si>
    <t>Cecembia lonarensis gen. nov., sp nov., a haloalkalitolerant bacterium of the family Cyclobacteriaceae, isolated from a haloalkaline lake and emended descriptions of the genera Indibacter, Nitritalea and Belliella</t>
  </si>
  <si>
    <t>CENTRAL BALTIC SEA; ET-AL. 2003; MARINE BACTERIUM; ALKALIPHILIC BACTERIUM; SURFACE-WATER; HONGIELLA YI; ALGORIPHAGUS; IDENTIFICATION; SEQUENCES; SEDIMENT</t>
  </si>
  <si>
    <t>A novel Gram-staining-negative, rod-shaped, non-motile bacterium, designated strain LW9(T), was isolated from a water sample collected from Lonar Lake of Buldhana district, Maharashtra, India. Colonies and broth cultures were reddish orange due to the presence of carotenoid pigments. Strain LW9(T) was positive for catalase, ornithine decarboxylase and lysine decarboxylase activities and negative for gelatinase, oxidase, urease and lipase activities. The predominant fatty acids were iso-C-15:0 (31.3%), iso-C-16:0 (9.3 %), anteiso-C-15:0 (7.3%), iso-C-16:1 H (6.1%), summed feature 3 (comprising C-16:1 omega 7c/C-16:1 omega 6c; 5.9%), iso-C-17:1 omega 9C (5.4%) and iso-C-17:0 3-OH (5.0%). Strain LW9(T) contained MK-7 as the major respiratory quinone. The polar lipids consisted of phosphatidylethanolamine, two unidentified aminolipids and seven unidentified lipids. The DNA G+C content of strain LW9(T) was 40.5 mol%. 16S rRNA gene sequence analysis indicated that the type strains of Indibacter alkaliphilus and Aquiflexum balticum, two members of the family Cyclobacteriaceae (phylum 'Bacteroidetes') were the most closely related strains with sequence similarities of 93.0 and 94.0%, respectively. Other members of the family Cyclobacteriaceae showed sequence similarities &lt;93.0%. Based on these phenotypic characteristics and on phylogenetic inference, strain LW9(T) is proposed as the representative of novel species in a new genus, Cecembia lonarensis gen. nov., sp. nov. The type strain of the type species, Cecembia lonarensis, is LW9(T) (=CCUG 58316(T)=KCTC 22772(T)). Emended descriptions of the genera Indibacter, Nitritalea and Belliella are also proposed.</t>
  </si>
  <si>
    <t>[Kumar, P. Anil; Srinivas, T. N. R.; Madhu, S.; Sravan, R.; Singh, Shashi; Shivaji, S.] Ctr Cellular &amp; Mol Biol, Hyderabad 500007, Andhra Pradesh, India; [Naqvi, S. W. A.] Natl Inst Oceanog, Panaji 403004, Goa, India; [Mayilraj, S.] Inst Microbial Technol, Microbial Type Culture Collect &amp; Gene Bank MTCC, Chandigarh 160036, India</t>
  </si>
  <si>
    <t>Council of Scientific &amp; Industrial Research (CSIR) - India; CSIR - Centre for Cellular &amp; Molecular Biology (CCMB); Council of Scientific &amp; Industrial Research (CSIR) - India; CSIR - National Institute of Oceanography (NIO); Council of Scientific &amp; Industrial Research (CSIR) - India; CSIR - Institute of Microbial Technology (IMTECH)</t>
  </si>
  <si>
    <t>TANUKU, SRINIVAS N R/F-1029-2013; SIngh, Shashi/AAT-2365-2020; Pinnaka, Anil Kumar/G-5063-2011</t>
  </si>
  <si>
    <t>SIngh, Shashi/0000-0001-5117-704X; shivaji, sisinthy/0000-0003-0376-4658</t>
  </si>
  <si>
    <t>National Centre for Antarctic and Ocean Research, Goa; Department of Biotechnology, New Delhi; CSIR Network Project on Exploitation of India's rich microbial diversity [NWP0006]; CSIR, Government of India</t>
  </si>
  <si>
    <t>National Centre for Antarctic and Ocean Research, Goa; Department of Biotechnology, New Delhi(Department of Biotechnology (DBT) India); CSIR Network Project on Exploitation of India's rich microbial diversity; CSIR, Government of India(Council of Scientific &amp; Industrial Research (CSIR) - India)</t>
  </si>
  <si>
    <t>S. Shivaji is thankful to the National Centre for Antarctic and Ocean Research, Goa, Department of Biotechnology, New Delhi, and the CSIR Network Project on Exploitation of India's rich microbial diversity (NWP0006) for funding. T. N. R. S. acknowledges the CSIR, Government of India, for the award of a Research Associateship.</t>
  </si>
  <si>
    <t>10.1099/ijs.0.038604-0</t>
  </si>
  <si>
    <t>WOS:000310048600034</t>
  </si>
  <si>
    <t>Sharma, M; Chen, C; Blazina, T</t>
  </si>
  <si>
    <t>Sharma, Mukul; Chen, Cynthia; Blazina, Tim</t>
  </si>
  <si>
    <t>Osmium contamination of seawater samples stored in polyethylene bottles</t>
  </si>
  <si>
    <t>ISOTOPIC COMPOSITION; NORTH-ATLANTIC; BALTIC SEA; FERROMANGANESE CRUST; ANTHROPOGENIC OSMIUM; PACIFIC-OCEAN; WATER SAMPLES; NEODYMIUM; SYSTEMATICS; TRANSPORT</t>
  </si>
  <si>
    <t>A low blank-high yield procedure for the accurate determination of seawater osmium concentration and isotope composition has been developed. The improvement in the detection limit has revealed a subtle temporal increase in the concentration of samples obtained during the GEOTRACES expeditions that were stored in high density polyethylene bottles. This increase in Os concentration is accompanied by significant decrease in the Os-187/Os-188 ratio of the water indicating substantial contamination of waters in two out of three bottles that were investigated; the third bottle, which is not contaminated, shows evidence of Os removal. In comparison, analyses of another aliquot of water stored in a Teflon bottle show no contamination. Samples collected in low density polyethylene bottles during SAFe expedition have also been contaminated. Bottle cleaning with HNO3 has directly/indirectly contributed to the bottle blank. We also find that a snow-melt sample stored in a Teflon bottle has remained uncontaminated for more than a year, despite having an Os concentration that is similar to 14 times lower than seawater. We conclude that the low level samples, such as seawater, need to be stored in Teflon bottles for accurate and precise estimate of Os concentration and isotope composition, although polypropylene bottles may be an acceptable alternative. A re-evaluation of previously published data and data obtained in the present study still indicates that Os is not a conservative element in the seawater column and that small but significant variations in the seawater Os-187/Os-188 ratio may exist with depth and among different ocean basins.</t>
  </si>
  <si>
    <t>[Sharma, Mukul; Chen, Cynthia; Blazina, Tim] Dartmouth Coll, Dept Earth Sci, Radiogen Isotope Geochem Lab, Hanover, NH 03755 USA</t>
  </si>
  <si>
    <t>Sharma, M (corresponding author), Dartmouth Coll, Dept Earth Sci, Radiogen Isotope Geochem Lab, 6105 Fairchild Hall, Hanover, NH 03755 USA.</t>
  </si>
  <si>
    <t>mukul.sharma@dartmouth.edu</t>
  </si>
  <si>
    <t>US NSF, Chemical Oceanography Program [OCE-0927285]; NSF [OCE 0751649]</t>
  </si>
  <si>
    <t>US NSF, Chemical Oceanography Program(National Science Foundation (NSF)NSF - Directorate for Geosciences (GEO)); NSF(National Science Foundation (NSF))</t>
  </si>
  <si>
    <t>This paper is part of the Intercalibration in Chemical Oceanography special issue of Limnology and Oceanography: Methods that was supported by funding from the US NSF, Chemical Oceanography Program (OCE-0927285 to Greg Cutter). We thank three anonymous reviewers and the editor Per Andersson for providing perceptive comments that led to a substantially improved paper. We are grateful to Ed Boyle, Ken Bruland, Geoff Smith, and GEOTRACES IC chief scientist Greg Cutter who made sure that we were able to obtain the samples needed for this study. We also thank Ken Bruland and Geoff Smith for collecting, bottling, and distributing the SAFe reference samples, and SAFe chief scientist Ken Johnson. FeAST-1 samples were collected by Elena Ramirez as a part of her MS at Dartmouth. We thank Pete Sedwick for hosting her and for providing the samples of the Southern Ocean. Pete Sedwick also provided the sample from Antarctic snow pack. Bernhard Peucker-Ehrenbrink and Greg Ravizza collaborated to obtain the GEOTRACES large volume samples. This study would not be possible without their critical help in working on a collaborative proposal. Finally M. S. would like to thank Bob Anderson, Roger Francois, Martin Frank, Gideon Henderson, and Catherine Jeandel in making him a part of the initial collaboration that led to the creation of the GEOTRACES. This study was supported by NSF OCE 0751649 to M.S.</t>
  </si>
  <si>
    <t>10.4319/lom.2012.10.618</t>
  </si>
  <si>
    <t>023RO</t>
  </si>
  <si>
    <t>WOS:000310052700001</t>
  </si>
  <si>
    <t>Ito, A; Sugioka, H; Suetsugu, D; Shiobara, H; Kanazawa, T; Fukao, Y</t>
  </si>
  <si>
    <t>Ito, Aki; Sugioka, Hiroko; Suetsugu, Daisuke; Shiobara, Hajime; Kanazawa, Toshihiko; Fukao, Yoshio</t>
  </si>
  <si>
    <t>Detection of small earthquakes along the Pacific-Antarctic Ridge from T-waves recorded by abyssal ocean-bottom observatories</t>
  </si>
  <si>
    <t>MARINE GEOPHYSICAL RESEARCH</t>
  </si>
  <si>
    <t>T-wave; Broadband ocean-bottom seismometers; Earthquake magnitude; Pacific-Antarctic Ridge; Small earthquake</t>
  </si>
  <si>
    <t>JAPAN; SEISMICITY; EVENTS; HONSHU; ARRAY; RISE</t>
  </si>
  <si>
    <t>A number of seismoacoustic T-wave events were observed between January 2003 and January 2004 by broadband ocean-bottom seismometers installed on the French Polynesia seafloor at depths of 4,000-5,000 m, well below the conjugate depth of the SOFAR channel. Using T-wave arrival times, we located 89 T-wave events along the Pacific-Antarctic Ridge. Among these, 63 events were not detected by land-based seismic observations of the United States Geological Survey (USGS), which was nearly twice the number of earthquakes reported by the USGS in the area during the observation period. We used a simple method to estimate earthquake magnitude from T-wave energy. The magnitudes of the events unidentified by the USGS ranged from 2.3 to 5.5, whereas magnitudes of the earthquakes reported by the USGS ranged from 4.1 to 6.2. Our study suggests that T-wave observations with abyssal ocean-bottom seismometers can improve the detection of small earthquakes and help our understanding of the seismotectonics of remote oceanic areas.</t>
  </si>
  <si>
    <t>[Ito, Aki; Sugioka, Hiroko; Suetsugu, Daisuke; Fukao, Yoshio] Japan Agcy Marine Earth Sci &amp; Technol, Yokosuka, Kanagawa 2370061, Japan; [Shiobara, Hajime; Kanazawa, Toshihiko] Univ Tokyo, Earthquake Res Inst, Bunkyo Ku, Tokyo 1130032, Japan</t>
  </si>
  <si>
    <t>Ito, A (corresponding author), Japan Agcy Marine Earth Sci &amp; Technol, 2-15 Natsushima Cho, Yokosuka, Kanagawa 2370061, Japan.</t>
  </si>
  <si>
    <t>iaki@jamstec.go.jp</t>
  </si>
  <si>
    <t>Sugioka, Hiroko/O-7371-2015; 伊藤, 亜妃/HZH-9853-2023; Sugioka, Hiroko/N-5368-2015</t>
  </si>
  <si>
    <t>伊藤, 亜妃/0000-0002-1906-5192; Sugioka, Hiroko/0000-0003-1883-4049</t>
  </si>
  <si>
    <t>Japan Society for the Promotion of Science [16253002]; Grants-in-Aid for Scientific Research [22000003, 23540505, 16253002, 23654162]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</si>
  <si>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</si>
  <si>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French Polynesia BBOBS array was deployed by a collaborative project of Japan and France. We thank Guilhem Barruol, Francois Schindele, Dominique Reymond, Alain Bonneville, and Eric Debayle for their cooperation. We also thank Captain Sadao Ishida, Fusao Saito, the crew of research vessel Yokosuka, and the Shinkai-6500 operation team for enabling the recovery dive for five BBOBSs. This work is partially supported by a Grant-in-Aid for Scientific Research (16253002) from the Japan Society for the Promotion of Science. We used the Preliminary Determination of Epicenters (PDE) earthquake list published by the USGS. Discussions with Tsutomu Takahashi are greatly appreciated. The editor and two anonymous reviewers greatly helped to improve the manuscript.</t>
  </si>
  <si>
    <t>0025-3235</t>
  </si>
  <si>
    <t>MAR GEOPHYS RES</t>
  </si>
  <si>
    <t>Mar. Geophys. Res.</t>
  </si>
  <si>
    <t>10.1007/s11001-012-9158-0</t>
  </si>
  <si>
    <t>Geochemistry &amp; Geophysics; Oceanography</t>
  </si>
  <si>
    <t>021HK</t>
  </si>
  <si>
    <t>WOS:000309875700003</t>
  </si>
  <si>
    <t>Bao, Y; Qiao, FL; Song, ZY</t>
  </si>
  <si>
    <t>Bao Ying; Qiao Fangli; Song Zhenya</t>
  </si>
  <si>
    <t>Historical simulation and twenty-first century prediction of oceanic CO2 sink and pH change</t>
  </si>
  <si>
    <t>ocean carbon cycle model; air-sea CO2 flux; anthropogenic carbon; pH value</t>
  </si>
  <si>
    <t>CIRCULATION MODEL; NORTH-ATLANTIC; CARBON; TRANSPORT; ACIDIFICATION; STORAGE</t>
  </si>
  <si>
    <t>A global ocean carbon cycle model based on the ocean general circulation model POP and the improved biogeochemical model OCMIP-2 is employed to simulate carbon cycle processes under the historically observed atmospheric CO2 concentration and different future scenarios (called Representative Concentration Pathways, or RCPs). The RCPs in this paper follow the design of Intergovernmental Panel on Climate Change (IPCC) for the Fifth Assessment Report (AR5). The model results show that the ocean absorbs CO2 from atmosphere and the absorbability will continue in the 21st century under the four RCPs. The net air-sea CO2 flux increased during the historical time and reached 1.87 Pg/a (calculated by carbon) in 2005; however, it would reach peak and then decrease in the 21st century. The ocean absorbs CO2 mainly in the mid latitude, and releases CO2 in the equator area. However, in the Antarctic Circumpolar Current (ACC) area the ocean would change from source to sink under the rising CO2 concentration, including RCP4.5, RCP6.0, and RCP8.5. In 2100, the anthropogenic carbon would be transported to the 40A degrees S in the Atlantic Ocean by the North Atlantic Deep Water (NADW), and also be transported to the north by the Antarctic Bottom Water (AABW) along the Antarctic continent in the Atlantic and Pacific oceans. The ocean pH value is also simulated by the model. The pH decreased by 0.1 after the industrial revolution, and would continue to decrease in the 21st century. For the highest concentration scenario of RCP8.5, the global averaged pH would decrease by 0.43 to reach 7.73 due to the absorption of CO2 from atmosphere.</t>
  </si>
  <si>
    <t>[Bao Ying; Qiao Fangli; Song Zhenya] State Ocean Adm, Inst Oceanog 1, Qingdao 266061, Peoples R China; [Bao Ying] Ocean Univ China, Coll Phys &amp; Environm Oceanog, Qingdao 266100, Peoples R China; [Bao Ying; Qiao Fangli; Song Zhenya] State Ocean Adm, Key Lab Marine Sci &amp; Numer Modeling, Qingdao 266061, Peoples R China</t>
  </si>
  <si>
    <t>First Institute of Oceanography, Ministry of Natural Resources; Ocean University of China</t>
  </si>
  <si>
    <t>Qiao, FL (corresponding author), State Ocean Adm, Inst Oceanog 1, Qingdao 266061, Peoples R China.</t>
  </si>
  <si>
    <t>qiaofl@fio.org.cn</t>
  </si>
  <si>
    <t>Song, Zhenya/F-9819-2013; Song, Zhenya/AAC-2044-2019</t>
  </si>
  <si>
    <t>Song, Zhenya/0000-0002-8098-5529; Song, Zhenya/0000-0002-8098-5529</t>
  </si>
  <si>
    <t>973 Project [2010CB950300, 2010CB950500]; National Natural Science Foundation of China [40730842]; Public Science and Technology Research Funds projects of ocean [201105019]; Ministry of Science and Technology of China [S2011GR0348]</t>
  </si>
  <si>
    <t>973 Project(National Basic Research Program of China); National Natural Science Foundation of China(National Natural Science Foundation of China (NSFC)); Public Science and Technology Research Funds projects of ocean; Ministry of Science and Technology of China(Ministry of Science and Technology, China)</t>
  </si>
  <si>
    <t>Foundation item: The 973 Project under contract Nos 2010CB950300 and 2010CB950500; the Key Project of the National Natural Science Foundation of China under contract No. 40730842; the Public Science and Technology Research Funds projects of ocean under contract No. 201105019; the International Cooperation Project of Ministry of Science and Technology of China under contract No. S2011GR0348.</t>
  </si>
  <si>
    <t>1869-1099</t>
  </si>
  <si>
    <t>10.1007/s13131-012-0239-3</t>
  </si>
  <si>
    <t>020ZX</t>
  </si>
  <si>
    <t>WOS:000309856200009</t>
  </si>
  <si>
    <t>Zhu, LJ</t>
  </si>
  <si>
    <t>Zhu Lijiang</t>
  </si>
  <si>
    <t>Chinese Practice in Public International Law: 2011</t>
  </si>
  <si>
    <t>CHINESE JOURNAL OF INTERNATIONAL LAW</t>
  </si>
  <si>
    <t>Chronology</t>
  </si>
  <si>
    <t>This Survey covers materials reflecting Chinese practice in 2011 relating to: I. Fundamental principles of international law (principles of non-use of force; principle of peaceful settlement of international disputes; principle of non-intervention of internal affairs; rule of law at the national and international levels); II. International law of treaties (reservations to treaties; effects of armed conflicts on treaties); III. Recognition of new states and governments (Republic of South Sudan; Libyan National Transitional Council); IV. State immunity; V. Chinas territorial integrity (Taiwan; Tibet; ChinaIndia border issue; Diaoyu Island and its affiliated islands; Nansha Islands); VI. Polar regions (Antarctic; Arctic); VII. International law of the sea (general position; Chunxiao oil and gas field in East China Sea; South China Sea; ChinaVietnam Agreement on Basic Principles Guiding Settlement of Sea Issues; marine environment; marine biodiversity beyond areas of national jurisdiction; sustainable fisheries; Commission on the Limits of the Continental Shelf; International Seabed Authority; International Tribunal for the Law of the Sea; Somalia piracy); VIII. International law on outer space; IX. International human rights law (General position; rights of the child; Human Rights Council; Implementation of human rights instruments); X. International humanitarian law (protection of civilians in armed conflicts); XI. International law on disasters (protection of persons in the event of disasters); XII. International law on arms control, disarmament and non-proliferation (general position; Protocol to the Southeast Asia Nuclear-Weapon-Free Zone Treaty; abandoned Japanese chemical weapons in China; landmines); XIII. International criminal law (International Criminal Court; the Bashir case; Mr. LIU Daqun elected as judge of international residual mechanism for criminal tribunals; UN Special Tribunal for Lebanon; scope and application of universal jurisdiction; immunity of state officials from foreign criminal jurisdiction; measures to eliminate international terrorism; decision on issues concerning strengthening anti-terrorism work; ratification of ChinaRussia Agreement on Cooperation in Fighting against Terrorism, Separatism and Extremism; UN investigation of war crimes in Sri Lanka; law enforcement cooperation along the Mekong River among China, Laos, Myanmar and Thailand; Bilateral Treaty on Extradition and Treaty on Assistance in Criminal Matters with Italy; transfer of a British suspect of pornographic crimes to the United Kingdom; transnational organized crime; international drug control; international code of conduct for information security); XIV. International environmental law (climate change; joint statement on EUs inclusion of aviation into EU emission trading scheme between China and Russia; effects of atomic radiation; use of water resources of cross-border rivers); XV. International law on international organizations (responsibility of international organizations; role of UN and its reforms; UN financing; UN peacekeeping operations; Mr. HUANG Huikang elected as member of the International Law Commission; establishment of Trilateral Cooperation Secretariat; ratification of the Third Protocol Amending the Treaty of Amity and Cooperation in Southeast Asia); XVI. International law on settlement of disputes (International Court of Justice (ICJ); Ms XUE Hanqin elected as member of the ICJ).</t>
  </si>
  <si>
    <t>China Univ Polit Sci &amp; Law CUPL, Fac Int Law, Beijing, Peoples R China</t>
  </si>
  <si>
    <t>China University of Political Science &amp; Law</t>
  </si>
  <si>
    <t>Zhu, LJ (corresponding author), China Univ Polit Sci &amp; Law CUPL, Fac Int Law, Beijing, Peoples R China.</t>
  </si>
  <si>
    <t>lijiangz@cupl.edu.cn</t>
  </si>
  <si>
    <t>1540-1650</t>
  </si>
  <si>
    <t>CHIN J INT LAW</t>
  </si>
  <si>
    <t>Chin. J. Int. Law</t>
  </si>
  <si>
    <t>10.1093/chinesejil/jms038</t>
  </si>
  <si>
    <t>International Relations; Law</t>
  </si>
  <si>
    <t>Social Science Citation Index (SSCI)</t>
  </si>
  <si>
    <t>International Relations; Government &amp; Law</t>
  </si>
  <si>
    <t>015QJ</t>
  </si>
  <si>
    <t>WOS:000309460700008</t>
  </si>
  <si>
    <t>Cloutis, EA; Hudon, P; Hiroi, T; Gaffey, MJ; Mann, P; Bell, JF</t>
  </si>
  <si>
    <t>Cloutis, E. A.; Hudon, P.; Hiroi, T.; Gaffey, M. J.; Mann, P.; Bell, J. F., III</t>
  </si>
  <si>
    <t>Spectral reflectance properties of carbonaceous chondrites: 6. CV chondrites</t>
  </si>
  <si>
    <t>Meteorites; Asteroids; Spectroscopy</t>
  </si>
  <si>
    <t>FE-57 MOSSBAUER-SPECTROSCOPY; X-RAY-DIFFRACTION; AQUEOUS ALTERATION; MINERAL CHEMISTRY; DARK INCLUSIONS; PARENT BODY; THERMAL METAMORPHISM; ELEMENT ABUNDANCES; MODAL MINERALOGY; RICH INCLUSIONS</t>
  </si>
  <si>
    <t>Multiple reflectance spectra of 11 CV chondrites have been measured to determine spectral-compositional relationships for this meteorite class and to aid the search for CV parent bodies. The reflectance of CV chondrite spectra is variable, ranging from similar to 5% to 13% at 0.56 mu m, and similar to 5% to 15% at the 0.7 mu m region local reflectance maximum. Overall slopes range from slightly blue to red for powders, while slab spectra are strongly blue-sloped. With increasing average grain size and/or removal of the finest fraction, CV spectra generally become more blue-sloped. CV spectra are characterized by ubiquitous absorption features in the 1 and 2 mu m regions. The 1 mu m region is usually characterized by a band centered near 1.05-1.08 mu m and a band or shoulder near 1.3 mu m that are characteristic of Fe-rich olivine. Band depths in the 1 mu m region for powdered CVs and slabs range from similar to 1% to 10%. The 2 mu m region is characterized by a region of broad absorption that extends beyond 2 mu m and usually includes band minima near 1.95 and 2.1 mu m; these features are characteristic of Fe2+-bearing spinel. The sample suite is not comprehensive enough to firmly establish whether spectral differences exist between CVR, CVOxA, and CVOxB subclasses, or as a function of metamorphic grade. However, we believe that the mineralogic and petrologic differences that exist between these classes, and with varying petrologic subtype (CV3.0-&gt;3.7), may not be significant enough to result in measurable spectral differences that exceed spectral variations within a subgroup, within an individual meteorite, or as a function of grain size. Terrestrial weathering seems to affect CV spectra most noticeably in the visible region, resulting in more red-sloped spectra for finds as compared to falls. The search for CV parent bodies should focus on the detection of olivine and spinel absorption bands, specifically absorption features near 1.05, 1.3, 1.95, and 2.1 mu m, as these are the most commonly seen spectral features of CV chondrites. (C) 2012 Elsevier Inc. All rights reserved.</t>
  </si>
  <si>
    <t>[Cloutis, E. A.; Mann, P.] Univ Winnipeg, Dept Geog, Winnipeg, MB R3B 2E9, Canada; [Hudon, P.] NASA, Lyndon B Johnson Space Ctr, Astromat Res &amp; Explorat Sci Off, Houston, TX 77058 USA; [Hiroi, T.] Brown Univ, Dept Geol Sci, Providence, RI 02912 USA; [Gaffey, M. J.] Univ N Dakota, Dept Space Studies, Grand Forks, ND 58202 USA; [Bell, J. F., III] Arizona State Univ, Sch Earth &amp; Space Explorat, Tempe, AZ 85287 USA</t>
  </si>
  <si>
    <t>University of Winnipeg; National Aeronautics &amp; Space Administration (NASA); NASA Johnson Space Center; Brown University; University of North Dakota Grand Forks; Arizona State University; Arizona State University-Tempe</t>
  </si>
  <si>
    <t>e.cloutis@uwinnipeg.ca; pierre.hudon@mcgill.ca; takahiro_hiroi@brown.edu; gaffey@space.edu; Jim.Bell@asu.edu</t>
  </si>
  <si>
    <t>NASA Planetary Geology and Geophysics [NNG06GJ31G]; NSERC</t>
  </si>
  <si>
    <t>NASA Planetary Geology and Geophysics(National Aeronautics &amp; Space Administration (NASA)); NSERC(Natural Sciences and Engineering Research Council of Canada (NSERC))</t>
  </si>
  <si>
    <t>We wish to thank the invaluable and generous assistance provided by many individuals which made this study possible. In particular we thank the US and Japanese Antarctic meteorite programs for recovering the majority of the samples included in this study. The RELAB facility at Brown University is a multi-user facility operated with support from NASA Planetary Geology and Geophysics Grant NNG06GJ31G, whose support is gratefully acknowledged. The PSF facility at the University of Winnipeg was established with generous support from the Canada Foundation for Innovation, the Manitoba Research Innovations Fund, and the Canadian Space Agency. This study was supported by an NSERC Discovery grant to EAC. The authors also wish to thank Julie Ziffer and an anonymous reviewer for their many helpful comments which helped improve the quality and readability of this paper.</t>
  </si>
  <si>
    <t>SEP-OCT</t>
  </si>
  <si>
    <t>10.1016/j.icarus.2012.07.007</t>
  </si>
  <si>
    <t>017VV</t>
  </si>
  <si>
    <t>WOS:000309620200030</t>
  </si>
  <si>
    <t>Bakunov, NA; Bol'shiyanov, DY; Makarov, AS</t>
  </si>
  <si>
    <t>Bakunov, N. A.; Bol'shiyanov, D. Yu; Makarov, A. S.</t>
  </si>
  <si>
    <t>The state of Lake Ladoga pollution by global 90Sr, 137Cs, and 239,240Pu</t>
  </si>
  <si>
    <t>WATER RESOURCES</t>
  </si>
  <si>
    <t>lake; artificial radionuclides; cumulative reserve; water; bed soils; water purification</t>
  </si>
  <si>
    <t>The state of radioactive pollution of Lake Ladoga has been studied. The purification half-life of lake water from Sr-90 was found to be 21.7 year. The ratio of Sr-90 storage in lake water volume to its storage in silts (0-10 cm layer) was 2: 1. Lake water purification from global Cs-137 was slower than that from Cs-137 originating from Chernobyl emergency emission because of the chronic supplement of global Cs-137 reserve by atmospheric fallouts. The behavior of Sr-90, Cs-137, and Pu-239,Pu-240 in bed soils was in agreement with the geochemical nature of the elements. By the distribution of Pu-239,Pu- 240 in bed soils, the sedimentation of substances of non-radiation nature was estimated at 0.3 and 0.5 mm/year at denting and flat relief, respectively.</t>
  </si>
  <si>
    <t>[Bakunov, N. A.; Bol'shiyanov, D. Yu; Makarov, A. S.] RF State Inst Arctic &amp; Antarctic Res Inst, St Petersburg 199397, Russia</t>
  </si>
  <si>
    <t>Bakunov, NA (corresponding author), RF State Inst Arctic &amp; Antarctic Res Inst, Ul Beringa 38, St Petersburg 199397, Russia.</t>
  </si>
  <si>
    <t>aaricoop@aari.nw.ru</t>
  </si>
  <si>
    <t>Bolshiyanov, Dmitriy D.Yu./N-2254-2015; Bakunov, Nikolay/AAB-4832-2019</t>
  </si>
  <si>
    <t>0097-8078</t>
  </si>
  <si>
    <t>1608-344X</t>
  </si>
  <si>
    <t>WATER RESOUR+</t>
  </si>
  <si>
    <t>Water Resour.</t>
  </si>
  <si>
    <t>10.1134/S0097807812050028</t>
  </si>
  <si>
    <t>Water Resources</t>
  </si>
  <si>
    <t>012KB</t>
  </si>
  <si>
    <t>WOS:000309233900006</t>
  </si>
  <si>
    <t>Jiang, Y; Hsu, WB</t>
  </si>
  <si>
    <t>Jiang, Yun; Hsu, Weibiao</t>
  </si>
  <si>
    <t>Petrogenesis of Grove Mountains 020090: An enriched lherzolitic shergottite</t>
  </si>
  <si>
    <t>PHYRIC MARTIAN BASALTS; OXYGEN FUGACITY; MINERAL CHEMISTRY; OXIDATION-STATE; UPPER-MANTLE; METEORITE; PETROLOGY; PB; SYSTEMATICS; MARS</t>
  </si>
  <si>
    <t>Grove Mountains (GRV) 020090 is a lherzolitic shergottite found in the Grove Mountains, Antarctica. It exhibits two distinct textures: poikilitic and nonpoikilitic. In poikilitic areas, large pyroxene oikocrysts enclose subhedral olivine and chromite chadacrysts. Pyroxene oikocrysts are zoned from pigeonite cores to augite rims. In nonpoikilitic areas, olivine, pyroxene, and interstitial maskelynite occur as major phases, and minor phases include chromite and merrillite. Compared with typical lherzolitic shergottites, GRV 020090 contains a distinctly higher abundance of maskelynite (19 vol%). Olivine and pyroxene are more ferroan (Fa2840, En5772Fs2431Wo414 and En4653Fs1721Wo2635), and maskelynite is more alkali-rich (Ab4365Or27). The major phases, whole-rock (estimated) and fusion crust of GRV 020090, are relatively enriched in light rare earth elements (LREE), similar to those of the geochemically enriched basaltic shergottites, but distinct from those of LREE-depleted lherzolitic shergottites. Combined with a high oxygen fugacity of log fO2 = QFM - 1.41 +/- 0.04 (relative to the quartz-fayalite-magnetite buffer), it is clear that GRV 020090 sampled from an oxidized and enriched mantle reservoir similar to those of other enriched shergottites. The calculated REE abundances and patterns of the melts in equilibrium with the cores of major phases are parallel to but higher than that of the whole rock, suggesting that GRV 020090 originated from a single parent magma and experienced progressive fractional crystallization in a closed system. The crystallization age recorded by baddeleyite is 192 +/- 10 (2s) Ma, consistent with the young internal isochron ages of enriched shergottites. Baddeleyite dating results further demonstrated that the young ages, rather than ancient ages (&gt;4 Ga), appear to represent the crystallization of Martian surface lava flow. GRV 020090 shares many similarities with Roberts Massif (RBT) 04261/2, the first enriched lherzolitic shergottite. Detailed comparisons suggest that these two rocks are petrologically and geochemically closely related, and probably launch paired.</t>
  </si>
  <si>
    <t>[Hsu, Weibiao] China Univ Geosci, Fac Earth Sci, State Key Lab Geol Proc &amp; Mineral Resources, Wuhan 430074, Peoples R China; [Jiang, Yun] Chinese Acad Sci, Purple Mt Observ, Lab Astrochem &amp; Planetary Sci, Nanjing 210008, Jiangsu, Peoples R China</t>
  </si>
  <si>
    <t>China University of Geosciences; Chinese Academy of Sciences; Nanjing Institute of Astronomical Optics &amp; Technology, NAOC, CAS; Purple Mountain Observatory, CAS</t>
  </si>
  <si>
    <t>Hsu, WB (corresponding author), China Univ Geosci, Fac Earth Sci, State Key Lab Geol Proc &amp; Mineral Resources, Wuhan 430074, Peoples R China.</t>
  </si>
  <si>
    <t>wbxu@pmo.ac.cn</t>
  </si>
  <si>
    <t>National Natural Science Foundation of China [41173076, 10921063]; Polar Strategic Research Foundation of China [20100207]; Minor Planet Foundation of China</t>
  </si>
  <si>
    <t>National Natural Science Foundation of China(National Natural Science Foundation of China (NSFC)); Polar Strategic Research Foundation of China; Minor Planet Foundation of China</t>
  </si>
  <si>
    <t>Sample used in this study was provided by the Antarctic Meteorite Repository of Polar Research Institute of China (PRIC). The authors thank A. Irving, K. Misawa, and R. Korotev for their constructive reviews. This work was supported by the National Natural Science Foundation of China (Grant No. 41173076 and 10921063), by the Polar Strategic Research Foundation of China (20100207), and by the Minor Planet Foundation of China.</t>
  </si>
  <si>
    <t>10.1111/j.1945-5100.2012.01404.x</t>
  </si>
  <si>
    <t>012KC</t>
  </si>
  <si>
    <t>WOS:000309234000002</t>
  </si>
  <si>
    <t>Gordon, AL</t>
  </si>
  <si>
    <t>Gordon, Arnold L.</t>
  </si>
  <si>
    <t>Circumpolar View of the Southern Ocean from 1962 to 1992</t>
  </si>
  <si>
    <t>OCEANOGRAPHY</t>
  </si>
  <si>
    <t>RISE</t>
  </si>
  <si>
    <t>The 1962-1992 period spanning the research vessel Eltanin/Islas Orcadas expeditions to Ice Station Weddell, and the following World Ocean Circulation Experiment, may be viewed as the closing phase of an era of broad-based, circumpolar surveys of the Southern Ocean. Today's investigations of the spatial and temporal dimensions of this complex ocean and its coupling to the climate system integrate observations from ships, aircraft, satellites, tethered instrumentation, and autonomous vehicles with numerical models. However, the adventure of obtaining Southern Ocean observations remains the same, requiring not just the right people and technology, but also special ships capable of working within the harsh Antarctic environment, where unknowns await discovery.</t>
  </si>
  <si>
    <t>Columbia Univ, Lamont Doherty Earth Observ, Palisades, NY USA</t>
  </si>
  <si>
    <t>Columbia University</t>
  </si>
  <si>
    <t>Gordon, AL (corresponding author), Columbia Univ, Lamont Doherty Earth Observ, Palisades, NY USA.</t>
  </si>
  <si>
    <t>agordon@ldeo.columbia.edu</t>
  </si>
  <si>
    <t>Gordon, Arnold L./H-1049-2011</t>
  </si>
  <si>
    <t>Gordon, Arnold L./0000-0001-6480-6095</t>
  </si>
  <si>
    <t>National Science Foundation, Office of Polar Programs</t>
  </si>
  <si>
    <t>National Science Foundation, Office of Polar Programs(National Science Foundation (NSF))</t>
  </si>
  <si>
    <t>My years of Southern Ocean research were funded by the National Science Foundation, Office of Polar Programs. I appreciate the support of a string of chief scientists and program managers, among them Albert Crary, Louis Quam, John Kelley, Victor Neal, Peter Wilkniss, Bernard Leftau, and most recently Peter Milne. Lamont-Doherty Earth Observatory contribution number 7562.</t>
  </si>
  <si>
    <t>OCEANOGRAPHY SOC</t>
  </si>
  <si>
    <t>ROCKVILLE</t>
  </si>
  <si>
    <t>P.O. BOX 1931, ROCKVILLE, MD USA</t>
  </si>
  <si>
    <t>1042-8275</t>
  </si>
  <si>
    <t>10.5670/oceanog.2012.69</t>
  </si>
  <si>
    <t>005UC</t>
  </si>
  <si>
    <t>WOS:000308774600005</t>
  </si>
  <si>
    <t>Steinberg, DK; Martinson, DG; Costa, DP</t>
  </si>
  <si>
    <t>Steinberg, Deborah K.; Martinson, Douglas G.; Costa, Daniel P.</t>
  </si>
  <si>
    <t>TWO DECADES OF PELAGIC ECOLOGY OF THE WESTERN ANTARCTIC PENINSULA</t>
  </si>
  <si>
    <t>CIRCUMPOLAR DEEP-WATER; CRAB-EATER SEALS; CONTINENTAL-SHELF; EUPHAUSIA-SUPERBA; MARGUERITE BAY; CLIMATE-CHANGE; UPPER OCEAN; ZONE WEST; PHYTOPLANKTON; VARIABILITY</t>
  </si>
  <si>
    <t>Significant strides in our understanding of the marine pelagic ecosystem of the Western Antarctic Peninsula (WAP) region have been made over the past two decades, resulting from research conducted aboard ARSV Laurence M. Gould and RVIB Nathaniel B. Palmer. These advances range from an understanding of the physical forcing on biology, to food web ecology (from microbes to top predators), to biogeochemical cycling, often in the larger context of rapid climate warming in the region. The proximity of the WAP to the Antarctic Circumpolar Current and WAP continental shelf bathymetry affects the hydrography and helps structure the biological community. Seasonal, spatial, and interannual variability at all levels of the food web, as well as the mechanisms supporting their production, are now more clearly understood. New tools and technologies employed in the region were critical for making this research possible. As a result, our knowledge of the WAP pelagic ecosystem during a time of rapid climate change has vastly improved.</t>
  </si>
  <si>
    <t>[Steinberg, Deborah K.] Virginia Inst Marine Sci, Gloucester Point, VA 23062 USA; [Martinson, Douglas G.] Columbia Univ, Lamont Doherty Earth Observ, Palisades, NY USA; [Costa, Daniel P.] Univ Calif Santa Cruz, Santa Cruz, CA 95064 USA</t>
  </si>
  <si>
    <t>William &amp; Mary; Virginia Institute of Marine Science; Columbia University; University of California System; University of California Santa Cruz</t>
  </si>
  <si>
    <t>Steinberg, DK (corresponding author), Virginia Inst Marine Sci, Gloucester Point, VA 23062 USA.</t>
  </si>
  <si>
    <t>debbies@vims.edu</t>
  </si>
  <si>
    <t>Carlos, Universidade Federal de São/W-8832-2019; Costa, Daniel Paul/E-2616-2013</t>
  </si>
  <si>
    <t>Carlos, Universidade Federal de São/0000-0002-0334-3899; Costa, Daniel Paul/0000-0002-0233-5782; Steinberg, Deborah K./0000-0001-9884-4655</t>
  </si>
  <si>
    <t>National Science Foundation Office of Polar Programs [OPP-0823101, OPP-0838937]; Directorate For Geosciences [0838937] Funding Source: National Science Foundation; Office of Polar Programs (OPP) [0838937] Funding Source: National Science Foundation</t>
  </si>
  <si>
    <t>National Science Foundation Office of Polar Programs(National Science Foundation (NSF)NSF - Directorate for Geosciences (GEO)); Directorate For Geosciences(National Science Foundation (NSF)NSF - Directorate for Geosciences (GEO)); Office of Polar Programs (OPP)(National Science Foundation (NSF)NSF - Directorate for Geosciences (GEO))</t>
  </si>
  <si>
    <t>We would like to thank the captains and crews of the Palmer and the Gould, as well as the staff and technicians of Antarctic Support Services Inc. and Raytheon Inc. for their significant roles in support of the research described in this article. A helpful review by M. Landry improved the manuscript. We also appreciate H. Ducklow's contributions to the paper. DKS and DGM were supported by National Science Foundation Office of Polar Programs grant OPP-0823101, and DPC by OPP-0838937 in the writing of this article.</t>
  </si>
  <si>
    <t>10.5670/oceanog.2012.75</t>
  </si>
  <si>
    <t>gold, Green Submitted, Green Published</t>
  </si>
  <si>
    <t>WOS:000308774600011</t>
  </si>
  <si>
    <t>Sprintall, J; Chereskin, TK; Sweeney, C</t>
  </si>
  <si>
    <t>Sprintall, Janet; Chereskin, Teresa K.; Sweeney, Colm</t>
  </si>
  <si>
    <t>HIGH-RESOLUTION UNDERWAY UPPER OCEAN AND SURFACE ATMOSPHERIC OBSERVATIONS IN DRAKE PASSAGE SYNERGISTIC MEASUREMENTS FOR CLIMATE SCIENCE</t>
  </si>
  <si>
    <t>ANTARCTIC CIRCUMPOLAR CURRENT; SOUTHERN-OCEAN; MOMENTUM FLUXES; TEMPERATURE; VARIABILITY; HEAT; TRANSPORT; LAYER; PENINSULA; PRESSURE</t>
  </si>
  <si>
    <t>This article highlights recent and ongoing studies that analyze in situ underway upper ocean and surface atmospheric observations from frequently repeated transects by the Antarctic Research and Supply Vessel Laurence M. Gould in Drake Passage. High-resolution measurements of upper ocean temperature, salinity, and velocity, along with concurrent shipboard meteorological, surface water CO2, and nutrient sampling have been routinely acquired aboard the Gould since the late 1990s. There are significant benefits and synergy of air-sea observations when they are measured at similar temporal and spatial scales from the same platform. The multiyear measurements have been used to examine seasonal and spatial variability in upper ocean heat content, Antarctic Circumpolar Current transport variability, eddy heat and momentum fluxes, frontal variability, validation of satellite and model-based air-sea fluxes, and the upper ocean response to climate variability. At present, the Gould provides the only year-round shipboard air-sea measurements in the Southern Ocean. Collectively, the measurements in Drake Passage have provided much insight into the characteristics, mechanisms, and impacts of the processes and changes that are occurring within the Southern Ocean.</t>
  </si>
  <si>
    <t>[Sprintall, Janet; Chereskin, Teresa K.] Univ Calif San Diego, Scripps Inst Oceanog, La Jolla, CA 92093 USA; [Sweeney, Colm] Univ Colorado, Boulder, CO 80309 USA</t>
  </si>
  <si>
    <t>University of California System; University of California San Diego; Scripps Institution of Oceanography; University of Colorado System; University of Colorado Boulder</t>
  </si>
  <si>
    <t>Sprintall, J (corresponding author), Univ Calif San Diego, Scripps Inst Oceanog, La Jolla, CA 92093 USA.</t>
  </si>
  <si>
    <t>jsprintall@ucsd.edu</t>
  </si>
  <si>
    <t>Sweeney, Colm/AAE-9291-2019</t>
  </si>
  <si>
    <t>Chereskin, Teresa/0000-0003-1214-0978; Sweeney, Colm/0000-0002-4517-0797</t>
  </si>
  <si>
    <t>National Science Foundation's Office of Polar Programs [ANT-9816226/0338103/0838750, ANT-0003618/0337998/0943818, ANT-0003609/0338248/0636975]; Division of Ocean Sciences [OCE-0850350]; Directorate For Geosciences; Office of Polar Programs (OPP) [0944761] Funding Source: National Science Foundation; Division Of Ocean Sciences; Directorate For Geosciences [0850350] Funding Source: National Science Foundation; Office of Polar Programs (OPP); Directorate For Geosciences [0943818, 0838750] Funding Source: National Science Foundation</t>
  </si>
  <si>
    <t>National Science Foundation's Office of Polar Programs(National Science Foundation (NSF)); Division of Ocean Sciences(National Science Foundation (NSF)NSF - Directorate for Geosciences (GEO)); Directorate For Geosciences; Office of Polar Programs (OPP)(National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t>
  </si>
  <si>
    <t>The time series measurements are supported by the National Science Foundation's Office of Polar Programs grants ANT-9816226/0338103/0838750 (ADCP); ANT-0003618/0337998/0943818 (XBT/XCTD); ANT-0003609/0338248/0636975 (carbon); and Division of Ocean Sciences grant OCE-0850350 (air-sea fluxes).</t>
  </si>
  <si>
    <t>10.5670/oceanog.2012.77</t>
  </si>
  <si>
    <t>WOS:000308774600013</t>
  </si>
  <si>
    <t>Rack, FR; Zook, R; Levy, RH; Limeburner, R; Stewart, C; Williams, MJM; Luyendyk, B</t>
  </si>
  <si>
    <t>Rack, Frank R.; Zook, Robert; Levy, Richard H.; Limeburner, Richard; Stewart, Craig; Williams, Michael J. M.; Luyendyk, Bruce</t>
  </si>
  <si>
    <t>ANDRILL Coulman High Project Site</t>
  </si>
  <si>
    <t>What Lies Beneath? Interdisciplinary Outcomes of the ANDRILL Coulman High Project Site Surveys on the Ross Ice Shelf</t>
  </si>
  <si>
    <t>BENTHIC COMMUNITIES; SEA; CIRCULATION; HISTORY; GROWTH; IMPACT</t>
  </si>
  <si>
    <t>Extensive field operations were conducted on the northwestern Ross Ice Shelf in Antarctica from November 2010 through January 2011. A significant amount of equipment, supplies, and people safely traversed from McMurdo Station to establish a series of combined United StatesNew Zealand field camps at locations northeast of Ross Island. The ANDRILL (ANtarctic geological DRILLing) hot water drill system was used to melt multiple access holes through the ice shelf at each site to deploy a variety of sediment coring tools, cameras, and oceanographic instruments, as well as a remotely operated vehicle to characterize the ice shelf and sub-ice environment. These studies will contribute to future proposed geological drilling as part of the ANDRILL Coulman High Project.</t>
  </si>
  <si>
    <t>[Rack, Frank R.] Univ Nebraska, Dept Earth &amp; Atmospher Sci, Lincoln, NE 68588 USA; [Rack, Frank R.; Zook, Robert] Univ Nebraska, ANDRILL Sci Management Off, Lincoln, NE USA; [Levy, Richard H.] GNS Sci, Lower Hutt, New Zealand; [Limeburner, Richard] Woods Hole Oceanog Inst, Dept Phys Oceanog, Woods Hole, MA 02543 USA; [Stewart, Craig] Univ Cambridge, Scott Polar Res Inst, Cambridge CB2 1ER, England; [Williams, Michael J. M.] Natl Inst Water &amp; Atmospher Res, Wellington, New Zealand; [Luyendyk, Bruce] Univ Calif Santa Barbara, Earth Res Inst, Santa Barbara, CA 93106 USA</t>
  </si>
  <si>
    <t>University of Nebraska System; University of Nebraska Lincoln; University of Nebraska System; University of Nebraska Lincoln; GNS Science - New Zealand; Woods Hole Oceanographic Institution; University of Cambridge; National Institute of Water &amp; Atmospheric Research (NIWA) - New Zealand; University of California System; University of California Santa Barbara</t>
  </si>
  <si>
    <t>Rack, FR (corresponding author), Univ Nebraska, Dept Earth &amp; Atmospher Sci, Lincoln, NE 68588 USA.</t>
  </si>
  <si>
    <t>frack2@unl.edu</t>
  </si>
  <si>
    <t>Williams, Michael/H-9674-2014; Levy, Richard H/E-2477-2011; Stewart, Craig/HTL-6429-2023</t>
  </si>
  <si>
    <t>Stewart, Craig/0000-0002-3906-1594; Levy, Richard/0000-0002-8783-0167</t>
  </si>
  <si>
    <t>US NSF-OPP Grant [ANT-0838914]; NZ Foundation for Research, Science and Technology; US Antarctic Program; Antarctica New Zealand; Directorate For Geosciences; Office of Polar Programs (OPP) [0839108] Funding Source: National Science Foundation</t>
  </si>
  <si>
    <t>US NSF-OPP Grant; NZ Foundation for Research, Science and Technology(New Zealand Foundation for Research, Science and Technology); US Antarctic Program; Antarctica New Zealand; Directorate For Geosciences; Office of Polar Programs (OPP)(National Science Foundation (NSF)NSF - Directorate for Geosciences (GEO))</t>
  </si>
  <si>
    <t>This work is funded by US NSF-OPP Grant ANT-0838914 and by the NZ Foundation for Research, Science and Technology. Any opinions, findings, and conclusions or recommendations expressed in this material are those of the author(s) and do not necessarily reflect the views of the National Science Foundation. We thank Steven Fischbein for his assistance with drafting figures for this contribution. We are grateful for the support we've received from both the US Antarctic Program and Antarctica New Zealand, and for the field use of shared ANDRILL consortium equipment. The figures in this manuscript are courtesy of the ANDRILL Science Management Office, University of Nebraska-Lincoln.</t>
  </si>
  <si>
    <t>10.5670/oceanog.2012.79</t>
  </si>
  <si>
    <t>WOS:000308774600015</t>
  </si>
  <si>
    <t>Smith, WO; Sedwick, PN; Arrigo, KR; Ainley, DG; Orsi, AH</t>
  </si>
  <si>
    <t>Smith, Walker O., Jr.; Sedwick, Peter N.; Arrigo, Kevin R.; Ainley, David G.; Orsi, Alejandro H.</t>
  </si>
  <si>
    <t>THE ROSS SEA IN A SEA OF CHANGE</t>
  </si>
  <si>
    <t>ANTARCTIC CIRCUMPOLAR CURRENT; PHYTOPLANKTON GROWTH; OCEAN CIRCULATION; ICE; VARIABILITY; ABUNDANCE; WESTERN; IRON; FLUXES; NUTRIENTS</t>
  </si>
  <si>
    <t>The Ross Sea, the most productive region in the Antarctic, reaches farther south than any body of water in the world. While its food web is relatively intact, its oceanography, biogeochemistry, and sea ice coverage have been changing dramatically, and likely will continue to do so in the future. Sea ice cover and persistence have been increasing, in contrast to the Amundsen-Bellingshausen sector, which has resulted in reduced open water duration for its biota. Models predict that as the ozone hole recovers, ice cover will begin to diminish. Currents on the continental shelf will likely change in the coming century, with a projected intensification of flow leading to altered deep ocean ventilation. Such changes in ice and circulation will lead to altered plankton distributions and composition, but it is difficult at present to predict the nature of these changes. Iron and irradiance play central roles in regulating phytoplankton production in the Ross Sea, but the impacts of oceanographic changes on the biogeochemistry of iron are unclear. Unlike other Southern Ocean regions, where continental shelves are very narrow and Antarctic krill dominates the herbivorous fauna, the broad shelf of the Ross Sea is dominated by crystal krill and silverfish, which are the major prey items for higher trophic levels. At present, the Ross Sea is considered to be one of the most species-rich areas of the Southern Ocean and a biodiversity hotspot due to its heterogeneous habitats. Despite being among the best-studied regions in the entire Southern Ocean, accurate predictions of the impacts of climate change on the oceanography and ecology of the Ross Sea remain fraught with uncertainty.</t>
  </si>
  <si>
    <t>[Smith, Walker O., Jr.] Virginia Inst Marine Sci, Coll William &amp; Mary, Gloucester Point, VA 23062 USA; [Sedwick, Peter N.] Old Dominion Univ, Dept Ocean Earth &amp; Atmospher Sci, Norfolk, VA USA; [Arrigo, Kevin R.] Stanford Univ, Dept Environm Earth Syst Sci, Palo Alto, CA 94304 USA; [Ainley, David G.] HT Harvey &amp; Associates, San Jose, CA USA; [Orsi, Alejandro H.] Texas A&amp;M Univ, Dept Oceanog, College Stn, TX 77843 USA</t>
  </si>
  <si>
    <t>William &amp; Mary; Virginia Institute of Marine Science; Old Dominion University; Stanford University; Texas A&amp;M University System; Texas A&amp;M University College Station</t>
  </si>
  <si>
    <t>Smith, WO (corresponding author), Virginia Inst Marine Sci, Coll William &amp; Mary, Gloucester Point, VA 23062 USA.</t>
  </si>
  <si>
    <t>wos@vims.edu</t>
  </si>
  <si>
    <t>Arrigo, Kevin/0000-0002-7364-876X; Sedwick, Peter/0000-0003-0663-8323</t>
  </si>
  <si>
    <t>National Science Foundation [ANT-0944165, ANT-0944727, ANT-0839005, ANT-0944411]</t>
  </si>
  <si>
    <t>We thank C. Linden for providing the bathymetric map of the Ross Sea, and D. McGillicuddy, J. Klinck, and S. Stammerjohn for constructive comments. The following National Science Foundation grants supported this research: ANT-0944165 (WOS and PS), ANT-0944727 (KRA), ANT-0839005 (AHO), and ANT-0944411 (DGA).</t>
  </si>
  <si>
    <t>10.5670/oceanog.2012.80</t>
  </si>
  <si>
    <t>gold</t>
  </si>
  <si>
    <t>WOS:000308774600016</t>
  </si>
  <si>
    <t>Shevenell, AE; Bohaty, SM</t>
  </si>
  <si>
    <t>Shevenell, Amelia E.; Bohaty, Steven M.</t>
  </si>
  <si>
    <t>Southern Exposure: New Paleoclimate Insights From Southern Ocean and Antarctic Margin Sediments</t>
  </si>
  <si>
    <t>ATMOSPHERIC CARBON-DIOXIDE; MIOCENE CLIMATIC TRANSITION; LAST GLACIAL MAXIMUM; GLOBAL SEA-LEVEL; ICE-SHEET; PENINSULA REGION; PALMER DEEP; RECORD; WEST; EVOLUTION</t>
  </si>
  <si>
    <t>Much of what is known about the evolution of Antarctica's cryosphere in the geologic past is derived from ice-distal deep-sea sedimentary records. Recent advances in drilling technology and climate proxy methods have made it possible to retrieve and interpret high-quality ice-proximal sedimentary sequences from Antarctica's margins and the Southern Ocean. These records contain a wealth of information about the individual histories of the East and West Antarctic Ice Sheets and associated temperature change in the circum-Antarctic seas. Emerging studies of Antarctic drill cores provide evidence of dynamic climate variability on both short and long timescales over the past 20 million years. This geologic information is critical for testing and improving computer model simulations used to predict future environmental change in the polar regions. Identifying the mechanistic links between past Antarctic ice-volume fluctuations and oceanographic change is necessary for understanding Earth's long-term climate evolution. While recent successes highlight the value of ice-proximal records, additional scientific drilling and climate proxy development are required to improve current knowledge of Antarctica's complex paleoenvironmental history.</t>
  </si>
  <si>
    <t>[Shevenell, Amelia E.] Univ S Florida, Coll Marine Sci, St Petersburg, FL 33701 USA; [Bohaty, Steven M.] Univ Southampton, Natl Oceanog Ctr, Southampton, Hants, England</t>
  </si>
  <si>
    <t>State University System of Florida; University of South Florida; University of Southampton; NERC National Oceanography Centre</t>
  </si>
  <si>
    <t>Shevenell, AE (corresponding author), Univ S Florida, Coll Marine Sci, St Petersburg, FL 33701 USA.</t>
  </si>
  <si>
    <t>ashevenell@usf.edu</t>
  </si>
  <si>
    <t>shevenell, Amelia/A-4161-2009; Shevenell, Amelia E/C-2757-2015</t>
  </si>
  <si>
    <t>10.5670/oceanog.2012.82</t>
  </si>
  <si>
    <t>WOS:000308774600018</t>
  </si>
  <si>
    <t>Nitsche, FO; Wellner, JS; Bart, P; O'Hara, S; Gavahan, K</t>
  </si>
  <si>
    <t>Nitsche, Frank O.; Wellner, Julia S.; Bart, Philip; O'Hara, Suzanne; Gavahan, Kathleen</t>
  </si>
  <si>
    <t>SEEING THE SEAFLOOR DISCOVERIES OF THE RVIB NATHANIEL B. PALMER MULTIBEAM SYSTEMS</t>
  </si>
  <si>
    <t>ANTARCTIC ICE-SHEET; GLACIAL GEOMORPHIC FEATURES; CONTINENTAL-SHELF; ROSS SEA; RETREAT; STREAMS</t>
  </si>
  <si>
    <t>The detailed seafloor topography around Antarctica was virtually unknown until RVIB Nathaniel B. Palmer and other ships started to collect multibeam swath measurements in the 1990s. These new, high-resolution bathymetric data allowed the creation of topographic maps of the Antarctic continental shelf and rise with unprecedented detail. The multibeam data revealed glacial morphological features that allowed reconstruction of paleo-ice flow and maximum ice extent of the formerly glaciated continental margin. Furthermore, these data provided the basis for new insights into the continent's tectonic evolution and defined the nature of marine biological habitats in polar regions.</t>
  </si>
  <si>
    <t>[Nitsche, Frank O.; O'Hara, Suzanne] Columbia Univ, Lamont Doherty Earth Observ, Palisades, NY USA; [Wellner, Julia S.] Univ Houston, Houston, TX USA; [Bart, Philip] Louisiana State Univ, Baton Rouge, LA 70803 USA; [Gavahan, Kathleen] GHG Corp, Centennial, CO USA</t>
  </si>
  <si>
    <t>Columbia University; University of Houston System; University of Houston; Louisiana State University System; Louisiana State University</t>
  </si>
  <si>
    <t>Nitsche, FO (corresponding author), Columbia Univ, Lamont Doherty Earth Observ, Palisades, NY USA.</t>
  </si>
  <si>
    <t>fnitsche@ldeo.columbia.edu</t>
  </si>
  <si>
    <t>Nitsche, Frank O/A-9343-2009</t>
  </si>
  <si>
    <t>Nitsche, Frank O/0000-0002-4137-547X</t>
  </si>
  <si>
    <t>Directorate For Geosciences; Office of Polar Programs (OPP) [0739330] Funding Source: National Science Foundation</t>
  </si>
  <si>
    <t>Directorate For Geosciences; Office of Polar Programs (OPP)(National Science Foundation (NSF)NSF - Directorate for Geosciences (GEO))</t>
  </si>
  <si>
    <t>10.5670/oceanog.2012.87</t>
  </si>
  <si>
    <t>WOS:000308774600023</t>
  </si>
  <si>
    <t>Maksym, T; Stammerjohn, SE; Ackley, S; Massom, R</t>
  </si>
  <si>
    <t>Maksym, Ted; Stammerjohn, Sharon E.; Ackley, Stephen; Massom, Rob</t>
  </si>
  <si>
    <t>Antarctic Sea Ice-A Polar Opposite?</t>
  </si>
  <si>
    <t>WEDDELL-SEA; SOUTHERN-OCEAN; CLIMATE-CHANGE; PACK-ICE; THICKNESS DISTRIBUTION; SNOW ACCUMULATION; WINTER ICE; ROSS; BELLINGSHAUSEN; PENINSULA</t>
  </si>
  <si>
    <t>As the world's ice diminishes in the face of climate change from the dramatic decline in Arctic sea ice, to thinning at the margins of both the Greenland and Antarctic ice sheets, to retreating mountain glaciers the world over Antarctic sea ice presents something of a paradox. The trend in total sea ice extent in the Antarctic has remained steady, or even increased slightly, over the past three decades, confounding climate model predictions showing moderate to strong declines. This apparent intransigence masks dramatic regional trends; declines in sea ice in the Bellingshausen Sea region that rival the high-profile decline in the Arctic have been matched by opposing increases in the Ross Sea. Much of the explanation lies in the unique nature of the Antarctic sea ice zone. Its position surrounding the continent and exposure to the high-energy wind and wave fields of the open Southern Ocean shape both its properties and its connection to the atmosphere and ocean in ways very different from the Arctic. Sea ice extent and variability are strongly driven by large-scale climate variability patterns such as the El Nino-Southern Oscillation and the Southern Annular Mode. Because many of these patterns have opposing effects in different regions around the continent, decreases in one region are often accompanied by similar, opposing increases in another. Yet, the failure of climate models to capture either the overall or regional behavior also reflects, in part, a poor understanding of sea ice processes. Considerable insight has been gained into the nature of these processes over the past several decades through field expeditions aboard icebreakers. However, much remains to be discovered about the nature of Antarctic sea ice; its connections with the ocean, atmosphere, and ecosystem; and its complex response to present and future climate change.</t>
  </si>
  <si>
    <t>[Maksym, Ted] Woods Hole Oceanog Inst, Woods Hole, MA 02543 USA; [Stammerjohn, Sharon E.] Univ Colorado, Inst Arctic &amp; Alpine Res, Boulder, CO 80309 USA; [Ackley, Stephen] Univ Texas San Antonio, San Antonio, TX USA; [Massom, Rob] Australian Antarctic Div, Kingston, Tas, Australia; [Massom, Rob] Antarctic Climate &amp; Ecosyst Cooperat Res Ctr, Hobart, Tas, Australia</t>
  </si>
  <si>
    <t>Woods Hole Oceanographic Institution; University of Colorado System; University of Colorado Boulder; University of Texas System; University of Texas at San Antonio (UTSA); Australian Antarctic Division; Antarctic Climate &amp; Ecosystems Cooperative Research Centre (ACE CRC)</t>
  </si>
  <si>
    <t>Maksym, T (corresponding author), Woods Hole Oceanog Inst, Woods Hole, MA 02543 USA.</t>
  </si>
  <si>
    <t>tmaksym@whoi.edu</t>
  </si>
  <si>
    <t>Massom, Robert/0000-0003-1533-5084; STAMMERJOHN, SHARON/0000-0002-1697-8244</t>
  </si>
  <si>
    <t>Australian Government's Cooperative Research Centre programme through the ACE CRC; AAS [3024, 4116]; AAD CPC [18]; Office of Polar Programs (OPP); Directorate For Geosciences [0838975, 0839053] Funding Source: National Science Foundation</t>
  </si>
  <si>
    <t>Australian Government's Cooperative Research Centre programme through the ACE CRC(Australian GovernmentDepartment of Industry, Innovation and ScienceCooperative Research Centres (CRC) Programme); AAS; AAD CPC; Office of Polar Programs (OPP); Directorate For Geosciences(National Science Foundation (NSF)NSF - Directorate for Geosciences (GEO))</t>
  </si>
  <si>
    <t>Rob Massom was supported by the Australian Government's Cooperative Research Centre programme through the ACE CRC, and this work contributes to AAS Projects 3024 and 4116 and AAD CPC Project 18.</t>
  </si>
  <si>
    <t>10.5670/oceanog.2012.88</t>
  </si>
  <si>
    <t>WOS:000308774600024</t>
  </si>
  <si>
    <t>Bart, PJ; De Santis, L</t>
  </si>
  <si>
    <t>Bart, Philip J.; De Santis, Laura</t>
  </si>
  <si>
    <t>Glacial Intensification During the Neogene A Review of Seismic Stratigraphic Evidence from the Ross Sea, Antarctica, Continental Shelf</t>
  </si>
  <si>
    <t>SHEET GROUNDING EVENTS; DRY VALLEYS REGION; TROUGH-MOUTH FAN; ICE-SHEET; EAST ANTARCTICA; SEDIMENTARY PROCESSES; VICTORIA LAND; WEDDELL SEA; MARGIN; RECORD</t>
  </si>
  <si>
    <t>Seismic stratigraphic and drill data from Antarctic continental margins have provided much direct evidence concerning ice sheet evolution as Earth's climate cooled from the warmth of the Eocene. Seismic facies analyses and correlations to sediment cores from Deep Sea Drilling Project Leg 28 drill sites show that the Ross Sea, the southwestern Pacific gateway of West Antarctica, was still mostly free of grounded ice for similar to 6 million years after Oi-1, the large-amplitude oxygen-isotope shift that signaled the abrupt onset of the current Antarctic glaciation. In the Ross Sea, our analysis shows that West Antarctic glaciation had begun by the late Oligocene, much earlier than usually interpreted from the paleoceanographic proxy data. Continental ice probably existed on Marie Bird Land and other highland areas of the West Antarctica. In the central Ross Sea, ice caps nucleated on the subaerially elevated basement horst blocks of the Central and Coulman Highs. Ice caps waxed and waned across the shallow-marine platforms rimming these broad basement uplifts. These temperate glacial systems delivered much sediment to the surrounding deepwater shelf basins. Ice cap oscillations during the early and middle Miocene also included significant intervals of grounded ice retreat and resumption of widespread marine sedimentation. By the end of the middle Miocene, glaciation intensified, local ice caps coalesced, and grounded ice with cross-shelf ice streams eventually extended across the entire Ross Sea continental shelf. Antarctic climate shifted from polar to temperate conditions during this time and ice streams advanced to the shelf edge. Full-bodied West Antarctic Ice Sheet advances continued and even occurred during the warmer-than-present early Pliocene. As a consequence of widespread and progressive glacial erosion, the shelf overdeepened in the latest Miocene. The surprisingly few advances of grounded ice preserved in Plio-Pleistocene strata suggest that the record is amalgamated and/or otherwise below the resolution of seismic data.</t>
  </si>
  <si>
    <t>[Bart, Philip J.] Louisiana State Univ, Dept Geol &amp; Geophys, Baton Rouge, LA 70803 USA; [De Santis, Laura] Ist Nazl Oceanog &amp; Geofis Sperimentale, Dept Geophys Lithosphere, Trieste, Italy</t>
  </si>
  <si>
    <t>Louisiana State University System; Louisiana State University; Istituto Nazionale di Oceanografia e di Geofisica Sperimentale</t>
  </si>
  <si>
    <t>Bart, PJ (corresponding author), Louisiana State Univ, Dept Geol &amp; Geophys, Baton Rouge, LA 70803 USA.</t>
  </si>
  <si>
    <t>pbart@lsu.edu</t>
  </si>
  <si>
    <t>De Santis, Laura/0000-0002-7752-7754</t>
  </si>
  <si>
    <t>10.5670/oceanog.2012.92</t>
  </si>
  <si>
    <t>WOS:000308774600028</t>
  </si>
  <si>
    <t>Detrich, W; Buckley, BA; Doolittle, DF; Jones, CD; Lockhart, SJ</t>
  </si>
  <si>
    <t>Detrich, William, III; Buckley, Bradley A.; Doolittle, Daniel F.; Jones, Christopher D.; Lockhart, Susanne J.</t>
  </si>
  <si>
    <t>Sub-Antarctic and High Antarctic Notothenioid Fishes: Ecology and Adaptational Biology Revealed by the ICEFISH 2004 Cruise of RVIB Nathaniel B. Palmer</t>
  </si>
  <si>
    <t>SOUTHERN-OCEAN; ATLANTIC SECTOR; BOUVETOYA; ABUNDANCE; SHELF; COLD</t>
  </si>
  <si>
    <t>The goal of the ICEFISH 2004 cruise, which was conducted on board RVIB Nathaniel B. Palmer and traversed the transitional zones linking the South Atlantic to the Southern Ocean, was to compare the evolution, ecology, adaptational biology, community structure, and population dynamics of Antarctic notothenioid fishes relative to the cool/temperate notothenioids of the sub-Antarctic. To place this work in a comprehensive ecological context, cruise participants surveyed the benthos and geology of the biogeographic provinces and island shelves on either side of the Antarctic Polar Front (or Antarctic Convergence). Genome-enabled comparison of the responses of cold-living and temperate notothenioids to heat stress confirmed the sensitivity of the former to a warming Southern Ocean. Successful implementation of the international and interdisciplinary ICEFISH research cruise provides a model for future exploration of the sub-Antarctic sectors of the Indian and Pacific Oceans.</t>
  </si>
  <si>
    <t>[Detrich, William, III] Northeastern Univ, Dept Earth &amp; Environm Sci, Boston, MA 02115 USA; [Detrich, William, III] Northeastern Univ, Dept Biol, Boston, MA 02115 USA; [Buckley, Bradley A.] Portland State Univ, Dept Biol, Portland, OR 97207 USA; [Doolittle, Daniel F.] Fugro Alaska, Anchorage, AK USA; [Jones, Christopher D.; Lockhart, Susanne J.] NOAA, Antarctic Ecosyst Res Div, NMFS, La Jolla, CA USA</t>
  </si>
  <si>
    <t>Northeastern University; Northeastern University; Portland State University; National Oceanic Atmospheric Admin (NOAA) - USA</t>
  </si>
  <si>
    <t>Detrich, W (corresponding author), Northeastern Univ, Dept Earth &amp; Environm Sci, Boston, MA 02115 USA.</t>
  </si>
  <si>
    <t>iceman@neu.edu</t>
  </si>
  <si>
    <t>NSF [OPP-0132032, ANT-0440799]; NSF Postdoctoral Award [ANT-0443754]; NOAA's Antarctic Marine Living Resources Program; Office of Polar Programs (OPP); Directorate For Geosciences [0944517] Funding Source: National Science Foundation</t>
  </si>
  <si>
    <t>NSF(National Science Foundation (NSF)); NSF Postdoctoral Award; NOAA's Antarctic Marine Living Resources Program(National Oceanic Atmospheric Admin (NOAA) - USA); Office of Polar Programs (OPP); Directorate For Geosciences(National Science Foundation (NSF)NSF - Directorate for Geosciences (GEO))</t>
  </si>
  <si>
    <t>We thank the captain and crew of RVIB Nathaniel B. Palmer, the personnel of Raytheon Polar Services Company, and the staff of the Office of Polar Programs of the National Science Foundation for their logistic support of the ICEFISH 2004 cruise. This research was supported by NSF grant OPP-0132032 to H. William Detrich III, and by NSF Postdoctoral Award ANT-0443754 to Bradley A. Buckley. We thank Gretchen E. Hofmann, who was funded by NSF grant ANT-0440799, for her support of the heat shock studies. Daniel Doolittle, Christopher Jones, and Susanne Lockhart were supported by NOAA's Antarctic Marine Living Resources Program.</t>
  </si>
  <si>
    <t>10.5670/oceanog.2012.93</t>
  </si>
  <si>
    <t>WOS:000308774600029</t>
  </si>
  <si>
    <t>Smith, CR; DeMaster, DJ; Thomas, C; Srsen, P; Grange, L; Evrard, V; DeLeo, F</t>
  </si>
  <si>
    <t>Smith, Craig R.; DeMaster, David J.; Thomas, Carrie; Srsen, Pavica; Grange, Laura; Evrard, Victor; DeLeo, Fabio</t>
  </si>
  <si>
    <t>PELAGIC-BENTHIC COUPLING, FOOD BANKS, AND CLIMATE CHANGE ON THE WEST ANTARCTIC PENINSULA SHELF</t>
  </si>
  <si>
    <t>LABILE ORGANIC-MATTER; REPRODUCTIVE-BIOLOGY; BIOCHEMICAL-COMPOSITION; CONTINENTAL-SHELF; TROPHIC STRUCTURE; SEA; DEEP; SEDIMENTS; PHYTODETRITUS; VARIABILITY</t>
  </si>
  <si>
    <t>The West Antarctic Peninsula (WAP) shelf is deep and detritus-based (i.e., it is fueled by organic material sinking from intense seasonal cycles of primary production in the water column), leading to pelagic-benthic coupling. The WAP is warming rapidly, yielding increases in seawater temperatures and reductions in sea ice that may fundamentally alter pelagic-benthic coupling and shelf benthic ecosystems. RVIB Nathaniel B. Palmer and ARSV Laurence M. Gould have provided year-round access to the WAP sea ice zone, facilitating studies of pelagic-benthic coupling and climate change. In the Food for Benthos along the Antarctic Continental Shelf (FOODBANCS) Project, we conducted a 15-month field program to evaluate benthic ecosystem function across the mid-WAP shelf, testing the hypothesis that phytodetrital material deposited from the summer bloom provides a sustained source of food for benthic detritivores during winter months, when organic-matter flux from the water column is extremely low We found that the intense seasonality in primary production and food availability in the WAP water column is heavily dampened at the shelf floor by the presence of a food bank that sustains benthic ecosystem functions (including sediment-community respiration, deposit feeding, vitellogenesis, spawning, and recruitment of benthos) over the winter; this food bank also influences community structure and life-history strategies of the WAP benthos. The persistence of the food bank may be mediated by low bottom-water temperatures, with the consequence that climate warming might reduce food availability in shelf communities. During the FOODBANCS2 Project, we studied the benthic ecosystem response to the strong latitudinal sea ice gradient along the WAP to explore the ecosystem consequences of sea ice loss from climate change. We found that some aspects of benthic ecosystem structure (e.g., macrofaunal dominance by the polychaete Aurospio foodbancsia) covaried with sea ice duration and are likely to be sensitive to sea ice loss. Other benthic parameters (e.g., the standing crop of macro- and megabenthos) exhibited nonlinear responses, with evidence of resilience along much of the sea ice gradient and abrupt change near one end. Still other benthic parameters (e.g., sediment community respiration) changed very little with sea ice duration. We also found that climate warming is facilitating invasion of the WAP shelf by predacious king crabs, with dramatic reduction in benthic biodiversity and altered ecosystem function. In summary, some important benthic ecosystem parameters along the WAP may be resilient to climate-induced changes in pelagic-benthic coupling, while many others may be highly sensitive, responding nonlinearly to sea ice loss. Incorporation of climate change effects into WAP benthic ecosystem models, including the effects of invasive species, will be challenging until mechanisms, nonlinearities, synergies, and tipping points of climate change effects are better understood.</t>
  </si>
  <si>
    <t>[Smith, Craig R.; Srsen, Pavica; Grange, Laura; Evrard, Victor; DeLeo, Fabio] Univ Hawaii Manoa, Dept Oceanog, Honolulu, HI 96822 USA; [DeMaster, David J.; Thomas, Carrie] N Carolina State Univ, Dept Marine Earth &amp; Atmospher Sci, Raleigh, NC 27695 USA</t>
  </si>
  <si>
    <t>University of Hawaii System; University of Hawaii Manoa; North Carolina State University</t>
  </si>
  <si>
    <t>Smith, CR (corresponding author), Univ Hawaii Manoa, Dept Oceanog, Honolulu, HI 96822 USA.</t>
  </si>
  <si>
    <t>craigsmi@hawaii.edu</t>
  </si>
  <si>
    <t>Evrard, Victor/A-9264-2008; Grange, Laura/E-8495-2014</t>
  </si>
  <si>
    <t>Evrard, Victor/0000-0001-7650-3534; Grange, Laura/0000-0001-9222-6848</t>
  </si>
  <si>
    <t>US National Science Foundation, Office of Polar Programs</t>
  </si>
  <si>
    <t>US National Science Foundation, Office of Polar Programs(National Science Foundation (NSF))</t>
  </si>
  <si>
    <t>We sincerely appreciate the efforts of numerous FOODBANCS, FOODBANCS2, and LARISSA (Larsen Ice Shelf System, Antarctica) participants who made our work in Antarctica possible. We are also grateful for the outstanding support provided by the many RPSC personnel, and the captains and crews of RVIB Nathaniel B. Palmer and ARSV Laurence M Gould. The FOODBANCS, FOODBANCS2, and LARISSA Projects were supported by grants from the US National Science Foundation, Office of Polar Programs. This is contribution no. 8719 from SOEST, University of Hawai'i at Manoa.</t>
  </si>
  <si>
    <t>10.5670/oceanog.2012.94</t>
  </si>
  <si>
    <t>WOS:000308774600030</t>
  </si>
  <si>
    <t>Ballanti, LA; Tullis, A; Ward, PD</t>
  </si>
  <si>
    <t>Ballanti, Loren A.; Tullis, Alexa; Ward, Peter D.</t>
  </si>
  <si>
    <t>Comparison of oxygen consumption by Terebratalia transversa (Brachiopoda) and two species of pteriomorph bivalve molluscs: implications for surviving mass extinctions</t>
  </si>
  <si>
    <t>PALEOBIOLOGY</t>
  </si>
  <si>
    <t>HYPOXIA; TOLERANCE; MYTILUS; INVERTEBRATES; DIVERSITY; RESPONSES; SIZE; ADAPTATIONS; EVOLUTION; FACIES</t>
  </si>
  <si>
    <t>The Permian/Triassic mass extinction marks a permanent phylogenetic shift in the composition of the sessile benthos, from one largely dominated by articulate brachiopods to one dominated by mollusks. Widespread evidence of oceanic hypoxia and anoxia at this time provides a possible selective kill mechanism that could help explain the large taxonomic losses in brachiopods compared to the morphologically and ecologically similar bivalve molluscs. Our study compared the oxygen consumption of an articulate brachiopod, Terebratalia transversa, with that of two pteriomorph bivalves, Glycymeris septentrionalis and Mytilus trossulus, under normoxia and hypoxia, as well as their tolerance to anoxia, to gain insight into the relative metabolic characteristics of each group. We found no significant difference in the oxygen consumption of the three species when normalized to the same dry-tissue mass. However, when calculated for animals of the same external linear dimensions, bivalve oxygen consumption was two to three times greater than that of brachiopods. Our results also showed no significant decrease in the oxygen consumption of the three species until measured at a partial pressure of oxygen similar to 10% of normoxic values. Finally, T. transversa and M. trossulus showed no significant difference in their tolerance to complete anoxia, but both showed a much lower tolerance than another bivalve, Acila castrensis. Findings from this study suggest that oxygen limitation is unlikely to account for the observed selective extinction of brachiopods during the Permian/Triassic mass extinction. Results may provide valuable information for assessing hypotheses put forth to explain why articulate brachiopods continue to remain a relatively minor group in marine environments.</t>
  </si>
  <si>
    <t>[Ballanti, Loren A.; Ward, Peter D.] Univ Washington, Dept Biol, Seattle, WA 98195 USA; [Tullis, Alexa] Univ Puget Sound, Dept Biol, Tacoma, WA 98416 USA</t>
  </si>
  <si>
    <t>University of Washington; University of Washington Seattle</t>
  </si>
  <si>
    <t>Ballanti, LA (corresponding author), Univ Washington, Dept Biol, Seattle, WA 98195 USA.</t>
  </si>
  <si>
    <t>oceanic@uw.edu</t>
  </si>
  <si>
    <t>NASA Astrobiology Institute; National Science Foundation's Integrative Graduate Education and Research Traineeship (IGERT) Program; University of Washington's Friday Harbor Laboratories</t>
  </si>
  <si>
    <t>NASA Astrobiology Institute; National Science Foundation's Integrative Graduate Education and Research Traineeship (IGERT) Program(National Science Foundation (NSF)); University of Washington's Friday Harbor Laboratories</t>
  </si>
  <si>
    <t>We thank B. Swalla and J. Murray of the University of Washington and L. Peck of the British Antarctic Survey for helpful comments on previous versions of this manuscript, A. Kohn for valuable insights on local ecology and animal collection, and the staff at University of Washington's Friday Harbor Laboratories. We also thank three anonymous reviewers for their helpful comments. This work was aided by funding from the NASA Astrobiology Institute and National Science Foundation's Integrative Graduate Education and Research Traineeship (IGERT) Program to L.A.B., as well as Kohn and Dudley fellowships awarded through the University of Washington's Friday Harbor Laboratories to L.A.B.</t>
  </si>
  <si>
    <t>0094-8373</t>
  </si>
  <si>
    <t>1938-5331</t>
  </si>
  <si>
    <t>Paleobiology</t>
  </si>
  <si>
    <t>FAL</t>
  </si>
  <si>
    <t>10.1666/11020.1</t>
  </si>
  <si>
    <t>Biodiversity Conservation; Ecology; Evolutionary Biology; Paleontology</t>
  </si>
  <si>
    <t>Biodiversity &amp; Conservation; Environmental Sciences &amp; Ecology; Evolutionary Biology; Paleontology</t>
  </si>
  <si>
    <t>011WR</t>
  </si>
  <si>
    <t>WOS:000309197500002</t>
  </si>
  <si>
    <t>Ruiz-González, C; Galí, M; Gasol, JM; Simó, R</t>
  </si>
  <si>
    <t>Ruiz-Gonzalez, Clara; Gali, Marti; Gasol, Josep M.; Simo, Rafel</t>
  </si>
  <si>
    <t>Sunlight effects on the DMSP-sulfur and leucine assimilation activities of polar heterotrophic bacterioplankton</t>
  </si>
  <si>
    <t>BIOGEOCHEMISTRY</t>
  </si>
  <si>
    <t>5th International Symposium on Biological and Environmental Chemistry of DMS(P) and Related Compounds</t>
  </si>
  <si>
    <t>OCT 19-22, 2010</t>
  </si>
  <si>
    <t>Natl Inst Oceanography (NIO), INDIA</t>
  </si>
  <si>
    <t>Natl Inst Oceanography (NIO)</t>
  </si>
  <si>
    <t>Bacteria; DMSP; Leucine; Arctic; Antarctica; Sunlight</t>
  </si>
  <si>
    <t>IN-SITU HYBRIDIZATION; 16S RIBOSOMAL-RNA; CATALYZED REPORTER DEPOSITION; DIMETHYL SULFIDE PRODUCTION; DISSOLVED ORGANIC-MATTER; ULTRAVIOLET-B RADIATION; SINGLE-CELL ACTIVITY; BACTERIAL GROUPS; MARINE-BACTERIA; UV-RADIATION</t>
  </si>
  <si>
    <t>The influence of solar ultraviolet radiation and photosynthetically active radiation (PAR) on summertime marine bacterial uptake and assimilation of sulfur from radiolabeled dimethlysulfoniopropionate (S-35-DMSP) was studied at four Arctic and two Antarctic stations. Incubations with H-3-leucine were also conducted for comparative purposes as a measurement of bacterial activity. Arctic waters were characterized by large numbers of colonial Phaeocystis pouchetii and higher DMSP concentrations than in the two diatom-dominated Antarctic samples. Exposure to full sunlight radiation (280-700 nm), and to a lesser extent to PAR + UVA (320-700 nm), generally decreased the bacterial assimilation of H-3-leucine with respect to darkness, and caused variable effects on S-35-DMSP assimilation. By using a single-cell approach involving microautoradiography we found high percentages of sulfur assimilating cells within the bacterial groups Gammaproteobacteria, Bacteroidetes, SAR11 and Roseobacter despite the varying DMSP concentrations between Arctic and Antarctic samples. The dominant SAR11 clade contributed 50-70% of the cells assimilating both substrates in the Arctic stations, whereas either Gammaproteobacteria or SAR11 were the largest contributors to H-3-leucine uptake in samples from the two Antarctic stations. Only one station was analyzed for single-cell S-35-DMSP assimilation in Antarctica, and Gammaproteobacteria were major contributors to its uptake, providing the first evidence for Antarctic bacteria actively taking up S-35-DMSP. PAR + UVA repeatedly increased the number of SAR11 cells assimilating H-3-leucine. This pattern also occurred with other S-35-DMSP assimilating groups, though not so consistently. Our results support a widespread capability of polar bacteria to assimilate DMSP-sulfur during the season of maximum DMSP concentrations, and show for the first time that all major polar taxa can be highly active at this assimilation under the appropriate circumstances. Our findings further confirm the role of sunlight as a modulator of heterotrophic carbon and sulfur fluxes in the surface ocean.</t>
  </si>
  <si>
    <t>[Ruiz-Gonzalez, Clara; Gali, Marti; Gasol, Josep M.; Simo, Rafel] CSIC, Inst Ciencies Mar, E-08003 Barcelona, Catalunya, Spain</t>
  </si>
  <si>
    <t>Consejo Superior de Investigaciones Cientificas (CSIC); CSIC - Centro Mediterraneo de Investigaciones Marinas y Ambientales (CMIMA); CSIC - Instituto de Ciencias del Mar (ICM)</t>
  </si>
  <si>
    <t>Ruiz-González, C (corresponding author), CSIC, Inst Ciencies Mar, Pg Maritim Barceloneta 37-49, E-08003 Barcelona, Catalunya, Spain.</t>
  </si>
  <si>
    <t>clara.ruiz.glez@gmail.com</t>
  </si>
  <si>
    <t>Ruiz-Gonzalez, Clara/K-7782-2017; Galí, Martí/L-1541-2013; Gasol, Josep M/B-1709-2008</t>
  </si>
  <si>
    <t>Galí, Martí/0000-0002-5587-1271; Gasol, Josep M/0000-0001-5238-2387; Ruiz Gonzalez, Clara/0000-0003-3568-4943; Simo, Rafel/0000-0003-3276-7663</t>
  </si>
  <si>
    <t>0168-2563</t>
  </si>
  <si>
    <t>1573-515X</t>
  </si>
  <si>
    <t>Biogeochemistry</t>
  </si>
  <si>
    <t>1-3</t>
  </si>
  <si>
    <t>10.1007/s10533-012-9699-y</t>
  </si>
  <si>
    <t>Environmental Sciences; Geosciences, Multidisciplinary</t>
  </si>
  <si>
    <t>Environmental Sciences &amp; Ecology; Geology</t>
  </si>
  <si>
    <t>012HR</t>
  </si>
  <si>
    <t>WOS:000309227400006</t>
  </si>
  <si>
    <t>Choi, KS; Moon, IJ</t>
  </si>
  <si>
    <t>Choi, Ki-Seon; Moon, Il-Ju</t>
  </si>
  <si>
    <t>Influence of the Western Pacific teleconnection pattern on Western North Pacific tropical cyclone activity</t>
  </si>
  <si>
    <t>DYNAMICS OF ATMOSPHERES AND OCEANS</t>
  </si>
  <si>
    <t>Tropical cyclone; Western Pacific teleconnection; Upper tropospheric jet; Terrain effect</t>
  </si>
  <si>
    <t>INTERANNUAL VARIABILITY; ANTARCTIC OSCILLATION; ENSO; CLIMATOLOGY; REANALYSIS; FREQUENCY</t>
  </si>
  <si>
    <t>This study analyzes the characteristics of Western North Pacific (WNP) tropical cyclone (TC) activity and large-scale environments according to the Western Pacific (WP) teleconnection pattern in summer. In the positive WP phase, an anomalous cyclone and an anomalous anticyclone develop in the low and middle latitudes of the East Asia area, respectively. As a result, southeasterlies are reinforced in the northeast area of East Asia (including Korea and Japan), which facilitates the movement of TC to this area, whereas northwesterlies are reinforced in the southwest area of East Asia (including southern China and the Indochina Peninsula) which blocks the movement of TC to that area. Due to the spatial distribution of this reinforced pressure system, TCs that develop during the positive WP phase move and turn more to the northeast of the WNP than TCs which develop during the negative WP phase. The characteristics of this TC activity during the positive WP phase are associated with the upper tropospheric jet being located farther to the northeast. TCs during the negative WP phase mainly move to the west from the Philippines toward southern China and the Indochina Peninsula. Due to the terrain effect caused by the passage of TCs in mainland China, the intensity of TCs during the negative WP phase is weaker than those during the positive WP phase. (c) 2012 Elsevier B.V. All rights reserved.</t>
  </si>
  <si>
    <t>[Moon, Il-Ju] Jeju Natl Univ, Coll Ocean Sci, Ocean &amp; Environm Res Inst, Jejusi 690756, South Korea</t>
  </si>
  <si>
    <t>Jeju National University</t>
  </si>
  <si>
    <t>Moon, IJ (corresponding author), Jeju Natl Univ, Coll Ocean Sci, Ocean &amp; Environm Res Inst, Ara 1 Dong, Jejusi 690756, South Korea.</t>
  </si>
  <si>
    <t>ijmoon@jejunu.ac.kr</t>
  </si>
  <si>
    <t>Moon, Il-Ju/0000-0001-9370-0900</t>
  </si>
  <si>
    <t>Construction of Ocean Research Stations and their Application Studies; Ministry of Land, Transport and Maritime Affairs of Korean Government; Korea Research Foundation Grant; Korean Government (MOEHRD, Basic Research Promotion Fund) [KRF-2007-331-C00255]</t>
  </si>
  <si>
    <t>Construction of Ocean Research Stations and their Application Studies; Ministry of Land, Transport and Maritime Affairs of Korean Government(Ministry of Land, Transport and Maritime Affairs (MLTM), Republic of Korea); Korea Research Foundation Grant(National Research Foundation of Korea); Korean Government (MOEHRD, Basic Research Promotion Fund)(Ministry of Education &amp; Human Resources Development (MOEHRD), Republic of KoreaKorean Government)</t>
  </si>
  <si>
    <t>This research was supported by a grant from Construction of Ocean Research Stations and their Application Studies funded by the Ministry of Land, Transport and Maritime Affairs of Korean Government and the Korea Research Foundation Grant funded by the Korean Government (MOEHRD, Basic Research Promotion Fund) (KRF-2007-331-C00255). The authors would like to thank the anonymous reviewers for their valuable comments and suggestions.</t>
  </si>
  <si>
    <t>0377-0265</t>
  </si>
  <si>
    <t>DYNAM ATMOS OCEANS</t>
  </si>
  <si>
    <t>Dyn. Atmos. Oceans</t>
  </si>
  <si>
    <t>10.1016/j.dynatmoce.2012.04.002</t>
  </si>
  <si>
    <t>Geochemistry &amp; Geophysics; Meteorology &amp; Atmospheric Sciences; Oceanography</t>
  </si>
  <si>
    <t>010LW</t>
  </si>
  <si>
    <t>WOS:000309096900001</t>
  </si>
  <si>
    <t>Jones, DS</t>
  </si>
  <si>
    <t>Jones, Diana S.</t>
  </si>
  <si>
    <t>Australian Barnacles (Cirripedia: Thoracica), Distributions and Biogeographical Affinities</t>
  </si>
  <si>
    <t>CORAL-INHABITING BARNACLES; LEEUWIN CURRENT; WESTERN; BALANOMORPHA; GENUS; ECHINODERMS; COMMENSAL; ISLANDS; FISHES</t>
  </si>
  <si>
    <t>Currently, 279 barnacle species are recognized in Australia waters. The barnacle fauna of tropical Australia exhibits high species diversity (221), with a high incidence of tropical species (87 Indo-west Pacific [IWP], 16 West Pacific and 65 Indo-Malayan), a low species endemicity (8), and 44 cosmopolitan and 1 Australasian species. Conversely, that of temperate Australia shows lower species diversity (129), with a lower incidence of tropical species (26 IWP, 10 West Pacific and 25 Indo-Malayan), higher species endemicity (23), 37 cosmopolitan, 6 Australasian species, and 3 Australasian/Antarctic species. Distributions corroborate the general patterns demonstrated by the shallow-water biota of northern tropical and southern temperate Australian biogeographic provinces. Tropical and temperate provinces grade into each other in a broad overlap zone along both the western and eastern Australian coasts. This overlap zone is essentially a transitional region, with the gradual replacement of a tropical barnacle fauna in the north by a predominantly temperate barnacle fauna in the south. Both western and eastern Australian coasts are bounded by major poleward-flowing warm currents that have considerable influence on the marine flora and fauna, distributing tropical species of many taxa much farther south than could be predicted by latitude. Currently, 16 barnacle species introduced into Australian waters are identified, although this number may increase in the future due to new port developments and increased shipping arrivals.</t>
  </si>
  <si>
    <t>Western Australian Museum, Welshpool, WA 6106, Australia</t>
  </si>
  <si>
    <t>Western Australian Museum</t>
  </si>
  <si>
    <t>Jones, DS (corresponding author), Western Australian Museum, 49 Kew St, Welshpool, WA 6106, Australia.</t>
  </si>
  <si>
    <t>diana.jones@museum.wa.gov.au</t>
  </si>
  <si>
    <t>Society for Integrative and Comparative Biology; Western Australian Museum; Australian Museum Trust Postgraduate Scholarship; Department of Australian Heritage; CSIRO; National Ports Survey Project; Woodside Energy Ltd; Centre for Research on Introduced Marine Pests (CRIMP), CSIRO; Gascoyne Development Commission; Senckenberg Museum DAAD Research Fellowship; Australian Heritage Commission; Western Australian Fisheries; Australian Biological Resources Survey; Chevron Australia; Associate Professorship, Musem national d'Histoire naturelle, Paris</t>
  </si>
  <si>
    <t>Society for Integrative and Comparative Biology; Western Australian Museum; Australian Museum Trust Postgraduate Scholarship; Department of Australian Heritage; CSIRO(Commonwealth Scientific &amp; Industrial Research Organisation (CSIRO)); National Ports Survey Project; Woodside Energy Ltd; Centre for Research on Introduced Marine Pests (CRIMP), CSIRO; Gascoyne Development Commission; Senckenberg Museum DAAD Research Fellowship; Australian Heritage Commission; Western Australian Fisheries; Australian Biological Resources Survey; Chevron Australia; Associate Professorship, Musem national d'Histoire naturelle, Paris</t>
  </si>
  <si>
    <t>I wish to acknowledge the Society for Integrative and Comparative Biology for providing generous funding that allowed my attendance at the symposium. Funding for the work associated with data collection and completion of this paper has been generously provided through the following sources: the Western Australian Museum (1980 to present); Australian Museum Trust Postgraduate Scholarship (1984); Associate Professorship, Musem national d'Histoire naturelle, Paris (1994, 1997, 2000); Department of Australian Heritage and CSIRO (1996-2005), National Ports Survey Project (1996-2005); Woodside Energy Ltd (1998-ongoing); Centre for Research on Introduced Marine Pests (CRIMP), CSIRO (1999); Gascoyne Development Commission (1999); Senckenberg Museum DAAD Research Fellowship (2000); Australian Heritage Commission (2003-2006); Western Australian Fisheries (2006); Australian Biological Resources Survey (2008-2012); Chevron Australia (2009-ongoing).</t>
  </si>
  <si>
    <t>10.1093/icb/ics100</t>
  </si>
  <si>
    <t>993CI</t>
  </si>
  <si>
    <t>WOS:000307832000005</t>
  </si>
  <si>
    <t>Renwick, JA; Kohout, A; Dean, S</t>
  </si>
  <si>
    <t>Renwick, James A.; Kohout, Alison; Dean, Sam</t>
  </si>
  <si>
    <t>Atmospheric Forcing of Antarctic Sea Ice on Intraseasonal Time Scales</t>
  </si>
  <si>
    <t>SOUTH-PACIFIC; VARIABILITY; RETREAT; EXTENT</t>
  </si>
  <si>
    <t>Intraseasonal relationships between Antarctic sea ice and atmospheric circulation have been investigated using a 29-yr record of pentad-mean Antarctic sea ice concentration and Southern Hemisphere 500-hPa height fields. Analyses were carried out for four sea ice seasons: minimum extent, growth, maximum extent, and decay. Interannual variability was removed from both datasets to focus on intraseasonal variations. Patterns of sea ice variability and linkages to the atmospheric circulation varied markedly with season. The strongest and most coherent relationships were evident during the maximum ice extent period and to a lesser degree during the growth period. At those times of year, the strongest relationships were associated with atmospheric circulation anomalies leading sea ice anomalies by 4 or 5 days, suggesting that variations in the atmospheric circulation force changes in the sea ice field. Ice decreases are generally found in regions of poleward flow and ice increases are found in regions of equatorward flow. Mechanisms appear to be related both to thermal advection and to mechanical forcing, with the relative importance of each varying in space and in time. During the period of maximum ice extent, the leading pattern from a maximum covariance analysis between 500-hPa height and sea ice concentration accounted for 38% of the squared covariance between fields, and the associated time series were correlated at 0.74. The leading patterns of variability exhibit clear zonal wavenumber 3 signatures and appear to be largely a result of internal variability in the extratropical circulation.</t>
  </si>
  <si>
    <t>[Renwick, James A.; Kohout, Alison; Dean, Sam] NIWA, Wellington, New Zealand</t>
  </si>
  <si>
    <t>National Institute of Water &amp; Atmospheric Research (NIWA) - New Zealand</t>
  </si>
  <si>
    <t>Renwick, JA (corresponding author), NIWA, Private Bag 14-901, Wellington, New Zealand.</t>
  </si>
  <si>
    <t>james.renwick@niwa.co.nz</t>
  </si>
  <si>
    <t>Dean, Samuel/F-7711-2011</t>
  </si>
  <si>
    <t>Dean, Samuel/0000-0001-6338-4601; Renwick, James/0000-0002-9141-2486</t>
  </si>
  <si>
    <t>New Zealand Foundation for Research, Science and Technology [C01X0701]</t>
  </si>
  <si>
    <t>The sea ice data were kindly provided by NSIDC in Boulder, Colorado; OLR data and the NCEP-NCAR reanalyses were provided by the NOAA/OAR/ESRL PSD, Boulder, Colorado. JR is grateful to Mike Wallace and Todd Mitchell for initial ideas about the analyses presented here and to Mike Williams, Craig Stevens, and especially Tim Haskell for the opportunity to observe Antarctic sea ice first-hand in McMurdo Sound. Funding for this research was provided by the New Zealand Foundation for Research, Science and Technology through Contract C01X0701.</t>
  </si>
  <si>
    <t>10.1175/JCLI-D-11-00423.1</t>
  </si>
  <si>
    <t>003TF</t>
  </si>
  <si>
    <t>WOS:000308633500021</t>
  </si>
  <si>
    <t>Klocker, A; Ferrari, R; LaCasce, JH</t>
  </si>
  <si>
    <t>Klocker, Andreas; Ferrari, Raffaele; LaCasce, Joseph H.</t>
  </si>
  <si>
    <t>Estimating Suppression of Eddy Mixing by Mean Flows</t>
  </si>
  <si>
    <t>EFFECTIVE DIFFUSIVITY; GENERAL-CIRCULATION; NORTH-ATLANTIC; SURFACE CIRCULATION; STOCHASTIC-MODELS; LAGRANGIAN DATA; STATISTICS; TRANSPORT; TRAJECTORIES; BARRIER</t>
  </si>
  <si>
    <t>Particle- and tracer-based estimates of lateral diffusivities are used to estimate the suppression of eddy mixing across strong currents. Particles and tracers are advected using a velocity field derived from sea surface height measurements from the South Pacific, in a region west of Drake Passage. This velocity field has been used in a companion paper to show that both particle- and tracer-based estimates of eddy diffusivities are equivalent, despite recent claims to the contrary. These estimates of eddy diffusivities are here analyzed to show 1) that the degree of suppression of mixing across the strong Antarctic Circumpolar Current is correctly predicted by mixing length theory modified to include eddy propagation along the mean flow and 2) that the suppression can be inferred from particle trajectories by studying the structure of the autocorrelation function of the particle velocities beyond the first zero crossing. These results are then used to discuss how to compute lateral and vertical variations in eddy diffusivities using floats and drifters in the real ocean.</t>
  </si>
  <si>
    <t>[Klocker, Andreas; Ferrari, Raffaele] MIT, Cambridge, MA 02139 USA; [LaCasce, Joseph H.] Univ Oslo, Dept Geosci, Oslo, Norway</t>
  </si>
  <si>
    <t>Massachusetts Institute of Technology (MIT); University of Oslo</t>
  </si>
  <si>
    <t>Klocker, A (corresponding author), Australian Natl Univ, Res Sch Earth Sci, GPO Box 4, Canberra, ACT 0200, Australia.</t>
  </si>
  <si>
    <t>andreas.klocker@anu.edu.au</t>
  </si>
  <si>
    <t>Ferrari, Raffaele/C-9337-2013; Klocker, Andreas/E-4632-2011</t>
  </si>
  <si>
    <t>Ferrari, Raffaele/0000-0002-3736-1956; LaCasce, Joseph Henry/0000-0001-7655-5596; Klocker, Andreas/0000-0002-2038-7922</t>
  </si>
  <si>
    <t>NSF [OCE-0825376]; Direct For Computer &amp; Info Scie &amp; Enginr; Office of Advanced Cyberinfrastructure (OAC) [0904338] Funding Source: National Science Foundation; Division Of Ocean Sciences; Directorate For Geosciences [0825376] Funding Source: National Science Foundation</t>
  </si>
  <si>
    <t>NSF(National Science Foundation (NSF)); Direct For Computer &amp; Info Scie &amp; Enginr; Office of Advanced Cyberinfrastructure (OAC)(National Science Foundation (NSF)NSF - Directorate for Computer &amp; Information Science &amp; Engineering (CISE)); Division Of Ocean Sciences; Directorate For Geosciences(National Science Foundation (NSF)NSF - Directorate for Geosciences (GEO))</t>
  </si>
  <si>
    <t>This work was done as part of the Diapycnal and Isopycnal Mixing Experiment in the Southern Ocean (DIMES). We wish to acknowledge the generous support of NSF through Award OCE-0825376 (RF and AK). We also wish to thank all the DIMES principal investigators for many useful discussions and suggestions and the two anonymous reviewers for their constructive comments.</t>
  </si>
  <si>
    <t>10.1175/JPO-D-11-0205.1</t>
  </si>
  <si>
    <t>009IC</t>
  </si>
  <si>
    <t>Green Published, Bronze, Green Accepted, Green Submitted</t>
  </si>
  <si>
    <t>WOS:000309018500011</t>
  </si>
  <si>
    <t>Bourin, M; Gautron, J; Berges, M; Nys, Y; Réhault-Godbert, S</t>
  </si>
  <si>
    <t>Bourin, M.; Gautron, J.; Berges, M.; Nys, Y.; Rehault-Godbert, S.</t>
  </si>
  <si>
    <t>Sex- and tissue-specific expression of similar to nothepsin and cathepsin D in relation to egg yolk formation in Gallus gallus</t>
  </si>
  <si>
    <t>POULTRY SCIENCE</t>
  </si>
  <si>
    <t>liver; chicken; aspartic proteinase; egg yolk</t>
  </si>
  <si>
    <t>DANIO-RERIO ZEBRAFISH; ASPARTIC PROTEINASES; MOLECULAR-CLONING; MATURATION; AUTOLYSIS; ENZYME; PLASMA; LIVER; QUAIL</t>
  </si>
  <si>
    <t>Egg yolk constitutes the main storage compartment of the avian egg and the first nutritional source that supports embryonic growth. Most egg yolk components are synthesized by the liver of laying hens at sexual maturity and are secreted into the blood to be further transferred into the ovarian oocyte (yolky follicle) by receptor-mediated endocytosis. Egg yolk proteins are secreted as precursors and must undergo proteolytic processing to be bioactive. It is assumed that chicken cathepsin D, an aspartic protease; is a key enzyme in this process. Very recently, a novel aspartic protease, namely similar to nothepsin, has been identified in the egg yolk. Previous experiments conducted in Antarctic fish have shown that the expression of nothepsin is tissue- and sex-specific. To gain insight into the specificities of expression of both cathepsin D and similar to nothepsin in Gallus gallus, we compared their distribution in various tissues, in male and females. Cathepsin D is ubiquitously expressed in all tissues examined, including liver of both male and female adults, and its expression is stable during sexual maturation. In contrast, similar to nothepsin expression is unique to the liver of adult females and is sex steroid-dependent as it increases gradually in the liver of hens during sexual maturation. The sexual dimorphic expression of the similar to nothepsin gene suggests that the activity of this protein is regulated by the steroid environment of laying hens and is specifically adapted for inclusion in the yolk. Further studies are needed to assess whether similar to nothepsin assists cathepsin D in the proteolytic processing of egg yolk proteins during follicular growth.</t>
  </si>
  <si>
    <t>[Bourin, M.; Gautron, J.; Berges, M.; Nys, Y.; Rehault-Godbert, S.] INRA, Rech Avicoles UR83, F-37380 Nouzilly, France</t>
  </si>
  <si>
    <t>INRAE</t>
  </si>
  <si>
    <t>Réhault-Godbert, S (corresponding author), INRA, Rech Avicoles UR83, F-37380 Nouzilly, France.</t>
  </si>
  <si>
    <t>srehault@tours.inra.fr</t>
  </si>
  <si>
    <t>REHAULT-GODBERT, Sophie/Y-3890-2019; BOURIN, Marie/AAV-5212-2021; Gautron, Joel/A-1753-2017</t>
  </si>
  <si>
    <t>BOURIN, Marie/0000-0002-1222-5325; Gautron, Joel/0000-0001-7800-0578; Rehault-Godbert, Sophie/0000-0003-2800-3417</t>
  </si>
  <si>
    <t>French National Research Agency (OVO-mining) [ANR-09-BLAN-0136]; Region Centre; INRA; Agence Nationale de la Recherche (ANR) [ANR-09-BLAN-0136] Funding Source: Agence Nationale de la Recherche (ANR)</t>
  </si>
  <si>
    <t>French National Research Agency (OVO-mining)(Agence Nationale de la Recherche (ANR)); Region Centre(Region Centre-Val de Loire); INRA; Agence Nationale de la Recherche (ANR)(Agence Nationale de la Recherche (ANR))</t>
  </si>
  <si>
    <t>This research was supported by the French National Research Agency (OVO-mining, ANR-09-BLAN-0136), Region Centre and INRA for the financial support of M. Bourin's PhD. We acknowledge the experimental unit PEAT (INRA, UE1295 Pole d'Experimentation Avicole de Tours, F-37380 Nouzilly, France) and more particularly Frederic Mercerand for breeding and providing birds and Harold Rigoreau for his assistance in collecting tissues. We thank Julie Dalifard, (UR83 Recherches Avicoles, F-37380 Nouzilly, France) for the excellent quality of her technical support. We are grateful to Ian Dunn (Division of Genetics and Genomics, The Roslin Institute and Royal Dick School of Veterinary Studies, University of Edinburgh, Roslin, Midlothian, UK) for the critical review of this article.</t>
  </si>
  <si>
    <t>0032-5791</t>
  </si>
  <si>
    <t>1525-3171</t>
  </si>
  <si>
    <t>POULTRY SCI</t>
  </si>
  <si>
    <t>Poult. Sci.</t>
  </si>
  <si>
    <t>10.3382/ps.2011-01910</t>
  </si>
  <si>
    <t>Agriculture, Dairy &amp; Animal Science</t>
  </si>
  <si>
    <t>991CY</t>
  </si>
  <si>
    <t>WOS:000307680300026</t>
  </si>
  <si>
    <t>Hales, B; Strutton, PG; Saraceno, M; Letelier, R; Takahashi, T; Feely, R; Sabine, C; Chavez, F</t>
  </si>
  <si>
    <t>Hales, Burke; Strutton, Peter G.; Saraceno, Martin; Letelier, Ricardo; Takahashi, Taro; Feely, Richard; Sabine, Christopher; Chavez, Francisco</t>
  </si>
  <si>
    <t>Satellite-based prediction of pCO2 in coastal waters of the eastern North Pacific</t>
  </si>
  <si>
    <t>SEA CO2 FLUXES; CALIFORNIA CURRENT SYSTEM; CARBON-DIOXIDE; CONTINENTAL-SHELF; INORGANIC CARBON; ATMOSPHERIC CO2; UPWELLING SYSTEM; ORGANIC-CARBON; NEURAL-NETWORK; OCEAN</t>
  </si>
  <si>
    <t>Continental margin carbon cycling is complex, highly variable over a range of space and time scales, and forced by multiple physical and biogeochemical drivers. Predictions of globally significant air-sea CO2 fluxes in these regions have been extrapolated based on very sparse data sets. We present here a method for predicting coastal surface-water pCO(2) from remote-sensing data, based on self organizing maps (SOMs) and a nonlinear semi-empirical model of surface water carbonate chemistry. The model used simple empirical relationships between carbonate chemistry (total dissolved carbon dioxide (T-CO2) and alkalinity (T-Alk)) and satellite data (sea surface temperature (SST) and chlorophyll (Chl)). Surface-water CO2 partial pressure (pCO(2)) was calculated from the empirically-predicted T-CO2 and T-Alk. This directly incorporated the inherent nonlinearities of the carbonate system, in a completely mechanistic manner. The model's empirical coefficients were determined for a target study area of the central North American Pacific continental margin (22-50 degrees N, within 370 km of the coastline), by optimally reproducing a set of historical observations paired with satellite data. The model-predicted pCO(2) agreed with the highly variable observations with a root mean squared (RMS) deviation of &lt;20 mu atm, and with a correlation coefficient of &gt;0.8 (r = 0.81; r(2) = 0.66). This level of accuracy is a significant improvement relative to that of simpler models that did not resolve the biogeochemical sub-regions or that relied on linear dependences on input parameters. Air-sea fluxes based on these pCO(2) predictions and satellite-based wind speed measurements suggest that the region is a similar to 14 Tg C yr(-1) sink for atmospheric CO2 over the 1997-2005 period, with an approximately equivalent uncertainty, compared with a 0.5 Tg C yr(-1) source predicted by a recent bin-averaging and interpolation-based estimate for the same area. (C) 2012 Elsevier Ltd. All rights reserved.</t>
  </si>
  <si>
    <t>[Hales, Burke; Letelier, Ricardo] Oregon State Univ, Coll Ocean &amp; Atmospher Sci, Corvallis, OR 97331 USA; [Saraceno, Martin] Consejo Nacl Invest Cient &amp; Tecn, Ctr Invest Mar &amp; Atmosfera, RA-1033 Buenos Aires, DF, Argentina; [Saraceno, Martin] Univ Buenos Aires, Fac Ciencias Exactas &amp; Nat, Dept Ciencias Atmosfera &amp; Oceanos, RA-1053 Buenos Aires, DF, Argentina; [Takahashi, Taro] Columbia Univ, Lamont Doherty Earth Observ, Palisades, NY 10964 USA; [Feely, Richard; Sabine, Christopher] NOAA, Pacific Marine Environm Lab, Seattle, WA 98115 USA; [Chavez, Francisco] Monterey Bay Aquarium Res Inst, Moss Landing, CA 95039 USA; [Strutton, Peter G.] Univ Tasmania, Inst Marine &amp; Antarctic Studies, Hobart, Tas, Australia; [Strutton, Peter G.] Australian Res Council, Ctr Excellence Climate Syst Sci, Canberra, ACT, Australia</t>
  </si>
  <si>
    <t>Oregon State University; Consejo Nacional de Investigaciones Cientificas y Tecnicas (CONICET); University of Buenos Aires; Columbia University; National Oceanic Atmospheric Admin (NOAA) - USA; Monterey Bay Aquarium Research Institute; University of Tasmania</t>
  </si>
  <si>
    <t>Hales, B (corresponding author), Oregon State Univ, Coll Ocean &amp; Atmospher Sci, Corvallis, OR 97331 USA.</t>
  </si>
  <si>
    <t>bhales@coas.oregonstate.edu</t>
  </si>
  <si>
    <t>Saraceno, Martin/AAS-1231-2020; Letelier, Ricardo/A-6953-2009; Feely, Richard A./ABI-5740-2020; Strutton, Peter/C-4466-2011</t>
  </si>
  <si>
    <t>Saraceno, Martin/0000-0002-5657-4420; Letelier, Ricardo/0000-0003-3376-4026; Strutton, Peter/0000-0002-2395-9471</t>
  </si>
  <si>
    <t>NASA [NNG05GH11G]; NOAA [NA05OAR4311164]</t>
  </si>
  <si>
    <t>NASA(National Aeronautics &amp; Space Administration (NASA)); NOAA(National Oceanic Atmospheric Admin (NOAA) - USA)</t>
  </si>
  <si>
    <t>The authors thank R. Venegas for executing MS's SOM codes at OSU, and M. Kavanaugh for constructive discussion of the PrSOM approach. This work was supported by NASA grant NNG05GH11G and NOAA grant NA05OAR4311164 This is PMEL contribution #3832.</t>
  </si>
  <si>
    <t>10.1016/j.pocean.2012.03.001</t>
  </si>
  <si>
    <t>001IG</t>
  </si>
  <si>
    <t>WOS:000308453300001</t>
  </si>
  <si>
    <t>Kang, JH; Son, MH; Hur, SD; Hong, S; Motoyama, H; Fukui, K; Chang, YS</t>
  </si>
  <si>
    <t>Kang, Jung-Ho; Son, Min-Hee; Hur, Soon Do; Hong, Sungmin; Motoyama, Hideaki; Fukui, Kotaro; Chang, Yoon-Seok</t>
  </si>
  <si>
    <t>Deposition of organochlorine pesticides into the surface snow of East Antarctica</t>
  </si>
  <si>
    <t>Surface snow; Antarctica; Spatial distribution; Organochlorine pesticides; Long-range atmospheric transport</t>
  </si>
  <si>
    <t>PERSISTENT ORGANIC POLLUTANTS; GLOBAL DISTRIBUTION MODEL; LONG-RANGE TRANSPORT; POLYCHLORINATED-BIPHENYLS; SOILS; LAND; FATE; ACCUMULATION; CHEMICALS; BEHAVIOR</t>
  </si>
  <si>
    <t>Organochlorine pesticides (OCPs) were measured in surface snow collected on a -1400-km inland traverse beginning from the coastal regions of East Antarctica during the Japanese Antarctic Research Expedition (JARE) of 2007/2008. Of the 22 OCPs, alpha-hexachlorocyclohexane (HCH), gamma-HCH, and hexachlorobenzene (HCB) were frequently detected in the snow with concentration ranges of 17.5-83.2, 33-137, and ND-182 pg L-1, respectively. The most abundant pesticide was gamma-HCH, with a mean concentration of 69.9 pg L-1, followed by alpha-HCH, with an average concentration of 44.5 pg L-1. The spatial variability of alpha-HCH and gamma-HCH was narrow, and the concentrations of alpha-HCH and gamma-HCH increased slightly with increasing altitude along the traverse route. Dome Fuji, the highest altitude sampling point, had the highest gamma-HCH concentrations in the snow. Backward air trajectory analysis showed that the air masses at the sampling sites came mainly from the Indian and Atlantic Oceans and over the Antarctic continent, indicating that the OCPs were subjected to long-range atmospheric transport and were deposited in the surface snow. Our data suggest that the snow of Antarctica contains low levels of OCPs. Crown Copyright (C) 2012 Published by Elsevier B.V. All rights reserved.</t>
  </si>
  <si>
    <t>[Son, Min-Hee; Chang, Yoon-Seok] Pohang Univ Sci &amp; Technol POSTECH, Sch Environm Sci &amp; Engn, Pohang 790784, South Korea; [Kang, Jung-Ho; Hur, Soon Do] Korea Polar Res Inst, Inchon 406840, South Korea; [Hong, Sungmin] Inha Univ, Dept Oceanog, Inchon 402751, South Korea; [Motoyama, Hideaki] Natl Inst Polar Res, Tachikawa, Tokyo 1908518, Japan; [Fukui, Kotaro] Tateyama Caldera Sabo Museum, Tateyama, Toyama 9301405, Japan</t>
  </si>
  <si>
    <t>Pohang University of Science &amp; Technology (POSTECH); Korea Institute of Ocean Science &amp; Technology (KIOST); Korea Polar Research Institute (KOPRI); Inha University; Research Organization of Information &amp; Systems (ROIS); National Institute of Polar Research (NIPR) - Japan</t>
  </si>
  <si>
    <t>Chang, YS (corresponding author), Pohang Univ Sci &amp; Technol POSTECH, Sch Environm Sci &amp; Engn, San 31, Pohang 790784, South Korea.</t>
  </si>
  <si>
    <t>yschang@postech.ac.kr</t>
  </si>
  <si>
    <t>; FUKUI, Kotaro/H-5600-2018</t>
  </si>
  <si>
    <t>Chang, Yoon-Seok/0000-0002-0623-2932; FUKUI, Kotaro/0000-0003-2106-0232</t>
  </si>
  <si>
    <t>Korea Polar Research Institute (KOPRI) [PE12070]; Inha University [INHA-42819-01]</t>
  </si>
  <si>
    <t>Korea Polar Research Institute (KOPRI); Inha University</t>
  </si>
  <si>
    <t>This work was supported by a research grant (PE12070) from the Korea Polar Research Institute (KOPRI) and an Inha University research grant (INHA-42819-01). We thank the efforts of all personnel in the field for sampling during the 2007/2008 Japanese Swedish Antarctic Expedition (PIs. S. Fujita and P. Holmlund). We also thank Mr. Ji-Woong Chung for handling the snow samples in KOPRI.</t>
  </si>
  <si>
    <t>10.1016/j.scitotenv.2012.06.037</t>
  </si>
  <si>
    <t>005ZA</t>
  </si>
  <si>
    <t>WOS:000308787500029</t>
  </si>
  <si>
    <t>Pitulko, VV; Pavlova, EY; Nikolskiy, PA; Ivanova, VV</t>
  </si>
  <si>
    <t>Pitulko, Vladimir V.; Pavlova, Elena Y.; Nikolskiy, Pavel A.; Ivanova, Varvara V.</t>
  </si>
  <si>
    <t>The oldest art of the Eurasian Arctic: personal ornaments and symbolic objects from Yana RHS, Arctic Siberia</t>
  </si>
  <si>
    <t>ANTIQUITY</t>
  </si>
  <si>
    <t>Siberia; Arctic; Stone Age; Upper Pleistocene; Upper Palaeolithic; Palaeolithic art; Palaeolithic ivory artefacts</t>
  </si>
  <si>
    <t>SITE</t>
  </si>
  <si>
    <t>The excavated site termed Yana RHS is dated to about 28 000 BP and contained a stunning assemblage of ornamented and symbolic objects-the earliest art to be excavated in the Arctic zone. Decorated beads, pendants and needles connect the site to the Eurasian Upper Palaeolithic; but other forms and ornaments are unparalleled. Shallow dishes and anthropomorphic designs on mammoth tusks find echoes among hunting practice and shamanistic images of the indigenous Yukaghir people recorded in the early twentieth century.</t>
  </si>
  <si>
    <t>[Pitulko, Vladimir V.] Russian Acad Sci, Inst Mat Culture Hist, 18 Dvortsovaya Nab, St Petersburg 191186, Russia; [Pavlova, Elena Y.] Arctic &amp; Antarctic Res Inst, St Petersburg 199397, Russia; [Nikolskiy, Pavel A.] Russian Acad Sci, Inst Geol, Moscow 119017, Russia; [Ivanova, Varvara V.] VNIIOkeangeol Res Inst, St Petersburg 190021, Russia</t>
  </si>
  <si>
    <t>Russian Academy of Sciences; St. Petersburg Scientific Centre of the Russian Academy of Sciences; Arctic &amp; Antarctic Research Institute; Russian Academy of Sciences; Geological Institute, Russian Academy of Sciences</t>
  </si>
  <si>
    <t>Pitulko, VV (corresponding author), Russian Acad Sci, Inst Mat Culture Hist, 18 Dvortsovaya Nab, St Petersburg 191186, Russia.</t>
  </si>
  <si>
    <t>pitulkov@gmail.com; pavloval@rambler.ru; cervalces@mail.ru; v_ivanova@rambler.ru</t>
  </si>
  <si>
    <t>Pitulko, Vladimir/N-4009-2019; Pitulko, Vladimir/E-2200-2015; Pavlova, Elena/AAA-3291-2019; Nikolskiy, Pavel A/C-5041-2012; Ivanova, Varvara V/R-6400-2016; Nikolskiy, Pavel/JNT-4697-2023</t>
  </si>
  <si>
    <t>Pitulko, Vladimir/0000-0001-5672-2756; Pavlova, Elena/0000-0002-3010-6290; Ivanova, Varvara/0000-0002-7614-660X</t>
  </si>
  <si>
    <t>EDINBURGH BLDG, SHAFTESBURY RD, CB2 8RU CAMBRIDGE, ENGLAND</t>
  </si>
  <si>
    <t>0003-598X</t>
  </si>
  <si>
    <t>1745-1744</t>
  </si>
  <si>
    <t>Antiquity</t>
  </si>
  <si>
    <t>10.1017/S0003598X00047827</t>
  </si>
  <si>
    <t>Anthropology; Archaeology</t>
  </si>
  <si>
    <t>002EN</t>
  </si>
  <si>
    <t>WOS:000308514600004</t>
  </si>
  <si>
    <t>Guella, G; Callone, E; Mancini, I; Dini, F; Di Giuseppe, G</t>
  </si>
  <si>
    <t>Guella, Graziano; Callone, Emanuela; Mancini, Ines; Dini, Fernando; Di Giuseppe, Graziano</t>
  </si>
  <si>
    <t>Diterpenoids from Marine Ciliates: Chemical Polymorphism of Euplotes rariseta</t>
  </si>
  <si>
    <t>EUROPEAN JOURNAL OF ORGANIC CHEMISTRY</t>
  </si>
  <si>
    <t>Natural products; Structure elucidation; Fused-ring systems; Polymorphism</t>
  </si>
  <si>
    <t>MECHANISMS; METABOLITE; CRASSUS; DNA</t>
  </si>
  <si>
    <t>A homogeneous, though multifaceted, secondary metabolic character emerges from a detailed investigation of secondary metabolites produced by the ciliate species Euplotes rariseta. In particular, from the strain NZ2, collected in New Zealand (Omaha Bay), two new irregular diterpenoids, omaholidenol (6) and omaholidenal (7), have been isolated which are the C5 homologues of rarisetenolide (1), the latter being previously found as the main secondary metabolite in different strains of the same species. On the other hand, from strain Ubt22, three new diterpenoids, ubatubaolidenal (8), ubatubadial A (9), and ubatubadial B (10), have been found. Finally, two new diterpenoids, epoxyfocardolide (11) and prenyl epoxyrarisetenolde (12), were isolated in low yields from the sister species Euplotes quinquecarinatus and Euplotes parkei, respectively. All these findings strongly suggest, in addition to a wide chemical polymorphism in E. rariseta populations, a close parallelism between the production pattern of secondary metabolites and the phylogenetic relationships of the species, confirming the chemotaxonomic utility of these compounds in the ciliate genus Euplotes.</t>
  </si>
  <si>
    <t>[Guella, Graziano; Callone, Emanuela; Mancini, Ines] Univ Trento, Dept Phys, Bioorgan Chem Lab, I-38123 Povo, TN, Italy; [Guella, Graziano] Univ Trento, Inst Biophys, CNR, I-38123 Povo, TN, Italy; [Dini, Fernando; Di Giuseppe, Graziano] Univ Pisa, Dept Biol, I-56126 Pisa, Italy</t>
  </si>
  <si>
    <t>University of Trento; University of Trento; Consiglio Nazionale delle Ricerche (CNR); Istituto di Biofisica (IBF-CNR); University of Pisa</t>
  </si>
  <si>
    <t>Guella, G (corresponding author), Univ Trento, Dept Phys, Bioorgan Chem Lab, Via Sommarive 14, I-38123 Povo, TN, Italy.</t>
  </si>
  <si>
    <t>graziano.guella@unitn.it</t>
  </si>
  <si>
    <t>Callone, Emanuela/G-2610-2016; Graziano, Guella/A-6283-2010; Mancini, Ines/H-8781-2019</t>
  </si>
  <si>
    <t>Callone, Emanuela/0000-0003-4888-1321; Graziano, Guella/0000-0002-1799-0819; Mancini, Ines/0000-0003-0297-3685; Di Giuseppe, Graziano/0000-0002-9999-7650</t>
  </si>
  <si>
    <t>Italian Program of Antarctic Research (PNRA); Ministero dell'Istruzione, Universita e Ricerca</t>
  </si>
  <si>
    <t>Italian Program of Antarctic Research (PNRA); Ministero dell'Istruzione, Universita e Ricerca(Ministry of Education, Universities and Research (MIUR))</t>
  </si>
  <si>
    <t>This work was financially supported by the Italian Program of Antarctic Research (PNRA) and by a financial contribution provided by the Ministero dell'Istruzione, Universita e Ricerca in relation to PRIN research projects. The authors would like to thank Adriano Sterni for EI-MS measurements and Dr. F. Frontini for helpful technical assistance.</t>
  </si>
  <si>
    <t>1434-193X</t>
  </si>
  <si>
    <t>1099-0690</t>
  </si>
  <si>
    <t>EUR J ORG CHEM</t>
  </si>
  <si>
    <t>Eur. J. Org. Chem.</t>
  </si>
  <si>
    <t>10.1002/ejoc.201200559</t>
  </si>
  <si>
    <t>003AP</t>
  </si>
  <si>
    <t>WOS:000308580800011</t>
  </si>
  <si>
    <t>Otto, CA; Shemenski, R; Drudi, L</t>
  </si>
  <si>
    <t>Otto, Christian A.; Shemenski, Ronald; Drudi, Laura</t>
  </si>
  <si>
    <t>Real-Time Tele-echocardiography: Diagnosis and Management of a Pericardial Effusion Secondary to Pericarditis at an Antarctic Research Station</t>
  </si>
  <si>
    <t>TELEMEDICINE AND E-HEALTH</t>
  </si>
  <si>
    <t>cardiology/cardiovascular disease; extreme environments; telehealth; telemedicine</t>
  </si>
  <si>
    <t>The McMurdo Research Station medical facility functions at the level of a rural community hospital emergency department. Telehealth technology has played an increasingly important role in providing intercontinental tertiary healthcare consultations, particularly for assistance with diagnostically challenging cases or cases involving complicated medical management. The role of telehealth in Antarctica is vital given the harsh and remote environment. The following case discusses a real-time tele-ultrasound consultation between the station physician and a patient with pericarditis at the McMurdo Medical Clinic in Antarctica and a team of cardiology consultants at the University of Texas Medical Branch, Galveston, TX. The use of teleheath technologies prevented an unnecessary intercontinental medical evacuation and allowed the patient to receive treatment at the McMurdo Research Station. This case report demonstrates that real-time tele-ultrasound can serve as an important diagnostic resource in the delivery of healthcare to isolated populations in remote environments.</t>
  </si>
  <si>
    <t>[Otto, Christian A.] Baylor Coll Med, Dept Emergency Med, Houston, TX 77030 USA; [Otto, Christian A.] US Antarctic Program, McMurdo Stn, Christchurch, New Zealand; [Shemenski, Ronald] Raytheon Polar Serv Co, Centennial, CO USA; [Drudi, Laura] McGill Univ, Montreal, PQ, Canada</t>
  </si>
  <si>
    <t>Baylor College of Medicine; McGill University</t>
  </si>
  <si>
    <t>Otto, CA (corresponding author), Baylor Coll Med, Dept Emergency Med, Houston, TX 77030 USA.</t>
  </si>
  <si>
    <t>christianotto@hotmail.com</t>
  </si>
  <si>
    <t>DRUDI, LAURA/HTP-6781-2023</t>
  </si>
  <si>
    <t>Drudi, Laura/0000-0003-4408-2979</t>
  </si>
  <si>
    <t>MARY ANN LIEBERT, INC</t>
  </si>
  <si>
    <t>NEW ROCHELLE</t>
  </si>
  <si>
    <t>140 HUGUENOT STREET, 3RD FL, NEW ROCHELLE, NY 10801 USA</t>
  </si>
  <si>
    <t>1530-5627</t>
  </si>
  <si>
    <t>1556-3669</t>
  </si>
  <si>
    <t>TELEMED E-HEALTH</t>
  </si>
  <si>
    <t>Telemed. e-Health</t>
  </si>
  <si>
    <t>10.1089/tmj.2011.0266</t>
  </si>
  <si>
    <t>Health Care Sciences &amp; Services</t>
  </si>
  <si>
    <t>004TF</t>
  </si>
  <si>
    <t>WOS:000308703300006</t>
  </si>
  <si>
    <t>Maksymowicz, A; Contreras-Reyes, E; Grevemeyer, I; Flueh, ER</t>
  </si>
  <si>
    <t>Maksymowicz, Andrei; Contreras-Reyes, Eduardo; Grevemeyer, Ingo; Flueh, Ernst R.</t>
  </si>
  <si>
    <t>Structure and geodynamics of the post-collision zone between the Nazca-Antarctic spreading center and South America</t>
  </si>
  <si>
    <t>accretionary prism; Patagonia; Antarctic plate; subduction; erosion; Chile Triple Junction</t>
  </si>
  <si>
    <t>CHILE-TRIPLE-JUNCTION; RIDGE SUBDUCTION; MARGIN; TRENCH; SEDIMENT; CLIMATE; PLATES</t>
  </si>
  <si>
    <t>The Chile Triple Junction (CTJ) is the place where the Chile Ridge (Nazca-Antarctic spreading center) is subducting beneath the continental South American plate. Sediment accretion is active to the south of the CTJ in the area where the northward migrating Chile Ridge has collided with the continent since 14 Ma. At the CTJ, tectonic erosion of the overriding plate narrows and steepens the continental slope. We present here a detailed tomographic image of the upper lithospheric Antarctic-South America subduction zone where the Chile Ridge collided with the continent 3-6 Ma off Golfo de Penas. Results reveal that a large portion of trench sediment has been scraped off and frontally accreted to the forearc forming a 70-80 km wide accretionary prism. The velocity-depth model shows a discontinuity at 30-40 km landward of the deformation front, which is interpreted as the contact between the frontal (poorly consolidated sedimentary unit) and middle (more compacted sedimentary unit) accretionary prism. The formation of this discontinuity could be related to a short term episode of reduced trench sedimentation. In addition, we model the shape of the continental slope using a Newtonian fluid rheology to study the convergence rate at which the accretionary prism was formed. Results are consistent with an accretionary prism formed after the collision of the Chile Ridge under slow convergence rate similar to those observed at present between Antarctic and South America (similar to 2.0 cm/a). Based on the kinematics of the Chile Ridge subduction during the last 13 Ma, we propose that the accretionary prism off Golfo de Penas was formed recently (similar to 5 Ma) after the collision of the Chile Ridge with South America. (C) 2012 Elsevier B.V. All rights reserved.</t>
  </si>
  <si>
    <t>[Maksymowicz, Andrei; Contreras-Reyes, Eduardo] Univ Chile, Fac Ciencias Fis &amp; Matemat, Dept Geofis, Santiago 2002, Chile; [Grevemeyer, Ingo; Flueh, Ernst R.] GEOMAR, Helmholtz Ctr Ocean Res, D-24148 Kiel, Germany</t>
  </si>
  <si>
    <t>Universidad de Chile; Helmholtz Association; GEOMAR Helmholtz Center for Ocean Research Kiel</t>
  </si>
  <si>
    <t>Maksymowicz, A (corresponding author), Univ Chile, Fac Ciencias Fis &amp; Matemat, Dept Geofis, Santiago 2002, Chile.</t>
  </si>
  <si>
    <t>andrei@dgf.uchile.cl</t>
  </si>
  <si>
    <t>Grevemeyer, Ingo/E-5162-2016; Maksymowicz, Andrei/H-1303-2016; Contreras-Reyes, Eduardo/H-3867-2013</t>
  </si>
  <si>
    <t>Grevemeyer, Ingo/0000-0002-6807-604X; Maksymowicz, Andrei/0000-0003-1049-1133; Contreras-Reyes, Eduardo/0000-0002-6506-9258</t>
  </si>
  <si>
    <t>Chilean National Science Cooperation (CONICYT); Chilean National Science Foundation (FONDECYT) [11090009]; German government (BMBF) [03G0181A]</t>
  </si>
  <si>
    <t>Chilean National Science Cooperation (CONICYT)(Comision Nacional de Investigacion Cientifica y Tecnologica (CONICYT)); Chilean National Science Foundation (FONDECYT)(Comision Nacional de Investigacion Cientifica y Tecnologica (CONICYT)CONICYT FONDECYT); German government (BMBF)(Federal Ministry of Education &amp; Research (BMBF))</t>
  </si>
  <si>
    <t>Andrei Maksymowicz gratefully acknowledges a scholarship granted by the Chilean National Science Cooperation (CONICYT). Eduardo Contreras-Reyes acknowledges the support of the Chilean National Science Foundation (FONDECYT) Project 11090009. Seismic refraction and wide-angle data used in the study were acquired during the cruise SO181 of the German R/V SONNE. Sea-going effort were sponsored by the German government (BMBF Grant 03G0181A). We acknowledge the Lamont Dohorty Earth Observatory for sharing the seismic multichannel data collected in 1988 during the cruise RC 2901 of the RV Conrad. We also thank Harm Van Avendonk, an anonymous reviewer, and the Editor Peter Shearer for constructive comments.</t>
  </si>
  <si>
    <t>10.1016/j.epsl.2012.06.023</t>
  </si>
  <si>
    <t>002HN</t>
  </si>
  <si>
    <t>WOS:000308522800004</t>
  </si>
  <si>
    <t>Bonadonna, F; Sanz-Aguilar, A</t>
  </si>
  <si>
    <t>Bonadonna, Francesco; Sanz-Aguilar, Ana</t>
  </si>
  <si>
    <t>Kin recognition and inbreeding avoidance in wild birds: the first evidence for individual kin-related odour recognition</t>
  </si>
  <si>
    <t>ANIMAL BEHAVIOUR</t>
  </si>
  <si>
    <t>chemical communication; European storm petrel; Hydrobates pelagicus; kin recognition; olfaction; petrel; seabird</t>
  </si>
  <si>
    <t>EUROPEAN STORM-PETREL; OLFACTORY SIGNATURE; HALOBAENA-CAERULEA; ANTARCTIC PRIONS; DIMETHYL SULFIDE; NEST RECOGNITION; BLUE PETRELS; SCENT; MECHANISM; MATE</t>
  </si>
  <si>
    <t>Identification of family members plays a primary role in the evolution of social behaviours such as nepotism, altruism and mate choice. The process is particularly important for philopatric species in which the encounter rate of kin-related conspecifics is high. Olfactory-based recognition of individual kin has been identified in most species, with the exception of birds; historically, birds were thought to have poor olfactory abilities, so the use of olfactory cues was ruled out a priori. Here, we show that European storm petrels, Hydrobates pelagicus, are able to distinguish kin from nonkin odours. Using special cotton swabs, like those used in forensic police procedures, we offered birds a binary choice in a Y-maze. Birds significantly preferred odours of unrelated individuals. Olfactory imprinting on a 'family olfactory template' or self-referent phenotype matching may be the mechanism underlying this effect. This choice behaviour may allow these highly philopatric birds to avoid inbreeding and select an appropriate mate. Our results suggest that sophisticated olfactory communication is relevant in birds, and leads to important behavioural traits such as philopatry. (c) 2012 The Association for the Study of Animal Behaviour. Published by Elsevier Ltd. All rights reserved.</t>
  </si>
  <si>
    <t>[Bonadonna, Francesco; Sanz-Aguilar, Ana] CNRS, CEFE, UMR 5175, F-34293 Montpellier, France</t>
  </si>
  <si>
    <t>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t>
  </si>
  <si>
    <t>Bonadonna, F (corresponding author), CNRS, CEFE, UMR 5175, 1919 Route Mende, F-34293 Montpellier, France.</t>
  </si>
  <si>
    <t>francesco.bonadonna@cefe.cnrs.fr</t>
  </si>
  <si>
    <t>Bonadonna, Francesco/A-7456-2008; Sanz-Aguilar, Ana/D-3778-2014</t>
  </si>
  <si>
    <t>Bonadonna, Francesco/0000-0002-2702-5801; Sanz-Aguilar, Ana/0000-0002-4177-9749</t>
  </si>
  <si>
    <t>Agence Nationale de la Recherche Francaise [AMBO ANR-08-BLAN-0117-01]; Marie Curie Fellowship</t>
  </si>
  <si>
    <t>Agence Nationale de la Recherche Francaise(Agence Nationale de la Recherche (ANR)); Marie Curie Fellowship(European Union (EU))</t>
  </si>
  <si>
    <t>This work was supported by the Agence Nationale de la Recherche Francaise (AMBO ANR-08-BLAN-0117-01 to F.B.) and by a Marie Curie Fellowship (Ref. MATERGLOBE to A.S.-A.). We are grateful to the Ward and Environmental Monitoring Service of Benidorm Island (Serra Gelada Natural Park, Generalitat Valenciana) and its director Dr E. Minguez. We thank K. Alexander and Dr M. Rahmoun for valuable help in the field. We are grateful to Professor Mary C. Olmstead for her comments on the manuscript. We are also grateful to two anonymous referees for very constructive comments.</t>
  </si>
  <si>
    <t>0003-3472</t>
  </si>
  <si>
    <t>ANIM BEHAV</t>
  </si>
  <si>
    <t>Anim. Behav.</t>
  </si>
  <si>
    <t>10.1016/j.anbehav.2012.06.014</t>
  </si>
  <si>
    <t>Behavioral Sciences; Zoology</t>
  </si>
  <si>
    <t>996VU</t>
  </si>
  <si>
    <t>WOS:000308123700004</t>
  </si>
  <si>
    <t>Regional Variation in Lytic and Lysogenic Viral Infection in the Southern Ocean and Its Contribution to Biogeochemical Cycling</t>
  </si>
  <si>
    <t>APPLIED AND ENVIRONMENTAL MICROBIOLOGY</t>
  </si>
  <si>
    <t>GROWTH EFFICIENCY; MARINE VIRUSES; WEDDELL SEA; PHYTOPLANKTON; IRON; BACTERIOPLANKTON; BIOAVAILABILITY; ABUNDANCE; DYNAMICS; BACTERIA</t>
  </si>
  <si>
    <t>Lytic and lysogenic viral infection was investigated throughout the Southern Ocean at sites spanning the sub-Antarctic zone, the Antarctic Circumpolar Current, and an Antarctic continental sea. Higher lytic virus activity was recorded in the more productive sub-Antarctic zone than in the iron-limited waters of the Antarctic Circumpolar Current during two transects. Reduced lytic viral activity in the Antarctic Circumpolar Current was combined with a shift toward lysogenic infection, probably resulting from the lower concentration of potential prokaryotic hosts. Superimposed on this variation, lytic viral production was lower in a transect completed in the Drake Passage in autumn (1.8 x 10(8) to 1.5 x 10(9) liter(-1) day(-1)) than over the Greenwich Meridian during summer (5.1 x 10(8) to 2.0 x 10(10) cells liter(-1) day(-1)), indicating that viral activity is linked to the overall seasonal fluctuations in biotic activity. Interestingly, while prokaryotic abundance was lowest in the coastal Weddell Sea, levels of bacterial and lytic viral production (4.3 x 10(8) to 1.7 x 10(10) cells liter(-1) day(-1)) in this area were similar to those of the other zones. This may explain the weak relationship between the distribution of prokaryotes and chlorophyll in the Weddell Sea, as a high turnover of prokaryotic biomass may have been stimulated by the availability of substrates in the form of viral lysate. With estimated carbon and iron releases of 0.02 to 7.5 mu g liter(-1) day(-1) and 1.5 to 175.7 pg day(-1), respectively, viral activity in the Southern Ocean is shown to be a major contributor to satisfying the elemental requirements of microbes, notably prokaryotes in the Weddell Sea and phytoplankton in the sub-Antarctic zone.</t>
  </si>
  <si>
    <t>[Evans, Claire; Brussaard, Corina P. D.] Royal Netherlands Inst Sea Res, Dept Biol Oceanog, Den Burg, Texel, Netherlands</t>
  </si>
  <si>
    <t>Evans, C (corresponding author), Royal Netherlands Inst Sea Res, Dept Biol Oceanog, Den Burg, Texel, Netherlands.</t>
  </si>
  <si>
    <t>Division for Earth and Life Sciences (ALW); Netherlands Organization for Scientific Research (NWO)</t>
  </si>
  <si>
    <t>Division for Earth and Life Sciences (ALW); Netherlands Organization for Scientific Research (NWO)(Netherlands Organization for Scientific Research (NWO))</t>
  </si>
  <si>
    <t>This work was supported by the Division for Earth and Life Sciences (ALW) with financial aid from the Netherlands Organization for Scientific Research (NWO).</t>
  </si>
  <si>
    <t>0099-2240</t>
  </si>
  <si>
    <t>1098-5336</t>
  </si>
  <si>
    <t>APPL ENVIRON MICROB</t>
  </si>
  <si>
    <t>Appl. Environ. Microbiol.</t>
  </si>
  <si>
    <t>10.1128/AEM.01388-12</t>
  </si>
  <si>
    <t>Biotechnology &amp; Applied Microbiology; Microbiology</t>
  </si>
  <si>
    <t>999SX</t>
  </si>
  <si>
    <t>WOS:000308336400043</t>
  </si>
  <si>
    <t>Gandhi, N; Ramesh, R; Laskar, AH; Sheshshayee, MS; Shetye, S; Anilkumar, N; Patil, SM; Mohan, R</t>
  </si>
  <si>
    <t>Gandhi, Naveen; Ramesh, R.; Laskar, A. H.; Sheshshayee, M. S.; Shetye, Suhas; Anilkumar, N.; Patil, Shramik M.; Mohan, Rahul</t>
  </si>
  <si>
    <t>Zonal variability in primary production and nitrogen uptake rates in the southwestern Indian Ocean and the Southern Ocean</t>
  </si>
  <si>
    <t>The Southern Ocean; Zonal variability; Light; New production; C-13; N-15</t>
  </si>
  <si>
    <t>PHYTOPLANKTON COMMUNITY STRUCTURE; ATLANTIC SECTOR; IRON ENRICHMENT; UPTAKE REGIME; N-15 UPTAKE; FRONTS; C-13; DISTRIBUTIONS; NUTRIENT; AMMONIUM</t>
  </si>
  <si>
    <t>Hydrographic parameters along with the primary and new production measurements were carried out during the austral summer, 2009, in the southwestern Indian Ocean and Indian sector of the Southern Ocean (SO). The production varies from 185 to &gt; 900 mg C m(-2) d(-1) in different zones of SO. The zonal variations in production accompany variations in SST, salinity and nutrients. Further, the new production (0.3 to 4.1 mmol N m(-2) d(-1)) covaries with the overall production, while the uptake of reduced forms of nitrogen (both NH4 and urea) show opposite trends. In the NO3 limiting environment (north of subtropical convergence), NH4 uptake dominates the total regenerated production, whereas, urea uptake dominates the regenerated production under Si, light and micronutrient (e.g., Fe) limiting conditions (found between the subtropical convergence and Antarctica). On the basis of the C and N uptake data, the studied region can be divided into five zones (from the south to the north) viz., located between (i) the Antarctic continent and the polar front (Antarctic zone; ANZ), (ii) the polar and subantarctic fronts (SAF) (Polar frontal zone; PFZ), (iii) SAF and Agulhas Retroflection fronts (ARF) (South Subtropical front; SSTF), (iv) subtropical frontal zone (STFZ), and (v) ARF and the north subtropical front (Subtropical zone; STZ). Except at SSTF, regenerated production dominates in all the zones. From the south to the north, this could be due to different reasons e.g., light, grazing by zooplankton, supply of key micronutrients (probably Fe), Si-limitation, or NO3-limitation. In the absence of such limitations, the maximum possible f-ratio in SO could be as high as 0.78 +/- 0.12 and under such conditions the region could export most of the total production to the deep. Supply of micronutrients through the Agulhas return current and from the Crozet Island supports the higher chl a, C uptake and new production at the 48 degrees E transect relative to the 57.5 degrees E transect. The C:N assimilation ratio is found to be 5.64, marginally lower than the canonical Redfield ratio. This slight difference is likely due to the variation in the composition of phytoplankton and NO3-limitation in some zones. A comparison with earlier results shows that seasonal and spatial variations in f-ratios in these zones are much higher than its inter-annual variability. (c) 2012 Elsevier Ltd. All rights reserved.</t>
  </si>
  <si>
    <t>[Gandhi, Naveen; Ramesh, R.; Laskar, A. H.] Phys Res Lab, Geosci Div, Ahmadabad 380009, Gujarat, India; [Sheshshayee, M. S.] Univ Agr Sci Bangalore, Dept Crop Physiol, Bangalore 560065, Karnataka, India; [Shetye, Suhas; Anilkumar, N.; Patil, Shramik M.; Mohan, Rahul] Natioanl Ctr Antarctic &amp; Ocean Res, Vasco Da Gama 403804, Goa, India</t>
  </si>
  <si>
    <t>Department of Space (DoS), Government of India; Physical Research Laboratory - India; University of Agricultural Sciences Bangalore; Ministry of Earth Sciences (MoES) - India; National Centre for Polar and Ocean Research (NCPOR)</t>
  </si>
  <si>
    <t>Sreeman, Sheshshayee/ABI-2719-2020; Laskar, Amzad/K-5125-2019; Ramachandran, Ramesh/AAI-1583-2020</t>
  </si>
  <si>
    <t>Laskar, Amzad/0000-0003-1875-8314; Ramachandran, Ramesh/0000-0003-2471-7746; Patil, Shramik/0000-0001-8937-1403; Sreeman, Sheshshayee/0000-0002-2634-8596</t>
  </si>
  <si>
    <t>ISRO-GBP, Department of Space Government of India</t>
  </si>
  <si>
    <t>We thank Mr. Rahul Shah (Gujarat University, Ahmedabad), Drs. M. Sudhakar, and Shailesh Pednekar (National Centre for Antarctic and Ocean Research; NCAOR, Goa), and crew of the RV Akademik Boris Petrov (35 ABP) for their help. Funding from ISRO-GBP, Department of Space Government of India is gratefully acknowledged. SS, RM and NA thank the Director, NCAOR, Goa. NG thank the Director, IITM, Pune. This is also NCAOR contribution No. 18/2012.</t>
  </si>
  <si>
    <t>10.1016/j.dsr.2012.05.003</t>
  </si>
  <si>
    <t>002EW</t>
  </si>
  <si>
    <t>WOS:000308515700004</t>
  </si>
  <si>
    <t>Santora, JA; Sydeman, WJ; Schroeder, ID; Reiss, CS; Wells, BK; Field, JC; Cossio, AM; Loeb, VJ</t>
  </si>
  <si>
    <t>Santora, Jarrod A.; Sydeman, William J.; Schroeder, Isaac D.; Reiss, Christian S.; Wells, Brian K.; Field, John C.; Cossio, Anthony M.; Loeb, Valerie J.</t>
  </si>
  <si>
    <t>Krill space: a comparative assessment of mesoscale structuring in polar and temperate marine ecosystems</t>
  </si>
  <si>
    <t>ICES JOURNAL OF MARINE SCIENCE</t>
  </si>
  <si>
    <t>Antarctic Peninsula; California Current; eddy kinetic energy; krill; mesoscale; spatial organization</t>
  </si>
  <si>
    <t>SOUTH SHETLAND ISLANDS; EUPHAUSIA-SUPERBA; ANTARCTIC PENINSULA; TOP PREDATORS; VARIABILITY; FISHERIES; BIOMASS; PACIFICA; HOTSPOTS; VICINITY</t>
  </si>
  <si>
    <t>The spatial organization, mesoscale variability, and habitat associations of krill within portions of the Antarctic Peninsula and California Current marine ecosystems are compared. Using a decade of acoustic observations and remotely sensed oceanography (2000-2009), the hypothesis that mesoscale spatial organization of krill in both systems closely relates to geospatial variability of the shelf break and is non-linearly related to geostrophic flow and positively related to chlorophyll a (Chl a) is tested. Directional-dependence analysis to measure spatial variability of krill is used along with spatially explicit generalized additive models to quantify and compare the spatial relationships among krill and habitat characteristics in both systems. The results suggest the following aspects of krill spatial organization: (i) areas of dense aggregation, i. e. hot spots, are present in both systems and are orientated in the direction of the shelf break, (ii) moderate levels of eddy kinetic energy seem to concentrate krill in favourable habitats and lessen the likelihood of advection away from the system, and (iii) variable responses to surface Chl a concentration suggest that realtime Chl a values may not be useful as a global predictor of important krill habitat. The results provide valuable reference points for marine spatial management of krill and for refining ecosystem and foodweb models.</t>
  </si>
  <si>
    <t>[Santora, Jarrod A.; Sydeman, William J.] Farallon Inst Adv Ecosyst Res, Petaluma, CA 94952 USA; [Santora, Jarrod A.; Reiss, Christian S.; Cossio, Anthony M.] NOAA, Antarctic Ecosyst Res Div, SW Fisheries Sci Ctr, La Jolla, CA 92037 USA; [Schroeder, Isaac D.] NOAA, Pacific Fisheries Environm Lab, SW Fisheries Sci Ctr, Pacific Grove, CA USA; [Wells, Brian K.; Field, John C.] NOAA, Fisheries Ecol Div, SW Fisheries Sci Ctr, Santa Cruz, CA 95060 USA; [Loeb, Valerie J.] Moss Landing Marine Labs, Moss Landing, CA 95039 USA</t>
  </si>
  <si>
    <t>National Oceanic Atmospheric Admin (NOAA) - USA; National Oceanic Atmospheric Admin (NOAA) - USA; National Oceanic Atmospheric Admin (NOAA) - USA; Moss Landing Marine Laboratories</t>
  </si>
  <si>
    <t>Santora, JA (corresponding author), Farallon Inst Adv Ecosyst Res, POB 750756, Petaluma, CA 94952 USA.</t>
  </si>
  <si>
    <t>jasantora@gmail.com</t>
  </si>
  <si>
    <t>Cossio, Anthony/HLX-3335-2023</t>
  </si>
  <si>
    <t>AMLR programme; California Ocean Protection Council and California Sea Grant [OPC-ENV-07]; NASA [NNX09AU39G]; NASA [NNX09AU39G, 105636] Funding Source: Federal RePORTER</t>
  </si>
  <si>
    <t>AMLR programme; California Ocean Protection Council and California Sea Grant; NASA(National Aeronautics &amp; Space Administration (NASA)); NASA(National Aeronautics &amp; Space Administration (NASA))</t>
  </si>
  <si>
    <t>We thank the past and current members of the Antarctic Marine Living Resources (AMLR) programme and the Groundfish Analysis Team at the NOAA Southwest Fisheries Science Center. Funding support for the project was provided by contracts to J. A. Santora from the AMLR programme, and grants from the California Ocean Protection Council and California Sea Grant (OPC-ENV-07) to W. J. Sydeman and S. J. Bograd and to F. Chavez and B. K. Wells from NASA (project NNX09AU39G).</t>
  </si>
  <si>
    <t>1054-3139</t>
  </si>
  <si>
    <t>1095-9289</t>
  </si>
  <si>
    <t>ICES J MAR SCI</t>
  </si>
  <si>
    <t>ICES J. Mar. Sci.</t>
  </si>
  <si>
    <t>10.1093/icesjms/fss048</t>
  </si>
  <si>
    <t>Fisheries; Marine &amp; Freshwater Biology; Oceanography</t>
  </si>
  <si>
    <t>995MK</t>
  </si>
  <si>
    <t>WOS:000308012000021</t>
  </si>
  <si>
    <t>Deacon, M</t>
  </si>
  <si>
    <t>Deacon, Margaret</t>
  </si>
  <si>
    <t>An Empire of Ice: Scott, Shackleton and the heroic age of Antarctic science</t>
  </si>
  <si>
    <t>INTERNATIONAL JOURNAL OF NAUTICAL ARCHAEOLOGY</t>
  </si>
  <si>
    <t>Book Review</t>
  </si>
  <si>
    <t>1057-2414</t>
  </si>
  <si>
    <t>INT J NAUT ARCHAEOL</t>
  </si>
  <si>
    <t>Int. J. Naut. Archaeol.</t>
  </si>
  <si>
    <t>10.1111/j.1095-9270.2012.00354_28.x</t>
  </si>
  <si>
    <t>Archaeology</t>
  </si>
  <si>
    <t>988OV</t>
  </si>
  <si>
    <t>WOS:000307501300042</t>
  </si>
  <si>
    <t>Whittington, AC; Moerland, TS</t>
  </si>
  <si>
    <t>Whittington, A. Carl; Moerland, Timothy S.</t>
  </si>
  <si>
    <t>Resurrecting prehistoric parvalbumins to explore the evolution of thermal compensation in extant Antarctic fish parvalbumins</t>
  </si>
  <si>
    <t>ancestral sequence reconstruction; EF-hand; environmental adaptation; Notothenioidei; protein structure/function; Southern Ocean</t>
  </si>
  <si>
    <t>SKELETAL-MUSCLE RELAXATION; MG2+ DISSOCIATION RATES; TEMPERATURE ADAPTATION; NOTOTHENIOID FISHES; BETA-PARVALBUMIN; DNA-SEQUENCES; EF-HAND; CONFORMATIONAL FLEXIBILITY; NUCLEOTIDE SUBSTITUTION; ALPHA-PARVALBUMIN</t>
  </si>
  <si>
    <t>Parvalbumins (PVs) from Antarctic notothenioid fishes display a pattern of thermal adaptation that likely reflects evolutionary changes in protein conformational flexibility. We have used ancestral sequence reconstruction and homology modeling to identify two amino acid changes that could potentially account for the present thermal sensitivity pattern of Antarctic fish PVs compared with a PV from a theoretical warm-adapted ancestral fish. To test this hypothesis, ancient PVs were resurrected in the lab using PV from the notothenioid Gobionotothen gibberifrons as a platform for introducing mutations comparable to the reconstructed ancestral PV sequences. The wild-type PV (WT) as well as three mutant expression constructs were engineered: lysine 8 to asparagine (K8N), lysine 26 to asparagine (K26N) and a double mutant (DM). Calcium equilibrium dissociation constants (K-d) versus temperature curves for all mutants were right-shifted, as predicted, relative to that of WT PV. The K-d values for the K8N and K26N single mutants were virtually identical at all temperatures and showed an intermediate level of thermal sensitivity. The DM construct displayed a full conversion of thermal sensitivity pattern to that of a PV from a warm/temperate-adapted fish. Additionally, the K-d versus temperature curve for the WT construct revealed greater thermal sensitivity compared with the mutant constructs. Measurements of the rates of Ca2+ dissociation (k(off)) showed that all mutants generally had slower k(off) values than WT at all temperatures. Calculated rates of Ca2+ binding (k(on)) for the K8N and K26N mutants were similar to values for the WT PV at all temperatures. In contrast, the calculated k(on) values for the DM PV were faster, providing mechanistic insights into the nature of potentially adaptive changes in Ca2+ binding in this PV. The overall results suggest that the current thermal phenotype of Antarctic PVs can be recapitulated by just two amino acid substitutions.</t>
  </si>
  <si>
    <t>[Whittington, A. Carl] Florida State Univ, Dept Biol Sci, Tallahassee, FL 32306 USA; [Moerland, Timothy S.] Kent State Univ, Dept Biol Sci, Kent, OH 44242 USA</t>
  </si>
  <si>
    <t>State University System of Florida; Florida State University; University System of Ohio; Kent State University; Kent State University Salem; Kent State University Kent</t>
  </si>
  <si>
    <t>Whittington, AC (corresponding author), Florida State Univ, Dept Biol Sci, B-157, Tallahassee, FL 32306 USA.</t>
  </si>
  <si>
    <t>awhittington@chem.fsu.edu</t>
  </si>
  <si>
    <t>National Science Foundation (NSF) Office of Polar Programs grant; National Science Foundation [OPP 01-25890]</t>
  </si>
  <si>
    <t>National Science Foundation (NSF) Office of Polar Programs grant(National Science Foundation (NSF)); National Science Foundation(National Science Foundation (NSF))</t>
  </si>
  <si>
    <t>We would like to thank Danielle Sandoz-Osmus for assistance during the sequencing phase of the project. We would also like to thank Dr Jonathan Davis and the Davis Lab at The Ohio State University Medical Center for training and assistance with stopped-flow spectrometry measurements. Dr P. Bryant Chase provided helpful comments on the manuscript. Dr Ross Ellington provided invaluable assistance at all stages of this project. The late Dr Bruce Sidell provided critical input in the initial stages of this project and made possible specimen collection through a National Science Foundation (NSF) Office of Polar Programs grant.; The National Science Foundation (OPP 01-25890 to B. Sidell) provided funding for specimen collection at Palmer Station, Antarctica.</t>
  </si>
  <si>
    <t>10.1242/jeb.070615</t>
  </si>
  <si>
    <t>995VH</t>
  </si>
  <si>
    <t>WOS:000308041400021</t>
  </si>
  <si>
    <t>Loreto, MF; Tinivella, U</t>
  </si>
  <si>
    <t>Loreto, Maria Filomena; Tinivella, Umberta</t>
  </si>
  <si>
    <t>Gas hydrate versus geological features: The South Shetland case study</t>
  </si>
  <si>
    <t>MARINE AND PETROLEUM GEOLOGY</t>
  </si>
  <si>
    <t>Hydrate distribution; Porosity; BSR; Free gas; Micro-fractures</t>
  </si>
  <si>
    <t>ANTARCTIC PENINSULA; MARINE-SEDIMENTS; SEISMIC DATA; VELOCITY ANALYSIS; MARGIN; SEA; DEFORMATION; INVERSION; MIGRATION; PLATE</t>
  </si>
  <si>
    <t>gas hydrate reservoir is hosted in marine sediments of an accretionary prism, located offshore the South Shetland Islands (Antarctic Peninsula), and affected by widespread deformations. To analyse gas hydrate distribution and fluid circulation inside sediments, available velocity models were used. Seismic velocities are translated in terms of hydrate porosity, which is the difference between the reference porosity (i.e., the porosity without gas hydrate) and the effective porosity (i.e., the porosity reduced by the gas hydrate presence). The pre-stack depth migration sections underlined the presence of several geological features, such as gentle and open folds, fractures and faults. In this paper, we observed a relationship between syncline-anticline structures and hydrate presence. In particular, a relationship is underlined between the hydrate porosity values and the distance from the hinge of the anticline: the hydrate porosity increases toward the limbs of anticline. The micro-fracturing model supports the idea that the syncline favours the hydrate formation, while the anticline favours the free gas accumulation below the bottom simulating reflector. (c) 2012 Elsevier Ltd. All rights reserved.</t>
  </si>
  <si>
    <t>[Loreto, Maria Filomena; Tinivella, Umberta] Ist Nazl Oceanog &amp; Geofis Sperimentale, I-34010 Trieste, Italy</t>
  </si>
  <si>
    <t>Istituto Nazionale di Oceanografia e di Geofisica Sperimentale</t>
  </si>
  <si>
    <t>Loreto, MF (corresponding author), ISMAR UOS, Bologna, Italy.</t>
  </si>
  <si>
    <t>mfloreto@ogs.trieste.it</t>
  </si>
  <si>
    <t>Tinivella, Umberta/AAF-3133-2020; Loreto, Maria Filomena/AAY-4782-2020; CNR, Ismar/P-1247-2014</t>
  </si>
  <si>
    <t>Tinivella, Umberta/0000-0002-1588-6452; Loreto, Maria Filomena/0000-0003-1960-8684; CNR, Ismar/0000-0001-5351-1486</t>
  </si>
  <si>
    <t>PNRA program</t>
  </si>
  <si>
    <t>Thanks to the PNRA program that partially supports this project. A special thanks to the Dr. Daniela Accettella who has processed the multibeam data.</t>
  </si>
  <si>
    <t>0264-8172</t>
  </si>
  <si>
    <t>MAR PETROL GEOL</t>
  </si>
  <si>
    <t>Mar. Pet. Geol.</t>
  </si>
  <si>
    <t>10.1016/j.marpetgeo.2012.04.005</t>
  </si>
  <si>
    <t>991HK</t>
  </si>
  <si>
    <t>WOS:000307691900011</t>
  </si>
  <si>
    <t>Fukuda, K; Thomas, DB; Frew, RD; Fordyce, RE</t>
  </si>
  <si>
    <t>Fukuda, Kenichi; Thomas, Daniel B.; Frew, Russell D.; Fordyce, R. Ewan</t>
  </si>
  <si>
    <t>Antarctic glaciation recorded in Early Miocene New Zealand foraminifera</t>
  </si>
  <si>
    <t>MARINE MICROPALEONTOLOGY</t>
  </si>
  <si>
    <t>foraminifera; geochemistry; Mg/Ca thermometer; palaeoclimate; palaeotemperature</t>
  </si>
  <si>
    <t>STRONTIUM ISOTOPE STRATIGRAPHY; SOUTHERN-OCEAN; SR/CA RATIOS; INTEGRATED STRATIGRAPHY; PLANKTONIC-FORAMINIFERA; MG/CA-PALEOTHERMOMETRY; BENTHIC FORAMINIFERA; SEA TEMPERATURES; OXYGEN; CALCITE</t>
  </si>
  <si>
    <t>New Zealand sedimentary sequences are important repositories of southern temperate palaeoenvironmental data, as may be interpreted from biogenic chemical signals preserved in marine microfossils. Calibration curves for Mg/Ca ratios versus water temperatures were established using modern benthic foraminifera. Notorotalia and Cibicides. Notorotalia is a long-ranged endemic benthic genus with a good record in shelf sediments, while Cibicides allows comparisons with similar studies elsewhere. The resulting correlations were T (degrees C)=ln(Mg/Ca [mmol/mol]/1.64) x 10.89 for Cibicides spp., and T (degrees C)=ln(Mg/Ca [mmol/mol]/0.44) x 5.71 for Notorotalia spp. Well-preserved Early Miocene Notorotalia and Cibicides were collected for paired Mg/Ca and delta O-18 analysis from a 3.6 m section of the Mount Harris Formation spanning an estimated 60 ka and dating from about 17.7 Ma (Globoconella zealandica zone, roughly middle Burdigalian, Early Miocene) within the local Altonian Stage (15.9-18.7 Ma). Mg/Ca bottom-water palaeotemperature estimates from Cibicides and Notorotalia gave concordant results: 13.3 +/- 1.0 degrees C for Notorotalia spinosa, 15.5 +/- 3.0 degrees C for Cibicides spp. Estimates of oxygen isotopic composition for Altonian sea water (delta O-18(palaeo-sw)) were -0.4 +/- 0.4 parts per thousand, suggesting the presence of small ice sheets on Antarctica. The method used to generate such results has far reaching implications for reconstructing delta O-18(palaeo-sw), and should allow Antarctic ice volume history to be finely resolved from New Zealand sequences. (c) 2012 Elsevier B.V. All rights reserved.</t>
  </si>
  <si>
    <t>[Thomas, Daniel B.; Fordyce, R. Ewan] Univ Otago, Dept Geol, Dunedin 9054, New Zealand; [Fukuda, Kenichi; Frew, Russell D.] Univ Otago, Dept Chem, Dunedin 9054, New Zealand</t>
  </si>
  <si>
    <t>Fordyce, RE (corresponding author), Univ Otago, Dept Geol, POB 56, Dunedin 9054, New Zealand.</t>
  </si>
  <si>
    <t>k-fukuda@nakashima.co.jp; ThomasD@si.edu; russell.frew@otago.ac.nz; ewan.fordyce@otago.ac.nz</t>
  </si>
  <si>
    <t>Frew, Russell/HDN-6138-2022; Frew, Russell/I-5591-2012</t>
  </si>
  <si>
    <t>Frew, Russell/0000-0002-6138-2116; Fordyce, Ewan/0000-0002-2656-730X</t>
  </si>
  <si>
    <t>Department of Chemistry, Geology and Marine Science; University of Otago Postgraduate Scholarship</t>
  </si>
  <si>
    <t>We thank K. Swanson and J. Guise (University of Canterbury), N. Hiller (Canterbury Museum), BA Marshall (Museum of New Zealand), and O. Gussman (University of Otago) for providing modern materials. M. Uddstorm (NIWA) and B. Dickson (Portobello laboratory, University of Otago) provided us with seasonal water temperature archive records. We thank R. Dewdney (Department of Geology, University of Otago) for helping to prepare and pick samples. We thank B.W. Hayward, an anonymous reviewer, and the Editor for constructive comments. Support from Department of Chemistry, Geology and Marine Science are gratefully acknowledged. Financial support for this study was provided by a University of Otago Postgraduate Scholarship.</t>
  </si>
  <si>
    <t>0377-8398</t>
  </si>
  <si>
    <t>1872-6186</t>
  </si>
  <si>
    <t>MAR MICROPALEONTOL</t>
  </si>
  <si>
    <t>Mar. Micropaleontol.</t>
  </si>
  <si>
    <t>92-93</t>
  </si>
  <si>
    <t>10.1016/j.marmicro.2012.05.002</t>
  </si>
  <si>
    <t>996CK</t>
  </si>
  <si>
    <t>WOS:000308061400005</t>
  </si>
  <si>
    <t>Younger, JP; Reid, IM; Vincent, RA; Murphy, DJ</t>
  </si>
  <si>
    <t>Younger, J. P.; Reid, I. M.; Vincent, R. A.; Murphy, D. J.</t>
  </si>
  <si>
    <t>Meteor shower velocity estimates from single-station meteor radar: accuracy and precision</t>
  </si>
  <si>
    <t>MONTHLY NOTICES OF THE ROYAL ASTRONOMICAL SOCIETY</t>
  </si>
  <si>
    <t>atmospheric effects; methods: data analysis; techniques: radar astronomy; meteorites, meteors, meteoroids</t>
  </si>
  <si>
    <t>FRESNEL TRANSFORM; SPEEDS; MST</t>
  </si>
  <si>
    <t>Single-station meteor shower detections produce distributions of shower meteor speeds that can be used to estimate the velocity of shower meteoroids entering the atmosphere. Meteor shower velocity is used to calculate the orbital parameters of the debris streams that are responsible for meteor showers, so it is important to understand the accuracy of shower velocity estimation techniques. An analysis of the distribution of speeds of shower meteors can also be used to assess the precision and accuracy of the speed estimation technique used. The velocity estimates of 522 shower detections obtained during a survey of 33 MHz meteor radar data from 2006 to 2007 have been compared to velocity values in the IAU data base and used to assess the performance of the Fresnel transform method of speed estimation. It is shown that the estimates for high-velocity showers are strongly influenced by the angle-of-entry of the meteors due to the removal of early-stage ablation meteors in shallow trajectories by the underdense echo high-altitude cut-off phenomenon.</t>
  </si>
  <si>
    <t>[Younger, J. P.; Reid, I. M.; Vincent, R. A.] Univ Adelaide, Sch Chem &amp; Phys, Adelaide, SA 5005, Australia; [Younger, J. P.; Reid, I. M.] ATRAD Pty Ltd, Thebarton, SA 5031, Australia; [Murphy, D. J.] Australian Antarctic Div, Kingston, Tas 7050, Australia</t>
  </si>
  <si>
    <t>University of Adelaide; ATRAD Pty Ltd.; Australian Antarctic Division</t>
  </si>
  <si>
    <t>Younger, JP (corresponding author), Univ Adelaide, Sch Chem &amp; Phys, Adelaide, SA 5005, Australia.</t>
  </si>
  <si>
    <t>joel.younger@adelaide.edu.au</t>
  </si>
  <si>
    <t>Vincent, Robert A/E-5450-2013; Reid, Iain/B-5681-2012; Younger, Joel/I-4601-2012</t>
  </si>
  <si>
    <t>Vincent, Robert A/0000-0001-6559-6544; Reid, Iain/0000-0003-2340-9047; Younger, Joel/0000-0003-2918-1709</t>
  </si>
  <si>
    <t>ASAC [2668]; ARC [DP0878144, DP0558361]; Australian Research Council [DP0558361] Funding Source: Australian Research Council</t>
  </si>
  <si>
    <t>ASAC; ARC(Australian Research Council); Australian Research Council(Australian Research Council)</t>
  </si>
  <si>
    <t>This research was conducted with financial support from ASAC grant 2668 and ARC grants DP0878144 and DP0558361.</t>
  </si>
  <si>
    <t>0035-8711</t>
  </si>
  <si>
    <t>MON NOT R ASTRON SOC</t>
  </si>
  <si>
    <t>Mon. Not. Roy. Astron. Soc.</t>
  </si>
  <si>
    <t>10.1111/j.1365-2966.2012.21632.x</t>
  </si>
  <si>
    <t>993VQ</t>
  </si>
  <si>
    <t>WOS:000307888300052</t>
  </si>
  <si>
    <t>Carlson, AE; Winsor, K</t>
  </si>
  <si>
    <t>Carlson, Anders E.; Winsor, Kelsey</t>
  </si>
  <si>
    <t>Northern Hemisphere ice-sheet responses to past climate warming</t>
  </si>
  <si>
    <t>LAST GLACIAL MAXIMUM; SEA-LEVEL RISE; PALEOCEANOGRAPHIC EVOLUTION; ANTARCTIC TEMPERATURE; SOUTHERN GREENLAND; ISOTOPE EVIDENCE; YOUNGER DRYAS; DEGLACIATION; HISTORY; COLLAPSE</t>
  </si>
  <si>
    <t>During ice-age glacial maxima of the last -2.6 million years, ice sheets covered large portions of the Northern Hemisphere. Records from the retreat of these ice sheets during deglaciations provide important insights into how ice sheets behave under a warming climate. During the last two deglaciations, the southernmost margins of land-based Northern Hemisphere ice sheets responded nearly instantaneously to warming caused by increased summertime solar energy reaching the Earth. Land-based ice sheets subsequently retreated at a rate commensurate with deglacial climate warming. By contrast, marine-based ice sheets experienced a delayed onset of retreat relative to warming from increased summertime solar energy, with retreat characterized by periods of rapid collapse. Both observations raise concern over the response of Earth's remaining ice sheets to carbon-dioxide-induced global warming. The almost immediate reaction of land-based ice margins to past small increases in summertime energy implies that the Greenland Ice Sheet could be poised to respond to continuing climate change. Furthermore, the prehistoric precedent of marine-based ice sheets undergoing abrupt collapses raises the potential for a less predictable response of the marine-based West Antarctic Ice Sheet to future climate change.</t>
  </si>
  <si>
    <t>[Carlson, Anders E.; Winsor, Kelsey] Univ Wisconsin, Dept Geosci, Madison, WI 53706 USA; [Carlson, Anders E.] Univ Wisconsin, Ctr Climat Res, Madison, WI 53706 USA</t>
  </si>
  <si>
    <t>Carlson, AE (corresponding author), Univ Wisconsin, Dept Geosci, Madison, WI 53706 USA.</t>
  </si>
  <si>
    <t>acarlson@geology.wisc.edu</t>
  </si>
  <si>
    <t>IPO, PAGES/JXY-7546-2024</t>
  </si>
  <si>
    <t>National Science Foundation; Directorate For Geosciences; Division Of Earth Sciences [1023724] Funding Source: National Science Foundation; Office of Polar Programs (OPP); Directorate For Geosciences [0902571] Funding Source: National Science Foundation</t>
  </si>
  <si>
    <t>National Science Foundation(National Science Foundation (NSF)); Directorate For Geosciences; Division Of Earth Sciences(National Science Foundation (NSF)NSF - Directorate for Geosciences (GEO)); Office of Polar Programs (OPP); Directorate For Geosciences(National Science Foundation (NSF)NSF - Directorate for Geosciences (GEO))</t>
  </si>
  <si>
    <t>The authors wish to thank F. Anslow, S. Marcott, S. Peters, and J. Shakun for their insightful comments on this manuscript, R. Kopp for providing his sea-level record, and R. Gyllencreutz, J. Mangerud, J.-I. Svendsen and O Lohne for sharing their compilation of Eurasian ice-sheet margin chronologies. PALSEA, a PAGES/WUN working group, was instrumental in forming the ideas presented here. A.E.C. and K.W. are supported by the National Science Foundation Paleoclimate and Graduate Research Fellowship Programs, respectively.</t>
  </si>
  <si>
    <t>10.1038/NGEO1528</t>
  </si>
  <si>
    <t>998BD</t>
  </si>
  <si>
    <t>WOS:000308211300013</t>
  </si>
  <si>
    <t>Zoet, LK; Anandakrishnan, S; Alley, RB; Nyblade, AA; Wiens, DA</t>
  </si>
  <si>
    <t>Zoet, Lucas K.; Anandakrishnan, Sridhar; Alley, Richard B.; Nyblade, Andrew A.; Wiens, Douglas A.</t>
  </si>
  <si>
    <t>Motion of an Antarctic glacier by repeated tidally modulated earthquakes</t>
  </si>
  <si>
    <t>ICE STREAM-B; WEST ANTARCTICA; ASPERITY; SLIP</t>
  </si>
  <si>
    <t>Between debris-laden glacial ice and bedrock, basal seismicity can develop that yields information about bed properties(1,2), stress distribution(3), outburst flooding(4), and crevassing and calving(5-7). Basal seismicity in response to glacial motion is linked to variations in both stress and lubrication of bedrock by water and till(8,9). Here we analyse data from the Transantarctic Mountains Seismic Experiment array in 2002-2003 to investigate seismic behaviour at David Glacier, a large outlet glacier that drains 4% of East Antarctica's ice sheet into the Ross Sea. We identify about 20,000 seismic events that are larger in magnitude and duration than typical for glacial sources and repeat at regular intervals of about 25 min. These events are consistent with stick-slip behaviour of debris-laden ice moving over a single obstacle of rough bedrock, modulated by relatively small stress changes from the ocean tides. In the years before and after the interval of repeating events, seismic events with irregular and generally longer intervals were detected at the same location, and are consistent with combined stick-slip and continuous sliding of the subglacial interface. We suggest that the observed transitions in seismicity patterns capture the dynamic behaviour of the ice stream, and that-despite lower ice-flow velocities-sliding in the stick-slip regime enhances subglacial erosion.</t>
  </si>
  <si>
    <t>[Zoet, Lucas K.; Anandakrishnan, Sridhar; Alley, Richard B.; Nyblade, Andrew A.] Penn State Univ, Dept Geosci, University Pk, PA 16802 USA; [Zoet, Lucas K.; Anandakrishnan, Sridhar; Alley, Richard B.; Nyblade, Andrew A.] Penn State Univ, Earth &amp; Environm Syst Inst, University Pk, PA 16802 USA; [Wiens, Douglas A.] Washington Univ, Dept Earth &amp; Planetary Sci, St Louis, MO 63130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</si>
  <si>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Washington University (WUSTL)</t>
  </si>
  <si>
    <t>Zoet, LK (corresponding author), Penn State Univ, Dept Geosci, University Pk, PA 16802 USA.</t>
  </si>
  <si>
    <t>lkz105@psu.edu</t>
  </si>
  <si>
    <t>Anandakrishnan, Sridhar/JCN-5026-2023; Wiens, Douglas/J-9259-2016</t>
  </si>
  <si>
    <t>Zoet, Lucas/0000-0002-9635-4051; Wiens, Douglas/0000-0002-5169-4386</t>
  </si>
  <si>
    <t>Office of Polar Programs, US National Science Foundation [NSF 0424589]; US National Science Foundation [0424589, 0538195, 0852697, 9909603]</t>
  </si>
  <si>
    <t>Office of Polar Programs, US National Science Foundation(National Science Foundation (NSF)); US National Science Foundation(National Science Foundation (NSF))</t>
  </si>
  <si>
    <t>Seismometers were supplied by PASSCAL. Seismic data were obtained from the DATA management Center of the Incorporated Research Institutions for Seismology. This research was financially supported by the Office of Polar Programs, US National Science Foundation (NSF 0424589). Partial support was provided by the US National Science Foundation through grants 0424589, 0538195, 0852697 and 9909603. We thank the TAMSEIS field and planning team for planning and carrying out the TAMSEIS field deployment.</t>
  </si>
  <si>
    <t>10.1038/NGEO1555</t>
  </si>
  <si>
    <t>WOS:000308211300016</t>
  </si>
  <si>
    <t>Meiring, TL; Tuffin, IM; Cary, C; Cowan, DA</t>
  </si>
  <si>
    <t>Meiring, Tracy L.; Tuffin, I. Marla; Cary, Craig; Cowan, Don A.</t>
  </si>
  <si>
    <t>Genome sequence of temperate bacteriophage Psymv2 from Antarctic Dry Valley soil isolate Psychrobacter sp MV2</t>
  </si>
  <si>
    <t>EXTREMOPHILES</t>
  </si>
  <si>
    <t>Psychrobacter; Psychrophile; Siphoviridae; Temperate bacteriophage; Genome sequence</t>
  </si>
  <si>
    <t>RNA GENES; SP NOV.; PROTEIN; DIVERSITY; SEA; PROPHAGE; AMPLIFICATION; MICROBIOLOGY; PROGRAM</t>
  </si>
  <si>
    <t>A temperate phage, Psymv2, was isolated from an Antarctic soil bacterium, Psychrobacter sp. MV2. The morphology of Psymv2 was typical of the Siphoviridae, with an isometric head and non-contractile tail. The Psymv2 genome was found to be 35,725 bp in length, had a G + C content of 44.5 %, with 49 protein-coding genes and one tRNA gene predicted. Integration of Psymv2 occurred at an ssrA gene, with the last 27 bases of this gene directly repeated at the prophage ends. The genome was organised in a modular fashion: integration, regulation, packaging, head assembly, tail assembly, host specificity and lysis. While the genome sequence had little similarity on a nucleotide level to previously reported phage sequences, the genome architecture resembled that of Siphoviridae of low G + C Gram-positive bacteria. The closest relatives to Psymv2 were uncharacterized putative prophages within the P. arcticus 273-4 and Acinetobacter baumannii 6013113 genomes. Global alignment of the Psymv2 genome and these prophages revealed significant conservation of the structural modules despite the large spatial divergence of their hosts. A number of unique ORFs were identified in the Psymv2 genome that may contribute to phage and lysogen fitness.</t>
  </si>
  <si>
    <t>[Meiring, Tracy L.; Tuffin, I. Marla; Cowan, Don A.] Univ Western Cape, Inst Microbial Biotechnol &amp; Metagen, ZA-7535 Bellville, South Africa; [Cary, Craig] Univ Waikato, Dept Biol Sci, Hamilton, New Zealand</t>
  </si>
  <si>
    <t>University of the Western Cape; University of Waikato</t>
  </si>
  <si>
    <t>Tuffin, IM (corresponding author), Univ Western Cape, Inst Microbial Biotechnol &amp; Metagen, Off 2117,Level 2,Life Sci Bldg,Modderdam Rd, ZA-7535 Bellville, South Africa.</t>
  </si>
  <si>
    <t>ituffin@uwc.ac.za</t>
  </si>
  <si>
    <t>Trindade, Marla/AAU-9730-2020; Cowan, Donald A/E-3991-2012</t>
  </si>
  <si>
    <t>Trindade, Marla/0000-0002-2478-0270; Cowan, Donald A/0000-0001-8059-861X; Cary, Stephen/0000-0002-2876-2387</t>
  </si>
  <si>
    <t>Antarctica New Zealand; National Research Foundation of South Africa; Claude Leon Foundation</t>
  </si>
  <si>
    <t>Antarctica New Zealand; National Research Foundation of South Africa(National Research Foundation - South Africa); Claude Leon Foundation</t>
  </si>
  <si>
    <t>The authors wish to thank Antarctica New Zealand, the National Research Foundation of South Africa and the Claude Leon Foundation for financial support.</t>
  </si>
  <si>
    <t>SPRINGER JAPAN KK</t>
  </si>
  <si>
    <t>TOKYO</t>
  </si>
  <si>
    <t>SHIROYAMA TRUST TOWER 5F, 4-3-1 TORANOMON, MINATO-KU, TOKYO, 105-6005, JAPAN</t>
  </si>
  <si>
    <t>1431-0651</t>
  </si>
  <si>
    <t>1433-4909</t>
  </si>
  <si>
    <t>Extremophiles</t>
  </si>
  <si>
    <t>10.1007/s00792-012-0467-7</t>
  </si>
  <si>
    <t>Biochemistry &amp; Molecular Biology; Microbiology</t>
  </si>
  <si>
    <t>998OD</t>
  </si>
  <si>
    <t>WOS:000308248700003</t>
  </si>
  <si>
    <t>García, JL; Kaplan, MR; Hall, BL; Schaefer, JM; Vega, RM; Schwartz, R; Finkel, R</t>
  </si>
  <si>
    <t>Garcia, Juan L.; Kaplan, Michael R.; Hall, Brenda L.; Schaefer, Joerg M.; Vega, Rodrigo M.; Schwartz, Roseanne; Finkel, Robert</t>
  </si>
  <si>
    <t>Glacier expansion in southern Patagonia throughout the Antarctic cold reversal</t>
  </si>
  <si>
    <t>BE-10 PRODUCTION-RATE; ATMOSPHERIC CO2; NEW-ZEALAND; LAST DEGLACIATION; CLIMATE-CHANGE; TERMINATION; FLUCTUATIONS; HOLOCENE; CHRONOLOGY; GREENLAND</t>
  </si>
  <si>
    <t>Resolving debated climate changes in the southern middle latitudes and potential teleconnections between southern temperate and polar latitudes during the last glacial-interglacial transition is required to help understand the cause of the termination of ice ages. Outlet glaciers of the Patagonian Ice Fields are primarily sensitive to atmospheric temperature and also precipitation, thus former ice margins record the extent and timing of past climate changes. 38 Be-10 exposure ages from moraines show that outlet glaciers in Torres del Paine (51 degrees S, south Patagonia, Chile) advanced during the time of the Antarctic cold reversal (ACR; ca. 14.6-12.8 ka), reaching a maximum extent by similar to 14,200 +/- 560 yr ago. The evidence here indicates that the South Patagonian Ice Field was responding to late glacial climate change distinctly earlier than the onset of the European Younger Dryas stadial (ca. 12.9 ka). Major glacier recession and deglaciation in the Torres del Paine region occurred by 12.5 ka and thus early in the Younger Dryas. We provide direct evidence for extensive ice in Patagonia at the very start of the ACR that agrees with atmospheric and marine records from the Southern Ocean and Antarctica. Atmospheric conditions responsible for the early late glacial expansion at Torres del Paine resulted from a climate reorganization that prompted a northern migration of the south westerly wind belt to the latitude of Torres del Paine at the onset of the ACR chronozone.</t>
  </si>
  <si>
    <t>[Garcia, Juan L.] Pontificia Univ Catolica Chile, Inst Geog, Fac Hist Geog &amp; Ciencia Polit, Santiago 7820436, Chile; [Kaplan, Michael R.; Schaefer, Joerg M.; Schwartz, Roseanne] Columbia Univ, Lamont Doherty Geol Observ, Palisades, NY 10964 USA; [Hall, Brenda L.] Univ Maine, Dept Earth Sci, Orono, ME 04469 USA; [Hall, Brenda L.] Univ Maine, Climate Change Inst, Orono, ME 04469 USA; [Vega, Rodrigo M.] Univ Austral Chile, Inst Ciencias Tierra &amp; Evoluc, Valdivia, Chile; [Finkel, Robert] Univ Calif Berkeley, Dept Earth &amp; Planetary Sci, Berkeley, CA 94720 USA</t>
  </si>
  <si>
    <t>Pontificia Universidad Catolica de Chile; Columbia University; University of Maine System; University of Maine Orono; University of Maine System; University of Maine Orono; Universidad Austral de Chile; University of California System; University of California Berkeley</t>
  </si>
  <si>
    <t>García, JL (corresponding author), Pontificia Univ Catolica Chile, Inst Geog, Fac Hist Geog &amp; Ciencia Polit, Campus San Joaquin,Ave Vicuna Mackenna 4860, Santiago 7820436, Chile.</t>
  </si>
  <si>
    <t>jgarciab@uc.cl</t>
  </si>
  <si>
    <t>San Martín, Rodrigo Manuel Vega/P-1700-2019; Kaplan, Michael R/D-4720-2011; Garcia-Barriga, Juan-Luis/U-6381-2017</t>
  </si>
  <si>
    <t>San Martín, Rodrigo Manuel Vega/0000-0002-3866-0341; Garcia-Barriga, Juan-Luis/0000-0002-9028-7572</t>
  </si>
  <si>
    <t>National Geographic Society; Churchill Exploration Fund; Graduate Student Government at the University of Maine; Corner Science and Education Foundation; CONAF (Corporacion Nacional Forestal) Region de Magallanes; Torres del Paine National Park (Chile)</t>
  </si>
  <si>
    <t>National Geographic Society(National Geographic Society); Churchill Exploration Fund; Graduate Student Government at the University of Maine; Corner Science and Education Foundation; CONAF (Corporacion Nacional Forestal) Region de Magallanes; Torres del Paine National Park (Chile)</t>
  </si>
  <si>
    <t>The National Geographic Society, the Churchill Exploration Fund, the Graduate Student Government at the University of Maine, and the Corner Science and Education Foundation supported this research. We are grateful to CONAF (Corporacion Nacional Forestal) Region de Magallanes and Torres del Paine National Park (Chile), Victor Garcia, Marcelo Arevalo, Stefan Krauss, Mario Pino, and Patricio Moreno for support and assistance during field campaigns. We thank Marcelo Solari, Esteban Sagredo, Aaron Putnam, and Christopher Marden for discussions on this research. FONDECYT (Fondo Nacional de Desarrollo Cientifico y Tecnologico) grant 11110381 supported this publication. This is Lamont-Doherty Earth Observatory contribution 7543.</t>
  </si>
  <si>
    <t>10.1130/G33164.1</t>
  </si>
  <si>
    <t>994GV</t>
  </si>
  <si>
    <t>WOS:000307919800023</t>
  </si>
  <si>
    <t>Karanovic, I; Brandao, SN</t>
  </si>
  <si>
    <t>Karanovic, Ivana; Brandao, Simone Nunes</t>
  </si>
  <si>
    <t>On the genus Thaumatoconcha Kornicker and Sohn (Halocyprida) with description of two new species from Southern Ocean deep sea</t>
  </si>
  <si>
    <t>HELGOLAND MARINE RESEARCH</t>
  </si>
  <si>
    <t>Ostracoda; Thaumatocyprididae; New species; Southern Ocean; Deep sea</t>
  </si>
  <si>
    <t>SP N. OSTRACODA; CHRISTMAS ISLAND; ANCHIALINE; THAUMATOCYPRIDOIDEA; BIODIVERSITY; MORPHOLOGY; AUSTRALIA; PATTERNS; ANDEEP; ORIGIN</t>
  </si>
  <si>
    <t>Two new Thaumatoconcha Kornicker and Sohn, 1976a species, T. dandani n. sp. and T. quasiporosa n. sp., have been described in the present paper. Both species have been collected during two expeditions to the Southern Ocean and are found in the deep sea. The first species is most closely related to T. caraionae Kornicker and Sohn, 1976a, but it has a very specific appearance of copulatory organ, anterior part being covered in small spines. The second species is most closely related to T. porosa Kornicker, 1985, and they differ in the carapace shape and morphology, while they have almost identical appearance of the male copulatory organ. A list of Thaumatocyprididae species and a key to the species of Thaumatoconcha are also presented in this paper.</t>
  </si>
  <si>
    <t>[Karanovic, Ivana] Univ Tasmania, Inst Marine &amp; Antarctic Studies, Hobart, Tas 7001, Australia; [Karanovic, Ivana] Hanyang Univ, Dept Life Sci, Seoul 133791, South Korea; [Brandao, Simone Nunes] Univ Hamburg, Zool Museum, D-20146 Hamburg, Germany; [Brandao, Simone Nunes] Univ Hamburg, Inst Zool, D-20146 Hamburg, Germany</t>
  </si>
  <si>
    <t>University of Tasmania; Hanyang University; University of Hamburg; University of Hamburg</t>
  </si>
  <si>
    <t>Karanovic, I (corresponding author), Univ Tasmania, Inst Marine &amp; Antarctic Studies, Private Bag 49, Hobart, Tas 7001, Australia.</t>
  </si>
  <si>
    <t>ivana.karanovic@utas.edu.au; snbrandao@gmx.net</t>
  </si>
  <si>
    <t>Brandao, Simone/C-9416-2013</t>
  </si>
  <si>
    <t>Brandao, Simone/0000-0002-3487-6129</t>
  </si>
  <si>
    <t>Alexander von Humboldt Foundation</t>
  </si>
  <si>
    <t>Alexander von Humboldt Foundation(Alexander von Humboldt Foundation)</t>
  </si>
  <si>
    <t>We would like to thank Dr Vladimir Chavtur (Laboratory of Planktonology at the Institute of Marine Biology Far East Branch of Russian Academy of Sciences, Vladivostok) for helpful comments on the manuscript. The first author would also like to acknowledge the Alexander von Humboldt Foundation for the fellowship during which this paper was written. We also want to thank Ms Renate Walter (Zoological Museum, Hamburg) for the help with SEM.</t>
  </si>
  <si>
    <t>1438-387X</t>
  </si>
  <si>
    <t>1438-3888</t>
  </si>
  <si>
    <t>HELGOLAND MAR RES</t>
  </si>
  <si>
    <t>Helgoland Mar. Res.</t>
  </si>
  <si>
    <t>10.1007/s10152-011-0269-9</t>
  </si>
  <si>
    <t>992XQ</t>
  </si>
  <si>
    <t>WOS:000307814700004</t>
  </si>
  <si>
    <t>Janjic, T; Schröter, J; Albertella, A; Bosch, W; Rummel, R; Savcenko, R; Schwabe, J; Scheinert, M</t>
  </si>
  <si>
    <t>Janjic, Tijana; Schroeter, Jens; Albertella, Alberta; Bosch, Wolfgang; Rummel, Reiner; Savcenko, Roman; Schwabe, Joachim; Scheinert, Mirko</t>
  </si>
  <si>
    <t>Assimilation of geodetic dynamic ocean topography using ensemble based Kalman filter</t>
  </si>
  <si>
    <t>JOURNAL OF GEODYNAMICS</t>
  </si>
  <si>
    <t>Geodetic dynamic ocean topography; Hydrographic WOCE sections; Mass transport; Data assimilation; GRACE</t>
  </si>
  <si>
    <t>ANTARCTIC CIRCUMPOLAR CURRENT; CIRCULATION MODEL; SEA-SURFACE; VARIABILITY; TRANSPORTS; SOUTH</t>
  </si>
  <si>
    <t>Estimation of ocean circulation is investigated via assimilation of satellite measurements of the dynamic ocean topography (DOT) into the global finite-element ocean model (FEOM). The DOT was obtained by means of a geodetic approach from carefully cross-calibrated multi-mission altimeter data and GRACE gravity fields. The spectral consistency was achieved by consistently filtering both, the sea surface and the geoid. The filter length is determined by the spatial resolution of the gravity field and corresponds to approximately 241 km half width for the GRACE-based gravity field model ITG-Grace03s. The assimilation of the geodetic DOT was performed by employing a local singular evolutive interpolated Kalman (SEIK) filter in combination with the method of weighting of observations. It is shown that this approach leads to a successful assimilation technique that reduced the RMS difference between the model and the data from 16 cm to 5 cm during one year of assimilation. The ocean model returns an optimized mean dynamic ocean topography. The effects of assimilation on transport estimates across several hydrographic World Ocean Circulation Experiment (WOCE) sections show improvements compared to the FEOM run without data assimilation. As a result of the assimilation, DOT estimates are available in the polar or coastal regions where the geodetic estimates from satellite data alone are not adequate. Furthermore, more realistic features of the ocean can be seen in these areas compared to those obtained using the filtered data fields. (C) 2011 Elsevier Ltd. All rights reserved.</t>
  </si>
  <si>
    <t>[Janjic, Tijana; Schroeter, Jens] Alfred Wegener Inst Polar &amp; Marine Res, Bremerhaven, Germany; [Albertella, Alberta; Rummel, Reiner] Tech Univ Munich, Inst Astron &amp; Phys Geodesy, Munich, Germany; [Bosch, Wolfgang; Savcenko, Roman] German Geodet Res Inst, Munich, Germany; [Schwabe, Joachim; Scheinert, Mirko] Tech Univ Dresden, Inst Planetare Geodasie, Dresden, Germany</t>
  </si>
  <si>
    <t>Helmholtz Association; Alfred Wegener Institute, Helmholtz Centre for Polar &amp; Marine Research; Technical University of Munich; Technische Universitat Dresden</t>
  </si>
  <si>
    <t>Janjic, T (corresponding author), Alfred Wegener Inst Polar &amp; Marine Res, Bremerhaven, Germany.</t>
  </si>
  <si>
    <t>tpfander@awi.de</t>
  </si>
  <si>
    <t>Rummel, Reiner/G-7800-2011; Janjic, Tijana/E-6727-2013; Schröter, Jens G/H-8806-2016</t>
  </si>
  <si>
    <t>Janjic, Tijana/0000-0002-8837-0879; Schröter, Jens G/0000-0002-9240-5798; Scheinert, Mirko/0000-0002-0892-8941</t>
  </si>
  <si>
    <t>DFG [SPP 1257]</t>
  </si>
  <si>
    <t>DFG(German Research Foundation (DFG))</t>
  </si>
  <si>
    <t>This work has been funded under DFG Priority Research Programme SPP 1257 Mass Transport and Mass Distribution in the Earth System.</t>
  </si>
  <si>
    <t>0264-3707</t>
  </si>
  <si>
    <t>J GEODYN</t>
  </si>
  <si>
    <t>J. Geodyn.</t>
  </si>
  <si>
    <t>59-60</t>
  </si>
  <si>
    <t>10.1016/j.jog.2011.07.001</t>
  </si>
  <si>
    <t>983BO</t>
  </si>
  <si>
    <t>WOS:000307091400010</t>
  </si>
  <si>
    <t>Mairesse, O; Cortoos, A; Pattyn, N</t>
  </si>
  <si>
    <t>Mairesse, O.; Cortoos, A.; Pattyn, N.</t>
  </si>
  <si>
    <t>Individual differences in psychomotor vigilance during an Antarctic winter-over</t>
  </si>
  <si>
    <t>JOURNAL OF SLEEP RESEARCH</t>
  </si>
  <si>
    <t>21st Congress of the European-Sleep-Research-Society</t>
  </si>
  <si>
    <t>SEP 04-08, 2012</t>
  </si>
  <si>
    <t>Paris, FRANCE</t>
  </si>
  <si>
    <t>[Mairesse, O.; Cortoos, A.; Pattyn, N.] Royal Mil Acad, Brussels, Belgium</t>
  </si>
  <si>
    <t>Mairesse, Olivier/AAM-6427-2020</t>
  </si>
  <si>
    <t>0962-1105</t>
  </si>
  <si>
    <t>J SLEEP RES</t>
  </si>
  <si>
    <t>J. Sleep Res.</t>
  </si>
  <si>
    <t>Clinical Neurology; Neurosciences</t>
  </si>
  <si>
    <t>994VV</t>
  </si>
  <si>
    <t>WOS:000307963200263</t>
  </si>
  <si>
    <t>De Gregori, S; De Petris, M; Decina, B; Lamagna, L; Pardo, JR; Petkov, B; Tomasi, C; Valenziano, L</t>
  </si>
  <si>
    <t>De Gregori, S.; De Petris, M.; Decina, B.; Lamagna, L.; Pardo, J. R.; Petkov, B.; Tomasi, C.; Valenziano, L.</t>
  </si>
  <si>
    <t>Millimetre and submillimetre atmospheric performance at Dome C combining radiosoundings and atm synthetic spectra</t>
  </si>
  <si>
    <t>atmospheric effects; site testing; cosmology: observations; submillimetre: general</t>
  </si>
  <si>
    <t>HIGH-ANTARCTIC PLATEAU; WATER-VAPOR; MAUNA-KEA; ASTRONOMY; TRANSMISSION; TEMPERATURE; RADIOSONDE; STABILITY; CASPER; BAND</t>
  </si>
  <si>
    <t>The reliability of astronomical observations at millimetre and submillimetre wavelengths closely depends on a low vertical content of water vapour as well as on high atmospheric emission stability. Although Concordia station at Dome C (Antarctica) enjoys good observing conditions in this atmospheric spectral windows, as shown by preliminary site-testing campaigns at different bands and in, not always, time overlapped periods, a dedicated instrument able to continuously determine atmospheric performance for a wide spectral range is not yet planned. In the absence of such measurements, in this paper we suggest a semi-empirical approach to perform an analysis of atmospheric transmission and emission at Dome C to compare the performance for seven photometric bands ranging from 100?GHz to 2?THz. Radiosoundings data provided by the Routine Meteorological Observations Research Project at Concordia station are corrected by temperature and humidity errors and dry biases and then employed to feed Atmospheric Transmission at Microwaves (atm) code to generate synthetic spectra in the wide spectral range from 100?GHz to 2?THz. This approach is attempted for the 20052007 data set in order to check its feasibility. To quantify the atmospheric contribution in millimetre and submillimetre observations we are considering several photometric bands, largely explored by ground-based telescopes, in which atmospheric quantities are integrated. The observational capabilities of this site at all the selected spectral bands are analysed considering monthly averaged transmissions joined to the corresponding fluctuations. Transmission and precipitable water vapour statistics at Dome C derived by our semi-empirical approach are consistent with previous works. It is evident the decreasing of the performance at high frequencies. We propose to introduce a new parameter to compare the quality of a site at different spectral bands, in terms of high transmission and emission stability, the site photometric quality ratio. The effect of the instrument filter bandwidth is involved on the estimate of the optical depth performed by the water vapour content knowledge.</t>
  </si>
  <si>
    <t>[De Gregori, S.; De Petris, M.; Decina, B.; Lamagna, L.] Univ Roma La Sapienza, Dept Phys, I-00185 Rome, Italy; [Pardo, J. R.] Inst Nacl Tecn Aeroespacial, Ctr Astrobiol CSIC INTA, Madrid 28850, Spain; [Petkov, B.; Tomasi, C.] CNR, Inst Atmospher Sci &amp; Climate, I-40129 Bologna, Italy; [Valenziano, L.] Natl Inst Astrophys, Inst Space Astrophys &amp; Cosm Phys, I-40129 Bologna, Italy</t>
  </si>
  <si>
    <t>Sapienza University Rome; Consejo Superior de Investigaciones Cientificas (CSIC); CSIC - Centro de Astrobiologia (INTA); Consiglio Nazionale delle Ricerche (CNR); Istituto di Scienze dell'Atmosfera e del Clima (ISAC-CNR)</t>
  </si>
  <si>
    <t>De Gregori, S (corresponding author), Univ Roma La Sapienza, Dept Phys, I-00185 Rome, Italy.</t>
  </si>
  <si>
    <t>simone.degregori@roma1.infn.it</t>
  </si>
  <si>
    <t>Petkov, Valery/AAL-2759-2021; Pardo, Julián/K-6764-2014; De Petris, Marco/IXD-7671-2023</t>
  </si>
  <si>
    <t>Valenziano, Luca/0000-0002-1170-0104; De Petris, Marco/0000-0001-7859-2139; Pardo, Juan R./0000-0003-4639-8440; Petkov, Boyan/0000-0002-8328-340X</t>
  </si>
  <si>
    <t>1365-2966</t>
  </si>
  <si>
    <t>10.1111/j.1365-2966.2012.21430.x</t>
  </si>
  <si>
    <t>993VG</t>
  </si>
  <si>
    <t>WOS:000307887300038</t>
  </si>
  <si>
    <t>Bhatia, A; Pal, R</t>
  </si>
  <si>
    <t>Bhatia, Abhijeet; Pal, Ranabir</t>
  </si>
  <si>
    <t>Morbidity Pattern of the 27th Indian Scientific Expedition to Antarctica</t>
  </si>
  <si>
    <t>WILDERNESS &amp; ENVIRONMENTAL MEDICINE</t>
  </si>
  <si>
    <t>Antarctica; polar; musculoskeletal; oral ulcers; hypertension; Maitri</t>
  </si>
  <si>
    <t>ACUTE APPENDICITIS; WINTER-OVER; MANAGEMENT; COLD; FROSTBITE; CLIMATE</t>
  </si>
  <si>
    <t>Objective.-To evaluate morbidity prototype of 27th Indian Scientific Expedition to Antarctica (ISEA). Methods.-Twenty-six team members of 27th ISEA wintered over at the Indian Antarctic Station, Maitri, from February 2008 to January 2009. The morbidity pattern was sourced from the medical records. Preexisting illnesses were also considered in this analysis. Results.-The team consisted of men between 27 and 59 years of age (mean age, 43 years). Nine team members had preexisting illnesses. A total of 93 illness incidents were recorded during the stay in Antarctica. Most of these (27) were musculoskeletal injuries, bruises, and lacerations. Thirty-two (34%) incidents of illness were noted under the purview of medicine; 26 (28%), surgery; 15 (16%), orthopedics; 9 (10%), otorhinolaryngology; 8 (9%), ophthalmology; 2 (2%), dentistry; and 3 (3%), psychiatry. Oral ulcers were noted in 8 (8%) participants primarily during early wintering. Conclusions.-Injuries continue to be the most common cause of morbidity in Antarctic.. Nutritional deficiencies and cold-related injuries are relatively less common.</t>
  </si>
  <si>
    <t>[Bhatia, Abhijeet] SMIMS, Dept Otolaryngol, Gangtok 737102, Sikkim, India; [Bhatia, Abhijeet] Natl Ctr Antarctic &amp; Ocean Res, Vasco da Gama, Goa, India; [Pal, Ranabir] SMIMS, Dept Community Med, Gangtok 737102, Sikkim, India</t>
  </si>
  <si>
    <t>Sikkim Manipal University; Ministry of Earth Sciences (MoES) - India; National Centre for Polar and Ocean Research (NCPOR); Sikkim Manipal University</t>
  </si>
  <si>
    <t>Bhatia, A (corresponding author), SMIMS, Dept ENT, 5th Mile, Gangtok 737102, Sikkim, India.</t>
  </si>
  <si>
    <t>abhijeetbhatia77@gmail.com</t>
  </si>
  <si>
    <t>PAL, RANABIR/HKV-0556-2023; Pal, Ranabir/M-6693-2013; Bhatia, Abhijeet/J-9795-2015</t>
  </si>
  <si>
    <t>PAL, RANABIR/0000-0002-8602-0162; Bhatia, Abhijeet/0000-0003-3251-1801; Ghosh, Amrita/0000-0002-8038-0861</t>
  </si>
  <si>
    <t>National Centre for Antarctic and Ocean Research (NCAOR), Ministry of Earth Sciences, Government of India</t>
  </si>
  <si>
    <t>The 27th Indian Scientific Expedition was funded and organized by the National Centre for Antarctic and Ocean Research (NCAOR), Ministry of Earth Sciences, Government of India. We are grateful to NCAOR and the Indian Scientific Expeditions for their cooperation during the discharge of our duties and during the writing of this article. We also thank all the members of the 27th ISEA, for their cooperation during the expedition and making this work possible. This is NCAOR contribution No. 16/2012.</t>
  </si>
  <si>
    <t>360 PARK AVE SOUTH, NEW YORK, NY 10010-1710 USA</t>
  </si>
  <si>
    <t>1080-6032</t>
  </si>
  <si>
    <t>1545-1534</t>
  </si>
  <si>
    <t>WILD ENVIRON MED</t>
  </si>
  <si>
    <t>Wildern. Environ. Med.</t>
  </si>
  <si>
    <t>10.1016/j.wem.2012.04.003</t>
  </si>
  <si>
    <t>Public, Environmental &amp; Occupational Health; Sport Sciences</t>
  </si>
  <si>
    <t>999BR</t>
  </si>
  <si>
    <t>WOS:000308284600008</t>
  </si>
  <si>
    <t>La Mesa, M; Eastman, JT</t>
  </si>
  <si>
    <t>La Mesa, Mario; Eastman, Joseph T.</t>
  </si>
  <si>
    <t>Antarctic silverfish: life strategies of a key species in the high-Antarctic ecosystem</t>
  </si>
  <si>
    <t>FISH AND FISHERIES</t>
  </si>
  <si>
    <t>Antarctic silverfish; biology; climate change; ecology; physiology; Southern Ocean</t>
  </si>
  <si>
    <t>SOUTHERN WEDDELL SEA; WESTERN ROSS SEA; TERRA-NOVA BAY; PLEURAGRAMMA-ANTARCTICUM; NOTOTHENIOID FISHES; ANTIFREEZE GLYCOPEPTIDES; FOOD-WEB; SPATIAL-DISTRIBUTION; HEMOGLOBIN SYSTEM; FEEDING ECOLOGY</t>
  </si>
  <si>
    <t>Among the endemic notothenioid fish of Antarctica, the Antarctic silverfish (Pleuragramma antarcticum) is the only species in which all developmental stages live throughout the water column. It is widely distributed in the shelf waters around the continent, inhabiting both open waters and areas of pack ice at depths from 0 to 900 m. In successfully occupying this habitat, it evolved a suite of specific biological, ecological and physiological adaptations to the environmental conditions in the cold and highly seasonal Antarctic waters. Specialization for the pelagic environment evolved over millions of years enabled life under unusual environmental constraints and colonization of the pelagic realm of the Antarctic continental shelf. A sudden change of environmental conditions driven by the current rapid climate change could negatively affect this weak equilibrium, with a catastrophic cascade effecting higher trophic levels. Indeed, as both adults and early life stages of the Antarctic silverfish appear to be strongly dependent on sea-ice, this species would be especially sensitive to climatic or oceanic changes that reduce the extent of sea-ice cover or the timing of formation of coastal polynyas.</t>
  </si>
  <si>
    <t>[La Mesa, Mario] UOS Ancona, Ist Sci Marine, ISMAR CNR, I-60125 Ancona, Italy; [Eastman, Joseph T.] Ohio Univ, Coll Osteopath Med, Dept Biomed Sci, Athens, OH 45701 USA</t>
  </si>
  <si>
    <t>Consiglio Nazionale delle Ricerche (CNR); Istituto di Scienze Marine (ISMAR-CNR); University System of Ohio; Ohio University</t>
  </si>
  <si>
    <t>La Mesa, M (corresponding author), UOS Ancona, Ist Sci Marine, ISMAR CNR, I-60125 Ancona, Italy.</t>
  </si>
  <si>
    <t>m.lamesa@is-mar.cnr.it</t>
  </si>
  <si>
    <t>Eastman, Joseph T/A-9786-2008; Eastman, Joseph T./O-6150-2019; CNR, Ismar/P-1247-2014</t>
  </si>
  <si>
    <t>Eastman, Joseph T./0000-0003-3868-261X; CNR, Ismar/0000-0001-5351-1486</t>
  </si>
  <si>
    <t>PNRA (Italian National Antarctic Research Program); US NSF [ANT 04-36190]</t>
  </si>
  <si>
    <t>PNRA (Italian National Antarctic Research Program); US NSF(National Science Foundation (NSF))</t>
  </si>
  <si>
    <t>This study was financially supported by the PNRA (Italian National Antarctic Research Program). JTE was supported by US NSF grant ANT 04-36190.</t>
  </si>
  <si>
    <t>1467-2960</t>
  </si>
  <si>
    <t>1467-2979</t>
  </si>
  <si>
    <t>FISH FISH</t>
  </si>
  <si>
    <t>Fish. Fish.</t>
  </si>
  <si>
    <t>10.1111/j.1467-2979.2011.00427.x</t>
  </si>
  <si>
    <t>977KG</t>
  </si>
  <si>
    <t>WOS:000306657500001</t>
  </si>
  <si>
    <t>Suárez-Morales, E; Boxshall, GA</t>
  </si>
  <si>
    <t>Suarez-Morales, Eduardo; Boxshall, Geoffrey A.</t>
  </si>
  <si>
    <t>A new species of Sabellacheres M. Sars, 1862 (Copepoda: Gastrodelphyidae) from a deep-water benthic polychaete in Antarctic waters, with a key to the species of the genus</t>
  </si>
  <si>
    <t>SYSTEMATIC PARASITOLOGY</t>
  </si>
  <si>
    <t>SABELLIDAE</t>
  </si>
  <si>
    <t>Specimens of a deep-living sabellid polychaete of the genus Perkinsiana Knight-Jones dredged in Antarctic waters were found to be parasitised by an undescribed species of the cyclopoid copepod genus Sabellacheres M. Sars, 1862. Specimens of both sexes were studied using light microscopy and SEM, and compared with its congeners. The new species, Sabellacheres antarcticus n. sp., can be distinguished from its congeners by the shape and proportions of the body and brood-pouch, its 4-segmented antennae, the shape and length of the distal process of the second antennular segment, the position of leg 3, and the structure of the male maxilliped. This is only the second record of a species of this genus from the southern hemisphere. The new species was found on a single host species, as is typical for most species of Sabellacheres. A key for the identification of both sexes of the species of Sabellacheres is included.</t>
  </si>
  <si>
    <t>[Suarez-Morales, Eduardo] El Colegio Frontera ECOSUR, Unidad Chetumal, Chetmal 77095, Quintana Roo, Mexico; [Boxshall, Geoffrey A.] Nat Hist Museum, Dept Zool, London SW7 5BD, England</t>
  </si>
  <si>
    <t>El Colegio de la Frontera Sur (ECOSUR); Natural History Museum London</t>
  </si>
  <si>
    <t>Suárez-Morales, E (corresponding author), El Colegio Frontera ECOSUR, Unidad Chetumal, Av Centenario Km 5-5, Chetmal 77095, Quintana Roo, Mexico.</t>
  </si>
  <si>
    <t>esuarez@ecosur.mx</t>
  </si>
  <si>
    <t>Boxshall, Geoffrey/0000-0001-8170-7734</t>
  </si>
  <si>
    <t>0165-5752</t>
  </si>
  <si>
    <t>1573-5192</t>
  </si>
  <si>
    <t>SYST PARASITOL</t>
  </si>
  <si>
    <t>Syst. Parasitol.</t>
  </si>
  <si>
    <t>10.1007/s11230-012-9371-x</t>
  </si>
  <si>
    <t>Parasitology</t>
  </si>
  <si>
    <t>989DV</t>
  </si>
  <si>
    <t>WOS:000307541400007</t>
  </si>
  <si>
    <t>Jones, MGW; Techow, NMSM; Ryan, PG</t>
  </si>
  <si>
    <t>Jones, M. Genevieve W.; Techow, N. M. S. Mareile; Ryan, Peter G.</t>
  </si>
  <si>
    <t>Dalliances and doubtful dads: what determines extra-pair paternity in socially monogamous wandering albatrosses?</t>
  </si>
  <si>
    <t>BEHAVIORAL ECOLOGY AND SOCIOBIOLOGY</t>
  </si>
  <si>
    <t>Extra-pair paternity; Forced copulation; Genetic variability; Mate choice; Monogamy; Parental investment</t>
  </si>
  <si>
    <t>MATE CHOICE; DIOMEDEA-EXULANS; BODY CONDITION; REPRODUCTIVE SUCCESS; SEXUAL SELECTION; RELATEDNESS; GROWTH; BIRDS; PARENTAGE; SIMILARITY</t>
  </si>
  <si>
    <t>Genetic techniques have revealed surprisingly high rates of extra-pair paternity (EPP) in socially monogamous albatrosses. We sought to establish social and genetic influences on EPP in wandering albatrosses (Diomedea exulans) at Marion Island, where EPP rates were 14-24 % in three successive seasons. EPP probably resulted from both female solicited extra-pair behaviours and male forced copulations. EPP was not linked to breeding experience nor with poor reproductive performance, despite a tendency for pairs to consistently produce either EPP or within-pair paternity (WPP) chicks. Mate guarding may inhibit extra-pair behaviour; however, parental arrival date and presence in the colony prior to laying did not correlate with EPP. There was little support for genetic advantages to producing EPP chicks, but the population is characterised by low genetic variability, which may result in mate incompatibility. Mates of pairs that failed and pairs producing EPP young tended to be more similar genetically to their partners than mates producing WPP young, suggesting that EPP may counter mate incompatibility. EPP and WPP chicks grow equally well, so cuckolded males did not reduce investment in EPP chicks. The lack of discriminatory behaviour by cuckolded males together with low genetic diversity in the population may allow continued high levels of EPP. In albatrosses, pair bonds are typically long lasting and the costs of forming new pairings may discourage mate swapping. Females may undertake extra-pair copulations as an adaptive alternative to mate swapping because the costs of extra-pair behaviour are small.</t>
  </si>
  <si>
    <t>[Jones, M. Genevieve W.; Techow, N. M. S. Mareile; Ryan, Peter G.] Univ Cape Town, Percy Fitzpatrick Inst African Ornithol, DST NRF Ctr Excellence, ZA-7701 Rondebosch, South Africa</t>
  </si>
  <si>
    <t>National Research Foundation - South Africa; University of Cape Town</t>
  </si>
  <si>
    <t>Jones, MGW (corresponding author), Univ Cape Town, Percy Fitzpatrick Inst African Ornithol, DST NRF Ctr Excellence, Private Bag X3, ZA-7701 Rondebosch, South Africa.</t>
  </si>
  <si>
    <t>mgenevievewjones@gmail.com</t>
  </si>
  <si>
    <t>Ryan, Peter/0000-0002-3356-2056</t>
  </si>
  <si>
    <t>DST/NRF Centre of Excellence (CoE) at the Percy FitzPatrick Institute of African Ornithology; South African National Antarctic Programme (through the National Research Foundation)</t>
  </si>
  <si>
    <t>Thanks to Quentin Hagens for valuable advice and assistance in formative stages of fieldwork. Henk Louw, Edith Mertz and Paul Visser gave extensive assistance with fieldwork. Some data are from long-term monitoring of wandering albatrosses at Marion Island, which was initiated by John Cooper. Some genetic analyses were performed at the DNA Sequencing Unit, Central Analytical Facility, Stellenbosch University. We thank two reviewers for their thoughtful comments on an earlier draft of this paper. Financial and logistical support was provided by the DST/NRF Centre of Excellence (CoE) at the Percy FitzPatrick Institute of African Ornithology and the South African National Antarctic Programme (through the National Research Foundation).</t>
  </si>
  <si>
    <t>0340-5443</t>
  </si>
  <si>
    <t>1432-0762</t>
  </si>
  <si>
    <t>BEHAV ECOL SOCIOBIOL</t>
  </si>
  <si>
    <t>Behav. Ecol. Sociobiol.</t>
  </si>
  <si>
    <t>10.1007/s00265-012-1374-8</t>
  </si>
  <si>
    <t>Behavioral Sciences; Ecology; Zoology</t>
  </si>
  <si>
    <t>Behavioral Sciences; Environmental Sciences &amp; Ecology; Zoology</t>
  </si>
  <si>
    <t>988SI</t>
  </si>
  <si>
    <t>WOS:000307510600002</t>
  </si>
  <si>
    <t>Wienecke, B</t>
  </si>
  <si>
    <t>Wienecke, Barbara</t>
  </si>
  <si>
    <t>Emperor penguins at the West Ice Shelf</t>
  </si>
  <si>
    <t>Emperor penguins; West Ice Shelf; Icebergs; Pingvin Island</t>
  </si>
  <si>
    <t>SPACE</t>
  </si>
  <si>
    <t>In 1956, an emperor penguin (Aptenodytes forsteri) colony had been reported during an aerial survey north of the north-western protrusion of the West Ice Shelf in East Antarctica. About 15,000 birds were estimated to be present. The region often has very heavy pack ice conditions hindering access by vessels. In the summers of 2009-2011, we surveyed the area from the air and sighted two emperor penguin colonies. One was situated on top of the ice shelf and comprised 342 adults and 1,156 chicks. The second colony was seen near the northern edge of the West Ice Shelf on the sea ice about 60 km farther south than in 1956. There were at least 1,498 adults and 3,436 chicks.</t>
  </si>
  <si>
    <t>Australian Antarctic Div, Kingston, Tas 7050, Australia</t>
  </si>
  <si>
    <t>Wienecke, B (corresponding author), Australian Antarctic Div, 203 Channel Highway, Kingston, Tas 7050, Australia.</t>
  </si>
  <si>
    <t>barbara.wienecke@aad.gov.au</t>
  </si>
  <si>
    <t>ASAC [484]</t>
  </si>
  <si>
    <t>ASAC</t>
  </si>
  <si>
    <t>This project was undertaken as part of ASAC Project 484. I would like to thank the pilots Leigh Hornsby, Chris Wilcox, Dougie Gray, Frank Ross, Bob Heath, and Allan Moore for their excellent Xying; Nobuo Kokubun and Mike Grimmer for their assistance in the Weld; Alison Dean for her support; and Perry Anderson, Theo Davis, Lucas Koleits, and David Hosken for participating in the surveys. I would also like to express my gratitude to Jerry Kooyman, Yvon Le Maho, and an anonymous reviewer for their constructive and thoughtful comments that greatly improved this paper.</t>
  </si>
  <si>
    <t>10.1007/s00300-012-1172-9</t>
  </si>
  <si>
    <t>979VG</t>
  </si>
  <si>
    <t>WOS:000306848300001</t>
  </si>
  <si>
    <t>Matallanas, J; Corbella, C; Moller, PR</t>
  </si>
  <si>
    <t>Matallanas, Jesus; Corbella, Cecilia; Moller, Peter R.</t>
  </si>
  <si>
    <t>Description of two new species of Santelmoa (Teleostei, Zoarcidae) from the Southern Ocean</t>
  </si>
  <si>
    <t>Eelpouts; Santelmoa fusca; Santelmoa antarctica</t>
  </si>
  <si>
    <t>Detailed examination of eelpouts in collected material from the Gerlache Strait and the Bellingshausen Sea, during the Spanish Antarctic Expeditions Bentart 03 and Bentart 06, and from the Bransfield Strait, during the Danish Galathea 3 Expedition, at depths between 1,056 and 1,837 m, revealed two undescribed species of Santelmoa Matallanas 2010. Herein, Santelmoa fusca sp. nov. and Santelmoa antarctica sp. nov. are described on the basis of twelve specimens. Santelmoa fusca can be separated from all other Santelmoa species by the following characters: mouth terminal; two posterior nasal pores; lateral line double; two irregular rows of palatine teeth; dorsal fin rays 109-113; anal fin rays 88-94; vertebrae 27-29 + 87-91 = 114-118; two pyloric caeca well developed; scales reduced to tail; pelvic fins and vomerine teeth present. Santelmoa antarctica can be separated from all other Santelmoa species by the following characters: mouth subterminal; two posterior nasal pores; suborbital pores seven (6 + 1); lateral line double; single row of palatine teeth; supraoccipital dividing the posterior end of frontals; central radials notched; dorsal fin rays 109-112; anal fin rays 89-93; vertebrae 27 + 89-92 = 116-119; two pyloric caeca well developed; scales, ventral fins and vomerine teeth present. Santelmoa fusca and S. antarctica can readily be separated from each other by squamation (reduced to tail vs. on the tail and on the posterior part of body); suborbital pore pattern (6 + 0 vs. 6 + 1), as well as several morphometric characters. The relationships of the two new species with congeners are discussed.</t>
  </si>
  <si>
    <t>[Matallanas, Jesus; Corbella, Cecilia] Univ Autonoma Barcelona, Fac Biociencias, Grp Biodiversidad Anim, E-08193 Barcelona, Spain; [Moller, Peter R.] Univ Copenhagen, Zool Museum, Nat Hist Museum, DK-2100 Copenhagen O, Denmark</t>
  </si>
  <si>
    <t>Autonomous University of Barcelona; University of Copenhagen</t>
  </si>
  <si>
    <t>Matallanas, J (corresponding author), Univ Autonoma Barcelona, Fac Biociencias, Grp Biodiversidad Anim, E-08193 Barcelona, Spain.</t>
  </si>
  <si>
    <t>Jesus.Matallanas@uab.es</t>
  </si>
  <si>
    <t>Møller, Peter/A-8807-2013</t>
  </si>
  <si>
    <t>Møller, Peter/0000-0002-0177-0977; Corbella Felip, Cecilia/0000-0001-7502-5833</t>
  </si>
  <si>
    <t>Spanish Antarctic Programme (CICYT); Danish Expedition Foundation; Ministerio de Ciencia e Innovacion, Spain: Culminacion del estudio taxonomico integrado de Zoarcidos (Teleostei, Perciformes) antarticos [CTM2011-1585-E]; Danish National Research Foundation</t>
  </si>
  <si>
    <t>Spanish Antarctic Programme (CICYT)(Consejo Interinstitucional de Ciencia y Tecnologia (CICYT)); Danish Expedition Foundation; Ministerio de Ciencia e Innovacion, Spain: Culminacion del estudio taxonomico integrado de Zoarcidos (Teleostei, Perciformes) antarticos; Danish National Research Foundation(Danmarks Grundforskningsfond)</t>
  </si>
  <si>
    <t>We thank the scientific team, the captain, crew and UTM technicians of the R/V Hesperides for their help during the Bentart 03 and Bentart 06 cruises, on which many specimens were captured. Special thanks to Jose Castro Cordoba'' for his expertise in fishing with the traps and to Dr. Ignacio Olaso for helping onboard with the collection of type specimens. We are also grateful to Carmen Benito for the X-rays, Jordi Corbera for the illustrations, and Muriel, daughter of the first author, for the English correction of the draft manuscript. This manuscript also benefited from the constructive criticism by reviewers (Gento Shinohara and Mario la Mesa). The Bentart cruises were supported by the Spanish Antarctic Programme (CICYT), and the Galathea 3 Expedition was conducted under the auspices of the Danish Expedition Foundation. This study was supported by a grant from the Ministerio de Ciencia e Innovacion, Spain: Culminacion del estudio taxonomico integrado de Zoarcidos (Teleostei, Perciformes) antarticos (CTM2011-1585-E)'', and a grant from the Danish National Research Foundation, Evolution of Polar fishes''.</t>
  </si>
  <si>
    <t>10.1007/s00300-012-1179-2</t>
  </si>
  <si>
    <t>WOS:000306848300008</t>
  </si>
  <si>
    <t>Sand, PH</t>
  </si>
  <si>
    <t>Sand, Peter H.</t>
  </si>
  <si>
    <t>'Marine protected areas' off UK overseas territories: comparing the South Orkneys Shelf and the Chagos Archipelago</t>
  </si>
  <si>
    <t>GEOGRAPHICAL JOURNAL</t>
  </si>
  <si>
    <t>marine conservation; international law; human rights</t>
  </si>
  <si>
    <t>In the wake of the designation of two new marine protected areas adjacent to the coastal waters of the South Orkney Islands (British Antarctic Territory) and the Chagos Archipelago (British Indian Ocean Territory), this commentary considers some of the geographical, legal and political implications of these unilateral declarations taking into account competing claims of jurisdiction by Mauritius and the Maldives; human rights claims of the Chagos islanders; strategic interests of the United States in the Indian Ocean; and shared legislative competences of the European Union in the field of marine fisheries. The two case studies also raise questions of global arms control, diplomatic efforts at greening imperialism, and contemporary state practice with regard to the sacred trust of civilisation for dependent territories, as spelled out in the United Nations Charter.</t>
  </si>
  <si>
    <t>Univ Munich, Inst Int Law, Munich, Germany</t>
  </si>
  <si>
    <t>University of Munich</t>
  </si>
  <si>
    <t>Sand, PH (corresponding author), Univ Munich, Inst Int Law, Munich, Germany.</t>
  </si>
  <si>
    <t>peterhsand@t-online.de</t>
  </si>
  <si>
    <t>0016-7398</t>
  </si>
  <si>
    <t>GEOGR J</t>
  </si>
  <si>
    <t>Geogr. J.</t>
  </si>
  <si>
    <t>10.1111/j.1475-4959.2011.00434.x</t>
  </si>
  <si>
    <t>Geography</t>
  </si>
  <si>
    <t>982AC</t>
  </si>
  <si>
    <t>WOS:000307013100002</t>
  </si>
  <si>
    <t>Lara-Lopez, AL; Davison, P; Koslow, JA</t>
  </si>
  <si>
    <t>Lara-Lopez, Ana Ligia; Davison, Peter; Koslow, Julian Anthony</t>
  </si>
  <si>
    <t>Abundance and community composition of micronekton across a front off Southern California</t>
  </si>
  <si>
    <t>JOURNAL OF PLANKTON RESEARCH</t>
  </si>
  <si>
    <t>micronekton; A-Front; fish; krill; mesopelagic; California Current</t>
  </si>
  <si>
    <t>EUPHAUSIA-PACIFICA; MESOPELAGIC FISH; TARGET STRENGTH; STENOBRACHIUS-LEUCOPSARUS; MESOSCALE VARIABILITY; VERTICAL-DISTRIBUTION; SOUND-SCATTERING; ANTARCTIC KRILL; MIDWATER FISHES; ENSENADA FRONT</t>
  </si>
  <si>
    <t>Concurrent net and acoustic data were collected across a front off Southern California to assess its influence on the abundance, biomass and community composition of the micronekton. Higher abundance and biomass of vertically migratory mesopelagic fish (VMF) and euphausiids were found on the cooler mesotrophic (north) side of the front, whereas larval fish abundance was higher on the warmer oligotrophic (south) side. The biomass and community composition of non-VMF did not differ between the two sides of the front. The north was dominated by the euphausiid Euphausia pacifica and the myctophid Diaphus theta, whereas the south was dominated by E. gibboides, E. recurva and a combination of VMF species with warm water affinities. The larval fish assemblage in the north was dominated by the nearshore species Engraulis mordax and Citharichthys spp., whereas mesopelagic fish larvae dominated the south. Acoustic data revealed differences in the distribution of fish, euphausiids and the deep-scattering layer across the front. In particular, epipelagic fish were aggregated directly at the frontal interface in the area of enhanced plankton concentrations and may have contributed to higher plankton mortality and turnover rates at the front. In addition to being an area of high biological abundance, the front may be acting as a distributional boundary for several migratory species, as well as a locus of enhanced prey forage and the activity of epipelagic species.</t>
  </si>
  <si>
    <t>[Lara-Lopez, Ana Ligia; Davison, Peter; Koslow, Julian Anthony] Univ Calif San Diego, Scripps Inst Oceanog, La Jolla, CA 92093 USA</t>
  </si>
  <si>
    <t>University of California System; University of California San Diego; Scripps Institution of Oceanography</t>
  </si>
  <si>
    <t>Lara-Lopez, AL (corresponding author), Univ Calif San Diego, Scripps Inst Oceanog, 9500 Gilman Dr, La Jolla, CA 92093 USA.</t>
  </si>
  <si>
    <t>analigia@yahoo.com</t>
  </si>
  <si>
    <t>Lara-Lopez, Ana/0000-0003-2896-1367</t>
  </si>
  <si>
    <t>Moore Foundation; U.D. National Science Foundation; Joint Institute of Marine Observations scholarship; NASA; MOHT; Division Of Ocean Sciences; Directorate For Geosciences [1026607] Funding Source: National Science Foundation</t>
  </si>
  <si>
    <t>Moore Foundation(Gordon and Betty Moore Foundation); U.D. National Science Foundation; Joint Institute of Marine Observations scholarship; NASA(National Aeronautics &amp; Space Administration (NASA)); MOHT; Division Of Ocean Sciences; Directorate For Geosciences(National Science Foundation (NSF)NSF - Directorate for Geosciences (GEO))</t>
  </si>
  <si>
    <t>This work was supported by the Moore Foundation which provided the funding for the EK-60 and MOHT net. Wire time was provided by the CCE-LTER project, supported by U.D. National Science Foundation. A. L. L.-L. was supported by the Joint Institute of Marine Observations scholarship. P. D. was supported by a NASA Earth and Space Science Fellowship.</t>
  </si>
  <si>
    <t>0142-7873</t>
  </si>
  <si>
    <t>1464-3774</t>
  </si>
  <si>
    <t>J PLANKTON RES</t>
  </si>
  <si>
    <t>J. Plankton Res.</t>
  </si>
  <si>
    <t>10.1093/plankt/fbs016</t>
  </si>
  <si>
    <t>984FC</t>
  </si>
  <si>
    <t>WOS:000307174500008</t>
  </si>
  <si>
    <t>Review and phylogeny of the Recent Polycopidae (Ostracoda, Cladocopina), with descriptions of nine new species, one new genus, and one new subgenus from the deep South Atlantic</t>
  </si>
  <si>
    <t>MARINE BIODIVERSITY</t>
  </si>
  <si>
    <t>Myodocopa; Abyssal; Diversity; Phylogeny; Taxonomy; DIVA II</t>
  </si>
  <si>
    <t>ANGOLA BASIN; SEA OSTRACODS; OCEAN; MORPHOLOGY; ASELLOTA; 5TH; HALOCYPRIDA; QUATERNARY; CRUSTACEA; HOMOLOGY</t>
  </si>
  <si>
    <t>Polycopidae Sars, 1866 ostracods from the DIVA II expedition of the RV Meteor at the Cape, Angola, and Guinea basins are presented here. They were collected between 26 February and 30 March 2005, from depths between 5,047 and 5,150 m. Metapolycope divae sp. nov. belongs to the subfamily Polycopsisinae Chavtur, 1983, and stands apart from the other representatives of the genus by the morphology of the uropodal lamellae. The remaining eight new species described herein belong to the subfamily Polycopinae Sars, 1866. The genus Archypolycope Chavtur, 1981 is represented in the investigated area by four new species: A. atlantica sp. nov., A. brandtae sp. nov., A. louisi sp. nov., and A. martinezi sp. nov. With the addition of these four new species, this genus is redefined to include six Recent and three fossil species. Archypolycope atlantica is the only representative in the family with six bristles ventrally on the first segment of the mandibula. The other three new species stand apart by the specific shell ornamentation, chaetotaxy of the maxillula, and morphology of the uropodal lamellae. Archypolycope cornea Chavtur, 1981 and A. rotunda Chavtur, 1981, both described from the abyssal depths of the Kuril-Kamchatka trench, are here excluded from the genus. The decision is based on the absence of the peculiar morphology of the fifth limb endopod, which is shared by all other Archypolycope. These species are transferred to the genus Pseudopolycope Chavtur, 1981, because they have a fifth limb endopod consisting of a segment and one terminal bristle, but are placed in separate new subgenus Divacope subgen. nov. The new subgenus differs from the nominotypical subgenus by a much shorter fusion of the two bristles on the Bellonci Organ, and by the presence of hooks on the male antenna. Besides Pseudopolycope (D.) cornea (Chavtur, 1981) comb. nov. and P. (D.) rotunda (Chavtur, 1981) comb. nov, the subgenus has been defined to include one more member: P. (D.) chavturi sp. nov., which is also described from the deep South Atlantic and designated the type species of the new subgenus. It is most closely related to P. (D.) cornea, but differs from it by the chaetotaxy of the antennula and morphology of the exopod mandibula. Two new species, P. (P.) quasivitjazi sp. nov. and P. (P.) spio sp. nov., from the deep South Atlantic are added to the nominotypical subgenus, which now has 15 Recent species. One of the new species described here could not be accommodated into any of the known Polycopinae genera, so the new genus Hyphalocope gen. nov. was erected for it, and defined by the following autapomorphies: completely flat dorsal margin of the shell, presence of the bifurcated bristles on the shell, elongated antennula, and very long Bellonci Organ. Presently, Hyphalocope dorsoithys gen. et sp. nov. is known only from females. We provide a key to genera of the family Polycopidae, and keys to species of the genera Metapolycope, Archypolycope, and Pseudopolycope. In order to learn about the phylogenetic relationships and to point out some current problems of polyphyletic and paraphyletic genera in the subfamily Polycopinae, we perform a cladistic analysis based on 29 morphological characters scored for 91 Recent species. Two species from the genus Metapolycope are chosen as outgroups. Extensive discussion on the distribution and suitability of morphological characters in this family is also provided. All Recent species of Polycopidae are listed at the end, with information about their geographic and bathymetric distributions, habitat, presence of sexes, and body length.</t>
  </si>
  <si>
    <t>[Karanovic, Ivana] Hanyang Univ, Dept Life Sci, Seoul 133791, South Korea; [Karanovic, Ivana] Univ Tasmania, Inst Marine &amp; Antarctic Studies, Hobart, Tas 7001, Australia; [Brandao, Simone Nunes] Univ Hamburg, German Ctr Marine Biodivers Res, Senckenberg Res Inst, D-20146 Hamburg, Germany; [Brandao, Simone Nunes] Univ Hamburg, Zool Museum, D-20146 Hamburg, Germany</t>
  </si>
  <si>
    <t>Hanyang University; University of Tasmania; University of Hamburg; Senckenberg Gesellschaft fur Naturforschung (SGN); University of Hamburg</t>
  </si>
  <si>
    <t>Karanovic, I (corresponding author), Hanyang Univ, Dept Life Sci, Seoul 133791, South Korea.</t>
  </si>
  <si>
    <t>CeDA-Mar</t>
  </si>
  <si>
    <t>This project is partly accomplished from the CeDA-Mar funding for the taxonomic description. The junior author is currently the Alexander von Humboldt postdoctoral fellow, and the paper was partly written while the senior author was also a fellow of this organization. We would like to thank Ms Renate Walter (ZMH) for her help with the SEM.</t>
  </si>
  <si>
    <t>1867-1616</t>
  </si>
  <si>
    <t>1867-1624</t>
  </si>
  <si>
    <t>MAR BIODIVERS</t>
  </si>
  <si>
    <t>Mar. Biodivers.</t>
  </si>
  <si>
    <t>10.1007/s12526-012-0116-5</t>
  </si>
  <si>
    <t>Biodiversity Conservation; Marine &amp; Freshwater Biology</t>
  </si>
  <si>
    <t>Biodiversity &amp; Conservation; Marine &amp; Freshwater Biology</t>
  </si>
  <si>
    <t>987DO</t>
  </si>
  <si>
    <t>WOS:000307396900003</t>
  </si>
  <si>
    <t>Mizota, C; Noborio, K; Mori, Y</t>
  </si>
  <si>
    <t>Mizota, Chitoshi; Noborio, Kosuke; Mori, Yoshiaki</t>
  </si>
  <si>
    <t>The Great Cormorant (Phalacrocorax carbo) colony as a hot spot of nitrous oxide (N2O) emission in central Japan</t>
  </si>
  <si>
    <t>ATMOSPHERIC ENVIRONMENT</t>
  </si>
  <si>
    <t>Nitrogen; Birds/avian; Fluxes</t>
  </si>
  <si>
    <t>ORNITHOGENIC SOILS; TEMPORAL VARIATION; AMMONIA EMISSIONS; ANTARCTIC TUNDRA; PENGUIN GUANO; FLUXES; VARIABILITY; ABUNDANCE; RATIO; LAND</t>
  </si>
  <si>
    <t>Unusual high soil fluxes up to ca. 500 mg N2O m(-2) h(-1) emission were associated with a continued breeding/roosting colony of Great Cormorant in central Japan. This flux is nearly two-orders of magnitude higher than those hitherto documented. The flux was markedly dependent upon the soil surface temperature, i.e., higher in April-October during the prevailing high air temperatures, as compared with November to March. Integrated input of fecal N at rearing and fledging stages of chicks followed by coupled mineralization, nitrification and subsequently denitrification processes under humid and temperate regimes is responsible for such an unusual flux. The Great Cormorant colony serves as a hot spot of N2O emission of natural origin. (C) 2012 Elsevier Ltd. All rights reserved.</t>
  </si>
  <si>
    <t>[Mizota, Chitoshi] Iwate Univ, Fac Agr, Morioka, Iwate 0208550, Japan; [Noborio, Kosuke; Mori, Yoshiaki] Meiji Univ, Fac Agr, Kawasaki, Kanagawa 2148571, Japan</t>
  </si>
  <si>
    <t>Iwate University; Meiji University</t>
  </si>
  <si>
    <t>Mizota, C (corresponding author), Iwate Univ, Fac Agr, Morioka, Iwate 0208550, Japan.</t>
  </si>
  <si>
    <t>mizota@iwate-u.ac.jp</t>
  </si>
  <si>
    <t>1352-2310</t>
  </si>
  <si>
    <t>1873-2844</t>
  </si>
  <si>
    <t>ATMOS ENVIRON</t>
  </si>
  <si>
    <t>Atmos. Environ.</t>
  </si>
  <si>
    <t>10.1016/j.atmosenv.2012.02.007</t>
  </si>
  <si>
    <t>983SX</t>
  </si>
  <si>
    <t>WOS:000307140100004</t>
  </si>
  <si>
    <t>Cipolla, A; Delbrassine, F; Da Lage, JL; Feller, G</t>
  </si>
  <si>
    <t>Cipolla, Alexandre; Delbrassine, Francois; Da Lage, Jean-Luc; Feller, Georges</t>
  </si>
  <si>
    <t>Temperature adaptations in psychrophilic, mesophilic and thermophilic chloride-dependent alpha-amylases</t>
  </si>
  <si>
    <t>BIOCHIMIE</t>
  </si>
  <si>
    <t>Alpha-amylase; Extremophiles; Antarctic; Differential scanning calorimetry; Protein stability</t>
  </si>
  <si>
    <t>COLD ADAPTATION; CONFORMATIONAL FLEXIBILITY; EVOLUTIONARY RELATIONSHIPS; STEPWISE ADAPTATIONS; STABILITY; PROTEINS; ENZYMES; SIMILARITIES; ACTIVATION; BACTERIA</t>
  </si>
  <si>
    <t>The functional and structural adaptations to temperature have been addressed in homologous chloride-dependent alpha-amylases from a psychrophilic Antarctic bacterium, the ectothermic fruit fly, the homeothermic pig and from a thermophilic actinomycete. This series covers nearly all temperatures encountered by living organisms. We report a striking continuum in the functional properties of these enzymes coupled to their structural stability and related to the thermal regime of the source organism. In particular, thermal stability recorded by intrinsic fluorescence, circular dichroism and differential scanning calorimetry appears to be a compromise between the requirement for a stable native state and the proper structural dynamics to sustain the function at the environmental/physiological temperatures. The thermodependence of activity, the kinetic parameters, the activations parameters and fluorescence quenching support these activity-stability relationships in the investigated alpha-amylases. (C) 2012 Elsevier Masson SAS. All rights reserved.</t>
  </si>
  <si>
    <t>[Feller, Georges] Univ Liege, Ctr Prot Engn, Biochem Lab, Inst Chem B6A, B-4000 Liege, Belgium; [Da Lage, Jean-Luc] CNRS, Evolut Genomes &amp; Speciat UPR9034, F-91198 Gif Sur Yvette, France; [Da Lage, Jean-Luc] Univ Paris 11, F-91405 Orsay, France</t>
  </si>
  <si>
    <t>University of Liege; Centre National de la Recherche Scientifique (CNRS); Universite Paris Saclay; Universite Paris Saclay</t>
  </si>
  <si>
    <t>Feller, G (corresponding author), Univ Liege, Ctr Prot Engn, Biochem Lab, Inst Chem B6A, B-4000 Liege, Belgium.</t>
  </si>
  <si>
    <t>gfeller@ulg.ac.be</t>
  </si>
  <si>
    <t>FRS-FNRS, Belgium [2.4535.08]; Federal Office for Scientific, Technical and Cultural Affaires [P6/19]; Centre National de la Recherche Scientifique (France)</t>
  </si>
  <si>
    <t>FRS-FNRS, Belgium(Fonds de la Recherche Scientifique - FNRS); Federal Office for Scientific, Technical and Cultural Affaires; Centre National de la Recherche Scientifique (France)(Centre National de la Recherche Scientifique (CNRS))</t>
  </si>
  <si>
    <t>This work was supported by grants from the FRS-FNRS, Belgium (Fonds de la Recherche Fondamentale et Collective, contract number 2.4535.08) to G.F., the Belgian program of Interuniversity Attraction Poles initiated by the Federal Office for Scientific, Technical and Cultural Affaires (PAI no P6/19) and from the Centre National de la Recherche Scientifique (France) to J.-L.D.L. AC was a FRIA fellow during this work.</t>
  </si>
  <si>
    <t>ELSEVIER FRANCE-EDITIONS SCIENTIFIQUES MEDICALES ELSEVIER</t>
  </si>
  <si>
    <t>ISSY-LES-MOULINEAUX</t>
  </si>
  <si>
    <t>65 RUE CAMILLE DESMOULINS, CS50083, 92442 ISSY-LES-MOULINEAUX, FRANCE</t>
  </si>
  <si>
    <t>0300-9084</t>
  </si>
  <si>
    <t>1638-6183</t>
  </si>
  <si>
    <t>Biochimie</t>
  </si>
  <si>
    <t>10.1016/j.biochi.2012.05.013</t>
  </si>
  <si>
    <t>983AG</t>
  </si>
  <si>
    <t>WOS:000307087900013</t>
  </si>
  <si>
    <t>Tribelli, PM; Di Martino, C; López, NI; Iustman, LJR</t>
  </si>
  <si>
    <t>Tribelli, Paula M.; Di Martino, Carla; Lopez, Nancy I.; Raiger Iustman, Laura J.</t>
  </si>
  <si>
    <t>Biofilm lifestyle enhances diesel bioremediation and biosurfactant production in the Antarctic polyhydroxyalkanoate producer Pseudomonas extremaustralis</t>
  </si>
  <si>
    <t>BIODEGRADATION</t>
  </si>
  <si>
    <t>Biofilm; Diesel bioremediation; Biosurfactant production; Polyhydroxyalkanoates; Pseudomonas</t>
  </si>
  <si>
    <t>ALKANE HYDROXYLASE SYSTEMS; AERUGINOSA; EXPRESSION; STRESS; BIOSYNTHESIS; OLEOVORANS; BACTERIUM; MOTILITY</t>
  </si>
  <si>
    <t>Diesel is a widely distributed pollutant. Bioremediation of this kind of compounds requires the use of microorganisms able to survive and adapt to contaminated environments. Pseudomonas extremaustralis is an Antarctic bacterium with a remarkable survival capability associated to polyhydroxyalkanoates (PHAs) production. This strain was used to investigate the effect of cell growth conditions-in biofilm versus shaken flask cultures-as well as the inocula characteristics associated with PHAs accumulation, on diesel degradation. Biofilms showed increased cell growth, biosurfactant production and diesel degradation compared with that obtained in shaken flask cultures. PHA accumulation decreased biofilm cell attachment and enhanced biosurfactant production. Degradation of long-chain and branched alkanes was observed in biofilms, while in shaken flasks only medium-chain length alkanes were degraded. This work shows that the PHA accumulating bacterium P. extremaustralis can be a good candidate to be used as hydrocarbon bioremediation agent, especially in extreme environments.</t>
  </si>
  <si>
    <t>[Tribelli, Paula M.; Di Martino, Carla; Lopez, Nancy I.; Raiger Iustman, Laura J.] Univ Buenos Aires, Fac Ciencias Exactas &amp; Nat, Dpto Qca Biol, Buenos Aires, DF, Argentina</t>
  </si>
  <si>
    <t>University of Buenos Aires</t>
  </si>
  <si>
    <t>Iustman, LJR (corresponding author), Univ Buenos Aires, Fac Ciencias Exactas &amp; Nat, Dpto Qca Biol, Intendente Guiraldes 2160,Pab 2,Piso 4, Buenos Aires, DF, Argentina.</t>
  </si>
  <si>
    <t>lri@qb.fcen.uba.ar</t>
  </si>
  <si>
    <t>Tribelli, Paula Maria/0000-0001-9558-6275; Raiger Iustman, Laura J./0000-0002-8541-3204; Lopez, Nancy/0000-0002-2966-3014</t>
  </si>
  <si>
    <t>UBA; ANPCyT; CONICET</t>
  </si>
  <si>
    <t>UBA(University of Buenos Aires); ANPCyT(ANPCyT); CONICET(Consejo Nacional de Investigaciones Cientificas y Tecnicas (CONICET))</t>
  </si>
  <si>
    <t>We thank Dr Julia Pettinari for critically reading the manuscript. This work was supported by grants from UBA and ANPCyT. NIL and LRI are career investigators from CONICET. PMT and CDM have a graduate student fellowship from CONICET.</t>
  </si>
  <si>
    <t>0923-9820</t>
  </si>
  <si>
    <t>1572-9729</t>
  </si>
  <si>
    <t>Biodegradation</t>
  </si>
  <si>
    <t>10.1007/s10532-012-9540-2</t>
  </si>
  <si>
    <t>Biotechnology &amp; Applied Microbiology</t>
  </si>
  <si>
    <t>985UK</t>
  </si>
  <si>
    <t>WOS:000307295800002</t>
  </si>
  <si>
    <t>Caruana, AMN; Steinke, M; Turner, SM; Malin, G</t>
  </si>
  <si>
    <t>Caruana, A. M. N.; Steinke, M.; Turner, S. M.; Malin, Gill</t>
  </si>
  <si>
    <t>Concentrations of dimethylsulphoniopropionate and activities of dimethylsulphide-producing enzymes in batch cultures of nine dinoflagellate species</t>
  </si>
  <si>
    <t>Batch cultures; Carbon; Dinoflagellates; DMSP; DMS-producing enzymes; Nitrogen</t>
  </si>
  <si>
    <t>DMSP-LYASE ACTIVITY; MARINE-PHYTOPLANKTON; NORTH-SEA; POLARELLA-GLACIALIS; EMILIANIA-HUXLEYI; GLYCINE BETAINE; PERIDINIUM-FOLIACEUM; MODELING APPROACH; COASTAL WATERS; CLIMATE-CHANGE</t>
  </si>
  <si>
    <t>Dinoflagellates are recognised as one of the major phytoplankton groups that produce dimethylsulphoniopropionate (DMSP), the precursor of the marine trace gas dimethylsulphide (DMS) which has climate-cooling potential. To improve the prospects for including dinoflagellates in global climate models that include DMSP-related processes, we increased the data base for this group by measuring DMSP, DMS-producing enzyme activity (DPEA), carbon, nitrogen and Chl a in nine clonal dinoflagellate cultures (1 heterotrophic and 8 phototrophic strains). Growth rates ranged from 0.11 to 1.92 day(-1) with the highest value being for the heterotroph Crypthecodinium cohnii. Overall, we observed two orders of magnitude variability in DMSP content (11-364 mM) and detected DPEA in five of the nine strains (0.61-59.73 fmol cell(-1) h(-1)). Cell volume varied between 454 and 18,439 mu m(3) and whilst C and N content were proportional to the cell volume, DMSP content was not. The first DMSP measurements for a dinoflagellate from Antarctic waters and a species with diatom-like plastids are included. Lower DMSP concentrations were found in three small athecate species and a dinoflagellate with haptophyte-like plastids. The highest concentrations and production rates tended to be in globally distributed dinoflagellates and the heterotroph. Photosynthetic species that are distributed in temperate to tropical waters showed low DMSP concentrations and production rates and the polar representative showed moderate concentration and a low production rate. Estuarine species had the lowest concentrations and production rates. These data should help refine the inclusion of dinoflagellates as a functional group in future global climate models.</t>
  </si>
  <si>
    <t>[Caruana, A. M. N.; Turner, S. M.; Malin, Gill] Univ E Anglia, Sch Environm Sci, Lab Global Marine &amp; Atmospher Chem, Norwich NR4 7TJ, Norfolk, England; [Steinke, M.] Univ Essex, Dept Biol Sci, Colchester CO4 3SQ, Essex, England</t>
  </si>
  <si>
    <t>University of East Anglia; University of Essex</t>
  </si>
  <si>
    <t>Malin, G (corresponding author), Univ E Anglia, Sch Environm Sci, Lab Global Marine &amp; Atmospher Chem, Norwich Res Pk, Norwich NR4 7TJ, Norfolk, England.</t>
  </si>
  <si>
    <t>g.malin@uea.ac.uk</t>
  </si>
  <si>
    <t>Malin, Gill/C-6985-2009; Caruana, Amandine/ABB-1687-2022; Steinke, Michael/A-6137-2012</t>
  </si>
  <si>
    <t>Caruana, Amandine/0000-0003-4763-8995; Steinke, Michael/0000-0001-6820-0154; Malin, Gill/0000-0002-3639-9215</t>
  </si>
  <si>
    <t>NERC [NE/H009485/1, NE/H008535/1] Funding Source: UKRI; Natural Environment Research Council [NE/H008535/1, NE/B501039/1, NE/H009485/1] Funding Source: researchfish</t>
  </si>
  <si>
    <t>10.1007/s10533-012-9705-4</t>
  </si>
  <si>
    <t>WOS:000309227400008</t>
  </si>
  <si>
    <t>Hong, QQ; Wang, Y; Luo, XJ; Chen, SJ; Chen, JG; Cai, MH; Cai, MG; Mai, BX</t>
  </si>
  <si>
    <t>Hong, Qingquan; Wang, Yun; Luo, Xiaojun; Chen, Shejun; Chen, Jigang; Cai, Minghong; Cai, Minggang; Mai, Bixian</t>
  </si>
  <si>
    <t>Occurrence of polychlorinated biphenyls (PCBs) together with sediment properties in the surface sediments of the Bering Sea, Chukchi Sea and Canada Basin</t>
  </si>
  <si>
    <t>CHEMOSPHERE</t>
  </si>
  <si>
    <t>Polychlorinated biphenyls; Sediments; Black carbon; Arctic; Chukchi Sea; Bering Sea</t>
  </si>
  <si>
    <t>PERSISTENT ORGANIC POLLUTANTS; AROMATIC-HYDROCARBONS PAHS; BLACK CARBON; BOTTOM SEDIMENTS; GRAIN-SIZE; ORGANOCHLORINES; MATTER; LAKE; TRANSPORT; SOILS</t>
  </si>
  <si>
    <t>The spatial distribution and potential source of polychlorinated biphenyls (PCBs) in surface sediments from Bering Sea, Chukchi Sea, and Canada Basin and the relationship between PCBs and sedimentary properties including grain size, water content, loss on ignition, total organic carbon, and black carbon were explored. Sigma PCBs (the sum of the detected PCB congeners) concentrations fluctuated in the study area, ranging from 22-150,60-640 and 24-600 pg g(-1) dry weight for the Bering Sea, Chukchi Sea, and Canada Basin. A similar homologue pattern was observed at different locations, with tri-chlorinated PCBs being the dominant homologue, implying that the PCBs came mainly from the atmospheric transportation and deposition and ocean current transportation. No apparent co-relationships between PCB concentrations and sediment properties were obtained, indicating that the distribution of PCBs was not only controlled by their source, but also by the multi-factors such as atmospheric transport and depositing, mixing, partitioning and sorption in the water column and sediments. Crown Copyright (C) 2012 Published by Elsevier Ltd. All rights reserved.</t>
  </si>
  <si>
    <t>[Hong, Qingquan; Wang, Yun; Cai, Minggang] Xiamen Univ, Coll Oceanog &amp; Environm Sci, Xiamen 361005, Peoples R China; [Hong, Qingquan; Cai, Minggang] Xiamen Univ, State Key Lab Marine Environm Sci, Xiamen 361005, Peoples R China; [Luo, Xiaojun; Chen, Shejun; Mai, Bixian] Chinese Acad Sci, State Key Lab Organ Geochem, Guangzhou Inst Geochem, Guangzhou 510640, Peoples R China; [Chen, Jigang] Zhejiang Wanli Univ, Coll Biol &amp; Environm Sci, Ningbo 315100, Zhejiang, Peoples R China; [Cai, Minghong] Polar Res Inst China, State Ocean Adm Key Lab Polar Sci, Shanghai 200136, Peoples R China</t>
  </si>
  <si>
    <t>Xiamen University; Xiamen University; Chinese Academy of Sciences; Guangzhou Institute of Geochemistry, CAS; Zhejiang Wanli University; Polar Research Institute of China</t>
  </si>
  <si>
    <t>Cai, MG (corresponding author), Xiamen Univ, Coll Oceanog &amp; Environm Sci, Xiamen 361005, Peoples R China.</t>
  </si>
  <si>
    <t>mgcai@xmu.edu.cn; nancymai@gig.ac.cn</t>
  </si>
  <si>
    <t>cai, minggang/G-3979-2010; Hong, Qingquan/J-6133-2012; HUANG, Shuiying/C-3117-2014; chen, Jigang/M-4104-2018</t>
  </si>
  <si>
    <t>cai, minggang/0000-0003-2828-0529; luo, xiaojun/0000-0002-2572-8108; chen, Jigang/0000-0002-6799-0171; Hong, Qingquan/0000-0002-6473-5749</t>
  </si>
  <si>
    <t>National Natural Science Foundation of China (NSFC) [40776040, 40306012]; Ocean Public Welfare Scientific Research Project, the State Oceanic Administration of China [200805095]</t>
  </si>
  <si>
    <t>National Natural Science Foundation of China (NSFC)(National Natural Science Foundation of China (NSFC)); Ocean Public Welfare Scientific Research Project, the State Oceanic Administration of China</t>
  </si>
  <si>
    <t>This work was mainly supported by the National Natural Science Foundation of China (NSFC) Grants #40776040 and #40306012 and t and partly funded by the Ocean Public Welfare Scientific Research Project, the State Oceanic Administration of China (200805095). Thanks are also given to the R/V Xuelong from the Chinese Arctic and Antarctic Administration, State Oceanic Administration of China. The authors also wish to thank the anonymous reviewers of the manuscript for their suggestions, and Professor John Hodgkiss for his help with English.</t>
  </si>
  <si>
    <t>0045-6535</t>
  </si>
  <si>
    <t>1879-1298</t>
  </si>
  <si>
    <t>Chemosphere</t>
  </si>
  <si>
    <t>10.1016/j.chemosphere.2012.05.033</t>
  </si>
  <si>
    <t>980FC</t>
  </si>
  <si>
    <t>WOS:000306878000011</t>
  </si>
  <si>
    <t>Guo, ZT; Zhou, X; Wu, HB</t>
  </si>
  <si>
    <t>Guo, Zhengtang; Zhou, Xin; Wu, Haibin</t>
  </si>
  <si>
    <t>Glacial-interglacial water cycle, global monsoon and atmospheric methane changes</t>
  </si>
  <si>
    <t>Pleistocene; Greenhouse gases; Loess; Global monsoon</t>
  </si>
  <si>
    <t>EAST-ASIAN MONSOON; MILLENNIAL-SCALE; CLIMATE VARIABILITY; NATURAL WETLANDS; HIGH-RESOLUTION; GREENLAND CLIMATE; LATE PLEISTOCENE; EARLY HOLOCENE; NITROUS-OXIDE; CHINA LOESS</t>
  </si>
  <si>
    <t>The causes of atmospheric methane (CH4) changes are still a major contention, in particular with regards to the relative contributions of glacial-interglacial cycles, monsoons in both hemispheres and the late Holocene human intervention. Here, we explore the CH4 signals in the Antarctic EPICA Dome C and Vostok ice records using the methods of timeseries analyses and correlate them with insolation and geological records to address these issues. The results parse out three distinct groups of CH4 signals attributable to different drivers. The first group (similar to 80% variance), well tracking the marine delta O-18 record, is attributable to glacial-interglacial modulation on the global water cycle with the effects shared by wetlands at all latitudes, from monsoonal and non-monsoonal regions in both hemispheres. The second group (similar to 15% variance), centered at the similar to 10-kyr semi-precession frequency, is linkable with insolation-driven tropical monsoon changes in both hemispheres. The third group (similar to 5% variance), marked by millennial frequencies, is seemingly related with the combined effect of ice-volume and bi-hemispheric insolation changes at the precession bands. These results indicate that bi-hemispheric monsoon changes have been a constant driver of atmospheric CH4. This mechanism also partially explains the Holocene CH4 reversal since similar to 5 kyr BP besides the human intervention. In the light of these results, we propose that global monsoon can be regarded as a system consisting of two main integrated components, one primarily driven by the oscillations of Inter-Tropical Convergence Zone (ITCZ) in response to the low-latitude summer insolation changes, anti-phase between the two hemispheres (i.e. the ITCZ monsoon component); and another modulated by the glacial-interglacial cycles, mostly synchronous at the global scale (i.e. the glacial-interglacial monsoon component). Although atmospheric CH4 record integrates all wetland processes, including significant non-monsoonal contributions, it is the only and probably the best proxy available to reflect the past changes of global monsoon. However, the utility of CH4 as a proxy of monsoon changes at any specific location is compromised by its bi-hemispheric nature.</t>
  </si>
  <si>
    <t>[Guo, Zhengtang; Zhou, Xin; Wu, Haibin] Chinese Acad Sci, Inst Geol &amp; Geophys, Key Lab Cenozo Geol &amp; Environm, Beijing 100029, Peoples R China; [Zhou, Xin] Univ Sci &amp; Technol China, Sch Earth &amp; Space Sci, Hefei 230026, Peoples R China; [Zhou, Xin] Univ Sci &amp; Technol China, Inst Polar Environm, Hefei 230026, Peoples R China</t>
  </si>
  <si>
    <t>Chinese Academy of Sciences; Institute of Geology &amp; Geophysics, CAS; Chinese Academy of Sciences; University of Science &amp; Technology of China, CAS; Chinese Academy of Sciences; University of Science &amp; Technology of China, CAS</t>
  </si>
  <si>
    <t>Guo, ZT (corresponding author), Chinese Acad Sci, Inst Geol &amp; Geophys, Key Lab Cenozo Geol &amp; Environm, 19 Bei Tu Cheng Xi Rd,POB 9825, Beijing 100029, Peoples R China.</t>
  </si>
  <si>
    <t>ztguo@mail.iggcas.ac.cn</t>
  </si>
  <si>
    <t>IPO, PAGES/JXY-7546-2024; Guo, Zhengtang/B-6854-2008; Zhou, Xin/AIE-7442-2022</t>
  </si>
  <si>
    <t>Guo, Zhengtang/0000-0003-2259-9715; Zhou, Xin/0000-0003-2640-6431</t>
  </si>
  <si>
    <t>National Basic Research Program of China [2010CB950200]; National Natural Science Foundation of China [40730104]</t>
  </si>
  <si>
    <t>National Basic Research Program of China(National Basic Research Program of China); National Natural Science Foundation of China(National Natural Science Foundation of China (NSFC))</t>
  </si>
  <si>
    <t>This study is supported by the National Basic Research Program of China (2010CB950200) and the National Natural Science Foundation of China (40730104). Thanks are extended to Prof. W. F. Ruddiman and Prof. P. X. Wang for constructive advices and discussions. We also thank the two anonymous reviewers for their comments and suggestions that have greatly improved the manuscript.</t>
  </si>
  <si>
    <t>10.1007/s00382-011-1147-5</t>
  </si>
  <si>
    <t>995BP</t>
  </si>
  <si>
    <t>WOS:000307981900004</t>
  </si>
  <si>
    <t>Puce, S; Pica, D; Brun, F; Mancini, L; Bavestrello, G</t>
  </si>
  <si>
    <t>Puce, S.; Pica, D.; Brun, F.; Mancini, L.; Bavestrello, G.</t>
  </si>
  <si>
    <t>Genus Distichopora (Cnidaria, Hydrozoa): from primary cyclosystem to adult pore organisation</t>
  </si>
  <si>
    <t>CORAL REEFS</t>
  </si>
  <si>
    <t>Stylasteridae; Distichopora; Growth stages; Canal network; X-ray computed microtomography</t>
  </si>
  <si>
    <t>This investigation provides the first detailed description of the growth stages of two Distichopora species showing the formation of a primary cyclosystem and explaining the growth process leading from primary cyclosystem to adult pore organisation. The earliest observed stage is an oval calcareous disc from which, at a later stage, a primary cyclosystem raises up. Then, the addition of new gastropores and dactylopores leads to the pore rows typical of the genus. Using X-ray computed microtomography, we are able to visualise the dense canal network that permeates the coenosteum and envelops the gastropores and the dactylopores in all the observed growth stages. In both species, the thin canals surrounding the gastropores are responsible for the formation of the new gastropores that originate between the old ones, while the thin canals placed on the external side of the dactylopore rows produce the new dactylopores.</t>
  </si>
  <si>
    <t>[Puce, S.; Pica, D.] Univ Politecn Marche, DiSVA, I-60131 Ancona, Italy; [Brun, F.; Mancini, L.] Sincrotrone Trieste SCpA, I-34149 Trieste, Italy; [Brun, F.] Univ Trieste, Dipartimento Ingn Ind &amp; Informaz, I-34127 Trieste, Italy; [Bavestrello, G.] Univ Genoa, DipTeRis, I-16132 Genoa, Italy</t>
  </si>
  <si>
    <t>Marche Polytechnic University; Elettra Sincrotrone Trieste; University of Trieste; University of Genoa</t>
  </si>
  <si>
    <t>Puce, S (corresponding author), Univ Politecn Marche, DiSVA, Via Brecce Bianche, I-60131 Ancona, Italy.</t>
  </si>
  <si>
    <t>s.puce@univpm.it</t>
  </si>
  <si>
    <t>Mancini, Lucia/HJH-3207-2023; Bavestrello, Giorgio/JXN-5230-2024; Mancini, Lucia/JBJ-7422-2023; Brun, Francesco/ABD-3891-2020</t>
  </si>
  <si>
    <t>Mancini, Lucia/0000-0003-2416-3464; Mancini, Lucia/0000-0003-2416-3464; Brun, Francesco/0000-0003-0155-5326; Pica, Daniela/0000-0001-7823-0488</t>
  </si>
  <si>
    <t>Ministero degli Affari Esteri (Grande Rilevanza)</t>
  </si>
  <si>
    <t>This work was financially supported by Ministero degli Affari Esteri (Grande Rilevanza). We are indebted with CITES Authority, Italy, which provided part of the studied material. The Museo Nazionale dell'Antartide Felice Ippolito provided the Antarctic specimens mentioned in the discussion.</t>
  </si>
  <si>
    <t>0722-4028</t>
  </si>
  <si>
    <t>1432-0975</t>
  </si>
  <si>
    <t>Coral Reefs</t>
  </si>
  <si>
    <t>10.1007/s00338-012-0885-0</t>
  </si>
  <si>
    <t>985RR</t>
  </si>
  <si>
    <t>WOS:000307287400011</t>
  </si>
  <si>
    <t>Rodríguez-Sanz, L; Mortyn, PG; Martínez-Garcia, A; Rosell-Melé, A; Hall, IR</t>
  </si>
  <si>
    <t>Rodriguez-Sanz, Laura; Graham Mortyn, P.; Martinez-Garcia, Alfredo; Rosell-Mele, Antoni; Hall, Ian R.</t>
  </si>
  <si>
    <t>Glacial Southern Ocean freshening at the onset of the Middle Pleistocene Climate Transition</t>
  </si>
  <si>
    <t>Middle Pleistocene Transition; Southern Ocean stratification; carbon cycle</t>
  </si>
  <si>
    <t>ANTARCTIC SEA-ICE; CARBON-DIOXIDE CONCENTRATION; ATMOSPHERIC CO2; NEOGLOBOQUADRINA-PACHYDERMA; MIDPLEISTOCENE TRANSITION; SURFACE TEMPERATURE; STABLE-ISOTOPE; POLAR OCEAN; ATLANTIC; MG/CA</t>
  </si>
  <si>
    <t>Changes in Southern Ocean hydrography may have played an important role in the Middle Pleistocene Transition (MPT), particularly through their impact on ocean circulation and atmospheric CO2 concentrations. Here we present foraminiferal Mg/Ca and delta O-18 results for the subsurface dwelling planktonic foraminifer Neogloboquadrina pachyderma (sinistral) at the Ocean Drilling Program (ODP) Site 1090. Results are used to reconstruct upper ocean temperatures and derive seawater delta O-18 in the Subantarctic Atlantic Ocean during the MPT. The new records indicate that, starting at similar to 1250 ka, glacial temperatures and local (ice volume corrected) seawater delta O-18 in the upper water column of the Subantarctic Atlantic Ocean decreased, pointing to cooler (similar to 2 degrees C) and fresher (similar to 0.4 parts per thousand) conditions than in the preceding glacial stages. These upper ocean hydrographic changes broadly coincide with the increase in the power of the 100 ky glacial-interglacial cycle in both records and with a shift towards decreased deep ventilation in the glacial Southern Ocean. Our finding suggests that an increase in Southern Ocean stratification, driven by the observed freshening of the upper water column, may have reduced the exchange of carbon between the deep Southern Ocean and the atmosphere during glacial stages. This process may have contributed, in combination with other mechanisms, to lower glacial atmospheric CO2 concentrations during the MPT. (C) 2012 Elsevier B.V. All rights reserved.</t>
  </si>
  <si>
    <t>[Rodriguez-Sanz, Laura; Graham Mortyn, P.; Rosell-Mele, Antoni] Univ Autonoma Barcelona, Inst Environm Sci &amp; Technol ICTA, Bellaterra 08193, Catalonia, Spain; [Graham Mortyn, P.] Univ Autonoma Barcelona, Dept Geog, Bellaterra 08193, Catalonia, Spain; [Martinez-Garcia, Alfredo] Swiss Fed Inst Technol, Inst Geol, CH-8092 Zurich, Switzerland; [Rosell-Mele, Antoni] ICREA, Barcelona 08010, Catalonia, Spain; [Hall, Ian R.] Cardiff Univ, Sch Earth &amp; Ocean Sci, Cardiff CF10 3AT, S Glam, Wales</t>
  </si>
  <si>
    <t>Autonomous University of Barcelona; Autonomous University of Barcelona; Swiss Federal Institutes of Technology Domain; ETH Zurich; ICREA; Cardiff University</t>
  </si>
  <si>
    <t>Rodríguez-Sanz, L (corresponding author), Univ Autonoma Barcelona, Inst Environm Sci &amp; Technol ICTA, Bellaterra 08193, Catalonia, Spain.</t>
  </si>
  <si>
    <t>Laura.Rodriguez@uab.cat</t>
  </si>
  <si>
    <t>Martinez-Garcia, Alfredo/A-6244-2010; Rosell-Melé, Antoni/B-3433-2013; Hall, Ian/C-2755-2009; Mortyn, P. Graham/I-3860-2015</t>
  </si>
  <si>
    <t>Martinez-Garcia, Alfredo/0000-0002-7206-5079; Rosell-Melé, Antoni/0000-0002-5513-2647; Hall, Ian/0000-0001-6960-1419; Rodriguez-Sanz, Laura/0000-0002-0641-0583; Mortyn, P. Graham/0000-0002-9473-4309</t>
  </si>
  <si>
    <t>Spanish governmental; [CTM2006-11936/MAR]; [CGL2009-10806]; [ENV.2009.243908]; ICREA Funding Source: Custom</t>
  </si>
  <si>
    <t>Spanish governmental; ; ; ; ICREA(ICREA)</t>
  </si>
  <si>
    <t>The authors thank Gianluca Marino for insightful discussions and valuable comments on earlier drafts of the manuscript. Rainer Gersonde, Steve Barker, Rainer Zahn, and Lukas Jonkers are also thanked for constructive suggestions during the manuscript development. We are grateful to Miguel Angel Martinez-Boti for training in the laboratory, and Ignasio Villarroya and Julia Becker for analytical assistance. We acknowledge Spanish governmental support for a Ph.D. mobility grant to L.R.-S. during her visit to Cardiff University, and Spanish (CTM2006-11936/MAR and CGL2009-10806) and European (ENV.2009.243908) projects for facilitating this work. The authors also thank the reviewers for insightful comments and suggestions to improve the manuscript. We also thank Martin Medina-Elizalde for his advice on the Mg/Ca correction to our data and the Ocean Drilling Program (ODP) for providing the samples used in this study.</t>
  </si>
  <si>
    <t>10.1016/j.epsl.2012.06.016</t>
  </si>
  <si>
    <t>WOS:000308522800021</t>
  </si>
  <si>
    <t>Schwarz, LK; Hindell, MA; McMahon, CR; Costa, DP</t>
  </si>
  <si>
    <t>Schwarz, L. K.; Hindell, M. A.; McMahon, C. R.; Costa, D. P.</t>
  </si>
  <si>
    <t>The implications of assuming independent tag loss in southern elephant seals</t>
  </si>
  <si>
    <t>Bayesian; Cormack-Jolly-Seber; Macquarie Island; mark-resight; Mirounga leonina; population growth rate</t>
  </si>
  <si>
    <t>HOT-IRON; MIROUNGA-LEONINA; SEX</t>
  </si>
  <si>
    <t>Survival and reproductive rate estimation requires following uniquely identified individuals through time, and many statistical models assume markings used to identify individuals are permanent. However, survival rates are underestimated when single marks are lost, since the models will effectively score those animals as dead. In order to account for mark loss, some researchers use a double-mark approach, assuming the probability of losing one mark is independent of losing the other one. Therefore, mark loss can be estimated using animals that have lost one mark. Using a 17-year dataset of southern elephant seals (Mirounga leonina) marked with permanent brands and two cattle tags in their hind flippers, we were able to compare tag loss and survival rate estimates with and without the assumption of independent tag loss with respect to age, sex, and wean mass. We demonstrate the assumption of independent tag loss is not valid, showing it is more likely for an animal to lose both tags than just one or the other. The assumption of independent tag loss leads to an underestimate of survival rates which in turn leads to underestimates of population growth rate. In addition, tag loss rates are different by sex and age, with older males more likely to lose tags. Tag loss is also a quadratic function of wean mass through age two, with smaller and larger animals more likely to lose both tags. Such differences are possibly due to differences in behavior, flipper growth, and immune response. Using a Bayesian approach, we will be able to use our tag loss estimates as priors in future analyses for a subset of marked animals that only have flipper tags. With this population, the independent tag loss models are more likely to incorrectly estimate a declining population (growth rate &lt; 1.0), potentially leading to unwarranted management action. To account for non-independent mark loss in survival rate studies, we recommend researchers use at least two forms of marking on at least a subset of animals. However, neither form of marking need be permanent as long as mark loss is independent between the different forms.</t>
  </si>
  <si>
    <t>[Schwarz, L. K.; Costa, D. P.] Univ Calif Santa Cruz, Long Marine Lab, Santa Cruz, CA 95060 USA; [Hindell, M. A.; McMahon, C. R.] Univ Tasmania, Inst Marine &amp; Antarctic Studies, Hobart, Tas 7001, Australia; [McMahon, C. R.] Charles Darwin Univ, Res Inst Environm &amp; Livelihoods, Darwin, NT 0909, Australia</t>
  </si>
  <si>
    <t>University of California System; University of California Santa Cruz; University of Tasmania; Charles Darwin University</t>
  </si>
  <si>
    <t>Schwarz, LK (corresponding author), Univ Calif Santa Cruz, Long Marine Lab, 100 Shaffer Rd, Santa Cruz, CA 95060 USA.</t>
  </si>
  <si>
    <t>schwarz@biology.ucsc.edu</t>
  </si>
  <si>
    <t>Hindell, Mark A/K-1131-2013; McMahon, Clive R/D-5713-2013</t>
  </si>
  <si>
    <t>McMahon, Clive R/0000-0001-5241-8917; Hindell, Mark/0000-0002-7823-7185</t>
  </si>
  <si>
    <t>E &amp; P Sound and Marine Life Joint Industry Project of the International Association of Oil and Gas Producers [JIP22 07-23]; Office of Naval Research [N0014-09-0896]</t>
  </si>
  <si>
    <t>E &amp; P Sound and Marine Life Joint Industry Project of the International Association of Oil and Gas Producers; Office of Naval Research(Office of Naval Research)</t>
  </si>
  <si>
    <t>L. S. was funded by the E &amp; P Sound and Marine Life Joint Industry Project of the International Association of Oil and Gas Producers contract JIP22 07-23. Funding for all authors was provided by grant N0014-09-0896 from the Office of Naval Research to University of California, Santa Barbara. Dr. Dave Watts of the Australian Government Antarctic Division kindly assisted in data management and access.</t>
  </si>
  <si>
    <t>10.1890/ES12-00132.1</t>
  </si>
  <si>
    <t>256IM</t>
  </si>
  <si>
    <t>Green Accepted, Green Published</t>
  </si>
  <si>
    <t>WOS:000327303200007</t>
  </si>
  <si>
    <t>Edgar, GJ; Barrett, NS</t>
  </si>
  <si>
    <t>Edgar, Graham J.; Barrett, Neville S.</t>
  </si>
  <si>
    <t>An assessment of population responses of common inshore fishes and invertebrates following declaration of five Australian marine protected areas</t>
  </si>
  <si>
    <t>ENVIRONMENTAL CONSERVATION</t>
  </si>
  <si>
    <t>Cheilodactylus fuscus; effects of fishing; Latridopsis forsteri; long-term monitoring; marine reserves; Tasmania; temperate reef</t>
  </si>
  <si>
    <t>RESERVES; CONSERVATION; REEF; ASSEMBLAGES; BENEFITS; DENSITY; BIOMASS; SIZE</t>
  </si>
  <si>
    <t>In order to better understand community-level effects of fishing on temperate reefs at continental scales, changes in densities of common species in five Australian marine protected areas (MPAs) were estimated from prior to establishment to three years after enforcement of fishing prohibitions. A before-after-control-impact survey design was used, with 5 14 replicated sites distributed within both sanctuary and fishing zones associated with each MPA. On the basis of published meta-analyses, exploited species were generally expected to show increased densities. By contrast, only two of the 11 exploited fish species (the red morwong Cheilodactylus fuscus and latrid trumpeter Latridopsis forsteri), and none of seven exploited invertebrate species, showed significant signs of population recovery within sanctuary zones. Four fish species increased in biomass between survey periods. When variation in abundance data was partitioned by PERMANOVA independently for the five MPAs, the 'zone x year' interaction component consistently contributed only c. 4% of total variation, compared to site (c. 35%), zone (c. 8%), year (c. 8%) and residual error (c. 45%) components. Given that longer-term Australian studies show clear community-wide responses following MPA protection, the discrepancy between weak observed recovery and a priori expectations is probably due, at least in part, to the three-year period studied being insufficient to generate clear trends, to relatively low fishing pressure on some temperate Australian reefs, and to meta-analyses overestimating the likelihood of significant short-term population responses.</t>
  </si>
  <si>
    <t>[Edgar, Graham J.; Barrett, Neville S.] Univ Tasmania, Inst Marine &amp; Antarctic Studies, Hobart, Tas 7001, Australia</t>
  </si>
  <si>
    <t>Edgar, GJ (corresponding author), Univ Tasmania, Inst Marine &amp; Antarctic Studies, GPO Box 252-49, Hobart, Tas 7001, Australia.</t>
  </si>
  <si>
    <t>g.edgar@utas.edu.au</t>
  </si>
  <si>
    <t>Edgar, Graham/AAY-3797-2020; Edgar, Graham/C-8341-2013; Barrett, Neville/J-7593-2014</t>
  </si>
  <si>
    <t>Edgar, Graham/0000-0003-0833-9001; Edgar, Graham/0000-0003-0833-9001; Barrett, Neville/0000-0002-6167-1356</t>
  </si>
  <si>
    <t>Australian Research Council; NSW Marine Park Authority; WA Department of Environment and Conservation; Tasmanian Department of Primary Industry, Parks, Wildlife and Environment; Institute for Marine and Antarctic Studies</t>
  </si>
  <si>
    <t>Australian Research Council(Australian Research Council); NSW Marine Park Authority; WA Department of Environment and Conservation; Tasmanian Department of Primary Industry, Parks, Wildlife and Environment; Institute for Marine and Antarctic Studies</t>
  </si>
  <si>
    <t>The project was undertaken with financial support of the Australian Research Council, and is based on field, financial and staff support provided by the NSW Marine Park Authority, the WA Department of Environment and Conservation, the Tasmanian Department of Primary Industry, Parks, Wildlife and Environment, and the Institute for Marine and Antarctic Studies. Particular thanks are due to Tim Lynch, Kevin Crane, Kevin Bancroft, Matt Dasey, Chris Simpson, Kim Friedman, Fran Clements, Nathan Knott, Peter Mooney and Colin Buxton. Diving assistance provided by Carolina Zagal, Dane Jones, Adriana Polacheck, Ian Osterloh, Rick Stuart-Smith, James Brook and Tim Alexander is also gratefully acknowledged.</t>
  </si>
  <si>
    <t>0376-8929</t>
  </si>
  <si>
    <t>1469-4387</t>
  </si>
  <si>
    <t>ENVIRON CONSERV</t>
  </si>
  <si>
    <t>Environ. Conserv.</t>
  </si>
  <si>
    <t>10.1017/S0376892912000185</t>
  </si>
  <si>
    <t>Biodiversity Conservation; Environmental Sciences</t>
  </si>
  <si>
    <t>002XX</t>
  </si>
  <si>
    <t>WOS:000308573400009</t>
  </si>
  <si>
    <t>Chan, YK; Lacap, DC; Lau, MCY; Ha, KY; Warren-Rhodes, KA; Cockell, CS; Cowan, DA; McKay, CP; Pointing, SB</t>
  </si>
  <si>
    <t>Chan, Yuki; Lacap, Donnabella C.; Lau, Maggie C. Y.; Ha, Kong Ying; Warren-Rhodes, Kimberley A.; Cockell, Charles S.; Cowan, Donald A.; McKay, Christopher P.; Pointing, Stephen B.</t>
  </si>
  <si>
    <t>Hypolithic microbial communities: between a rock and a hard place</t>
  </si>
  <si>
    <t>ENVIRONMENTAL MICROBIOLOGY</t>
  </si>
  <si>
    <t>ANTARCTIC DRY VALLEY; RADIATION-RESISTANCE; ENVIRONMENTAL GRADIENTS; POLAR DESERT; CHINA HOT; CYANOBACTERIAL; DIVERSITY; ECOLOGY; ALGAE; PHOTOSYNTHESIS</t>
  </si>
  <si>
    <t>Drylands are the largest terrestrial biome on Earth and a ubiquitous feature is desert pavement terrain, comprising rocks embedded in the mineral soil surface. Quartz and other translucent rocks are common and microbial communities termed hypoliths develop as biofilms on their ventral surfaces. In extreme deserts these represent major concentrations of biomass, and are emerging as key to geobiological processes and soil stabilization. These highly specialized communities are dominated by cyanobacteria that support diverse heterotrophic assemblages. Here we identify global-scale trends in the ecology of hypoliths that are strongly related to climate, particularly with regard to shifts in cyanobacterial assemblages. A synthesis of available data revealed a linear trend for colonization with regard to climate, and we suggest potential application for hypoliths as biomarkers of aridity on a landscape scale. The potential to exploit the soil-stabilizing properties of hypolithic colonization in environmental engineering on dryland soils is also discussed.</t>
  </si>
  <si>
    <t>[Chan, Yuki; Lacap, Donnabella C.; Ha, Kong Ying; Pointing, Stephen B.] Univ Hong Kong, Sch Biol Sci, Hong Kong, Hong Kong, Peoples R China; [Lau, Maggie C. Y.] Princeton Univ, Dept Geosci, Princeton, NJ 08544 USA; [Warren-Rhodes, Kimberley A.; McKay, Christopher P.] NASA, Ames Res Ctr, Mountain View, CA 94035 USA; [Cockell, Charles S.] Univ Edinburgh, Sch Phys &amp; Astron, Edinburgh EH9 3JZ, Midlothian, Scotland; [Cowan, Donald A.] Univ Western Cape, Inst Microbial Biotechnol &amp; Metagenom, ZA-7535 Cape Town, South Africa; [Pointing, Stephen B.] Auckland Univ Technol, Sch Appl Sci, Auckland 1142, New Zealand</t>
  </si>
  <si>
    <t>University of Hong Kong; Princeton University; National Aeronautics &amp; Space Administration (NASA); NASA Ames Research Center; University of Edinburgh; University of the Western Cape; Auckland University of Technology</t>
  </si>
  <si>
    <t>Pointing, SB (corresponding author), Univ Hong Kong, Sch Biol Sci, Pokfulam Rd, Hong Kong, Hong Kong, Peoples R China.</t>
  </si>
  <si>
    <t>steve.pointing@aut.ac.nz</t>
  </si>
  <si>
    <t>Cowan, Donald A/E-3991-2012; Pointing, Stephen/JHT-2500-2023</t>
  </si>
  <si>
    <t>Cowan, Donald A/0000-0001-8059-861X; Lau Vetter, Maggie C.Y./0000-0003-2812-9749; McKay, Christopher/0000-0002-6243-1362; Chan, Yuki/0000-0002-9570-5462</t>
  </si>
  <si>
    <t>NASA Astrobiology Science and Technology for Exploring Planets (ASTEP) Programme; Hong Kong Research Grants Council [HKU 7733/08M, HKU 7763/10]; South African National Research Foundation SANAP programme</t>
  </si>
  <si>
    <t>NASA Astrobiology Science and Technology for Exploring Planets (ASTEP) Programme(National Aeronautics &amp; Space Administration (NASA)); Hong Kong Research Grants Council(Hong Kong Research Grants Council); South African National Research Foundation SANAP programme</t>
  </si>
  <si>
    <t>This review emerged from discussion at NASA's Spaceward Bound Expedition to the Namib Desert in 2010. The research was supported by the NASA Astrobiology Science and Technology for Exploring Planets (ASTEP) Programme, the Hong Kong Research Grants Council (Grant numbers HKU 7733/08M HKU 7763/10) and the South African National Research Foundation SANAP programme.</t>
  </si>
  <si>
    <t>1462-2912</t>
  </si>
  <si>
    <t>1462-2920</t>
  </si>
  <si>
    <t>ENVIRON MICROBIOL</t>
  </si>
  <si>
    <t>Environ. Microbiol.</t>
  </si>
  <si>
    <t>10.1111/j.1462-2920.2012.02821.x</t>
  </si>
  <si>
    <t>999HN</t>
  </si>
  <si>
    <t>WOS:000308300600003</t>
  </si>
  <si>
    <t>Fitzcharles, EM</t>
  </si>
  <si>
    <t>Fitzcharles, E. M.</t>
  </si>
  <si>
    <t>Rapid discrimination between four Antarctic fish species, genus Macrourus, using HRM analysis</t>
  </si>
  <si>
    <t>DNA barcoding; Fisheries management; Fish; Conservation genetics; Melt curve</t>
  </si>
  <si>
    <t>RESOLUTION MELTING ANALYSIS; GRENADIER MACROURUS; IDENTIFICATION</t>
  </si>
  <si>
    <t>Correct identification of species forms the basis of all biological studies from individual genetic variation to population genetics, stock assessments and understanding whole ecosystems. This often relies on skilled taxonomists or molecular techniques to identify species, the time and cost of which can be prohibitive to many research opportunities. High resolution melt (HRM) analysis offers a potential quick and cost effective method of genetic screening and an alternative to DNA sequencing to confirm species identity. This technique was successfully tested for its ability to discriminate between four genetically similar species of Antarctic fish, genus Macrourus, where morphological identification can be problematic due to overlapping characteristics. The technique was shown to be fast, robust and reliable even with samples where DNA yield was of poor quality and quantity. There is great scope for the application of this technique in biological research, fisheries management and conservation genetics. (C) 2012 Elsevier B.V. All rights reserved.</t>
  </si>
  <si>
    <t>[Fitzcharles, E. M.] British Antarctic Survey, Nat Environm Res Council, Cambridge CB3 0ET, England; [Fitzcharles, E. M.] Univ St Andrews, Scottish Oceans Inst, St Andrews KY16 8LB, Fife, Scotland</t>
  </si>
  <si>
    <t>UK Research &amp; Innovation (UKRI); Natural Environment Research Council (NERC); NERC British Antarctic Survey; University of St Andrews</t>
  </si>
  <si>
    <t>Fitzcharles, EM (corresponding author), British Antarctic Survey, Nat Environm Res Council, Madingley Rd, Cambridge CB3 0ET, England.</t>
  </si>
  <si>
    <t>emfi@bas.ac.uk</t>
  </si>
  <si>
    <t>10.1016/j.fishres.2012.02.002</t>
  </si>
  <si>
    <t>976ZU</t>
  </si>
  <si>
    <t>WOS:000306626700022</t>
  </si>
  <si>
    <t>Lee, MR; Lindgren, P; Sofe, MR; Alexander, CMO; Wang, J</t>
  </si>
  <si>
    <t>Lee, M. R.; Lindgren, P.; Sofe, M. R.; Alexander, C. M. O'D; Wang, J.</t>
  </si>
  <si>
    <t>Extended chronologies of aqueous alteration in the CM2 carbonaceous chondrites: Evidence from carbonates in Queen Alexandra Range 93005</t>
  </si>
  <si>
    <t>CI CHONDRITES; CV3 CHONDRITE; TAGISH LAKE; MINERALOGY; CR; PHYLLOSILICATES; INDICATORS; FAYALITE; MATRIX; TYPE-2</t>
  </si>
  <si>
    <t>The Antarctic CM2 carbonaceous chondrite QUE 93005 contains four compositionally distinct carbonates, namely breunnerite, calcite, dolomite and a Ca-poor dolomite. These carbonates can form monomineralic grains, or may be intergrown as bimineralic grains consisting of dolomite plus breunnerite and dolomite plus calcite, or polymineralic grains containing an intergrowth of breunnerite, Ca-poor dolomite and calcite. Carbonates in all grain types have inclusions of Fe-Ni sulphides and/or Mg-Fe phyllosilicates. In the bimineralic grains, dolomite crystallised first to be overgrown by breunnerite or partially replaced by calcite. Polymineralic grains are concentrically layered, with breunnerite crystallising first on pore margins to be later etched, then overgrown and partially replaced by Ca-poor dolomite that was itself partly dissolved prior to being overgrown by calcite. Calcite and dolomite have also cemented fractures that cross-cut the fine-grained rims to aqueously altered chondrules and were formed by expansion of the chondrules during their hydration. Overall, the sequence of mineralisation in QUE 93005 was: (1) dolomite, (2) breunnerite, (3) Ca-poor dolomite then (4) calcite. This secular change in carbonate composition and mineralogy reflects changing solution composition and probably also provenance. Mg-Fe phyllosilicates replaced dolomite, breunnerite and Ca-poor dolomite prior to calcite crystallisation, and most or all of the sulphides formed after both the phyllosilicates and calcite. Following sulphide crystallisation, the edges of carbonate grains were abraded, either by impact 'gardening' or as a consequence of fluidisation of the matrix during rapid loss of gas or vapour. Determination of the crystallisation age of dolomite via the Mn-Cr system indicates that aqueous alteration of QUE 93005 began on or before 3.93 +/- 0.23 Ma after the formation of the oldest solar system solids. Overall, the water/rock ratio and fO(2) during alteration of QUE 93005 was similar to that of the CM1s and CR1s, but the lower degree of alteration of QUE 93005 overall suggests that alteration timescales were shorter, possibly due to loss of intergranular liquid water during fluidisation. (C) 2012 Elsevier Ltd. All rights reserved.</t>
  </si>
  <si>
    <t>[Lee, M. R.; Lindgren, P.; Sofe, M. R.] Univ Glasgow, Sch Geog &amp; Earth Sci, Glasgow G12 8QQ, Lanark, Scotland; [Alexander, C. M. O'D; Wang, J.] Carnegie Inst Sci, Dept Terr Magnetism, Washington, DC 20015 USA</t>
  </si>
  <si>
    <t>University of Glasgow; Carnegie Institution for Science</t>
  </si>
  <si>
    <t>Lee, MR (corresponding author), Univ Glasgow, Sch Geog &amp; Earth Sci, Gregory Bldg, Glasgow G12 8QQ, Lanark, Scotland.</t>
  </si>
  <si>
    <t>Martin.Lee@Glasgow.ac.uk</t>
  </si>
  <si>
    <t>Wang, Jianhua/D-6500-2011; Lee, Martin/Q-1040-2019; Alexander, Conel M. O'D./N-7533-2013</t>
  </si>
  <si>
    <t>Wang, Jianhua/0000-0002-7671-2413; Lee, Martin/0000-0002-6004-3622; Alexander, Conel M. O'D./0000-0002-8558-1427</t>
  </si>
  <si>
    <t>UK STFC; STFC [ST/G001693/1] Funding Source: UKRI; Science and Technology Facilities Council [ST/G001693/1] Funding Source: researchfish</t>
  </si>
  <si>
    <t>UK STFC(UK Research &amp; Innovation (UKRI)Science &amp; Technology Facilities Council (STFC)); STFC(UK Research &amp; Innovation (UKRI)Science &amp; Technology Facilities Council (STFC)); Science and Technology Facilities Council(UK Research &amp; Innovation (UKRI)Science &amp; Technology Facilities Council (STFC))</t>
  </si>
  <si>
    <t>We thank Peter Chung for assistance with the SEM and Chris Hayward (University of Edinburgh) for help with the electron probe analyses. We are grateful to NASA for loan of the QUE 93005 thin section and to Kieren Howard, Mark Tyra and Mike Zolensky for very thorough and helpful reviews. This research was funded by grants from the UK STFC.</t>
  </si>
  <si>
    <t>10.1016/j.gca.2012.06.005</t>
  </si>
  <si>
    <t>993US</t>
  </si>
  <si>
    <t>WOS:000307885900010</t>
  </si>
  <si>
    <t>Domingo, L; López-Martínez, N; Grimes, ST</t>
  </si>
  <si>
    <t>Domingo, L.; Lopez-Martinez, N.; Grimes, S. T.</t>
  </si>
  <si>
    <t>Trace element analyses indicative of paleodiets in Middle Miocene mammals from the Somosaguas site (Madrid, Spain)</t>
  </si>
  <si>
    <t>GEOLOGICA ACTA</t>
  </si>
  <si>
    <t>Geochemistry; Tooth enamel; Diagenesis; Paleoecology; Herbivores</t>
  </si>
  <si>
    <t>OXYGEN-ISOTOPE; PALEOECOLOGICAL RECONSTRUCTION; FOSSIL BONES; STRONTIUM; SR/CA; TOOTH; SR; CALCIUM; BA; DIAGENESIS</t>
  </si>
  <si>
    <t>Trace element analysis of fossil bone and enamel constitutes a useful tool to characterize the paleoecological behavior of mammals. Up to now, most trace element studies have focused on Plio-Pleistocene fossils. Here, we show that paleodietary inferences based on trace element analyses can be also obtained from similar to 14Ma old Miocene mammals, in a period of time when important paleoclimatic changes took place due to the development of the East Antarctic ice sheet. Trace element ratio (Ba/Ca, Sr/Ca) analyses have been performed on herbivore tooth enamel (gomphothere Gomphotherium angustidens, equid Anchitherium cf. A. cursor, suid Conohyus simorrensis and ruminants) across three stratigraphic levels from the Somosaguas site (Middle Miocene, Madrid Basin, Spain). Previous scanning electron microscope, rare earth element and stable isotope analyses suggested minimal diagenetic alteration of the tooth enamel samples. Trace element analyses reported here show different paleoecological behavior among the studied fossil taxa. Anchitherium cf. A. cursor shows higher Ba/Ca and Sr/Ca ratios than Gomphotherium angustidens, indicating the equid was a mixed-feeder, while the gomphothere was a browser. The enrichment in Ba/Ca and Sr/Ca ratios in the ruminants is attributed to differences in their gastrointestinal tracts and to a more grazing diet. A high variability in trace element values characterizes the suid Conohyus simorrensis, which is believed to be connected to some degree of omnivory.</t>
  </si>
  <si>
    <t>[Domingo, L.] Univ Calif Santa Cruz, Earth &amp; Planetary Sci Dept, Santa Cruz, CA 95064 USA; [Domingo, L.; Lopez-Martinez, N.] Univ Complutense Madrid, Inst Geol Econ CSIC, Fac CC Geol, Dept Paleontol, E-28040 Madrid, Spain; [Domingo, L.; Lopez-Martinez, N.] Inst Geol Econ CSIC, Unidad Invest Paleontol, Madrid 28040, Spain; [Grimes, S. T.] Univ Plymouth, Sch Geog Earth &amp; Environm Sci, Plymouth PL4 8AA, Devon, England</t>
  </si>
  <si>
    <t>University of California System; University of California Santa Cruz; Complutense University of Madrid; Consejo Superior de Investigaciones Cientificas (CSIC); CSIC-UCM - Instituto de Geologia Economica (IGE); Consejo Superior de Investigaciones Cientificas (CSIC); CSIC-UCM - Instituto de Geologia Economica (IGE); University of Plymouth</t>
  </si>
  <si>
    <t>Domingo, L (corresponding author), Univ Calif Santa Cruz, Earth &amp; Planetary Sci Dept, Santa Cruz, CA 95064 USA.</t>
  </si>
  <si>
    <t>lauradomingo@geo.ucm.es; stephen.grimes@plymouth.ac.uk</t>
  </si>
  <si>
    <t>Domingo, Laura/J-6549-2012</t>
  </si>
  <si>
    <t>Domingo, Laura/0000-0002-9062-0881</t>
  </si>
  <si>
    <t>UCM; Ministerio de Innovacion y Ciencia; Ministerio de Educacion; CAM (Plan Nacional I+D) [CGL2006-04646, CGL2009-09000]; Fundacion Espanola para la Ciencia y la Tecnologia (FECYT); Natural Environmental Research Council (NERC) New Investigators grant [NE/C507237/1]; Geologic Record of Critical Periods: Paleoclimatic and Paleoenvironmental Factors [UCM-CAM 910161]; Natural Environment Research Council [NE/C507237/1] Funding Source: researchfish</t>
  </si>
  <si>
    <t>UCM; Ministerio de Innovacion y Ciencia(Spanish Government); Ministerio de Educacion; CAM (Plan Nacional I+D); Fundacion Espanola para la Ciencia y la Tecnologia (FECYT)(Spanish Government); Natural Environmental Research Council (NERC) New Investigators grant; Geologic Record of Critical Periods: Paleoclimatic and Paleoenvironmental Factors; Natural Environment Research Council(UK Research &amp; Innovation (UKRI)Natural Environment Research Council (NERC))</t>
  </si>
  <si>
    <t>This research was supported by the UCM, Ministerio de Innovacion y Ciencia, Ministerio de Educacion and CAM (Plan Nacional I+D, projects CGL2006-04646 and CGL2009-09000 to N.L-M. and a Personal Investigador de Apoyo-CAM contract and a postdoctoral contract from the Fundacion Espanola para la Ciencia y la Tecnologia (FECYT) and Ministerio de Educacion to L. Domingo). The work conducted by S.T.G. was supported by a Natural Environmental Research Council (NERC) New Investigators grant (NE/C507237/1). We thank M. Bugler (University of Plymouth) for the help with sample preparation. S. Perez is acknowledged for the illustrations of the studied taxa. Authors are also grateful to Maria Teresa Alberdi (Museo Nacional de Ciencias Naturales-CSIC, Madrid) and an anonymous reviewer and to the editor Jordi M. de Gibert as well as M.S. Domingo (University of Michigan and Museo Nacional de Ciencias Naturales-CSIC, Madrid), I.M. Sanchez (Museo Nacional de Ciencias Naturales-CSIC, Madrid), M. Hernandez Fernandez and T. Tutken (Universitat Bonn) for the valuable comments that helped to improve this manuscript. The recovery and study of the fossil material was done by the members and the students of the Somosaguas project, UCM (http://investigacionensomosaguas.blogspot.com). This work is a contribution from the research group UCM-CAM 910161 Geologic Record of Critical Periods: Paleoclimatic and Paleoenvironmental Factors.</t>
  </si>
  <si>
    <t>UNIV BARCELONA</t>
  </si>
  <si>
    <t>BARCELONA</t>
  </si>
  <si>
    <t>INST CIENCIES TERRA JAUME ALMERA-CSIC, LLUIS SOLE I SABARIS S-N, BARCELONA, E-08028, SPAIN</t>
  </si>
  <si>
    <t>1695-6133</t>
  </si>
  <si>
    <t>1696-5728</t>
  </si>
  <si>
    <t>GEOL ACTA</t>
  </si>
  <si>
    <t>Geol. Acta</t>
  </si>
  <si>
    <t>10.1344/105.000001746</t>
  </si>
  <si>
    <t>022KA</t>
  </si>
  <si>
    <t>WOS:000309957000003</t>
  </si>
  <si>
    <t>Riley, TR; Flowerdew, MJ; Whitehouse, MJ</t>
  </si>
  <si>
    <t>Riley, Teal R.; Flowerdew, Michael J.; Whitehouse, Martin J.</t>
  </si>
  <si>
    <t>Chrono- and lithostratigraphy of a Mesozoic-Tertiary fore- to intra-arc basin: Adelaide Island, Antarctic Peninsula</t>
  </si>
  <si>
    <t>GEOLOGICAL MAGAZINE</t>
  </si>
  <si>
    <t>fore-arc; Gondwana; subduction; chronostratigraphy; Antarctica; Jurassic; Cretaceous</t>
  </si>
  <si>
    <t>ALEXANDER-ISLAND; GRAHAM LAND; PALMER-LAND; VOLCANIC SEQUENCES; ARC; GEOCHRONOLOGY; AGE; STRATIGRAPHY; HISTORY</t>
  </si>
  <si>
    <t>The Mesozoic fore-arc of the Antarctic Peninsula is exposed along its west coast. On Adelaide Island, a 2-3 km succession of turbiditic coarse sandstones and volcanic rocks is exposed. Four U-Pb (zircon) ages are presented here that, in combination with a new stratigraphy, have permitted a robust chrono-and lithostratigraphy to be constructed, which in turn has allowed tentative correlations to be made with the Fossil Bluff Group of Alexander Island, where the 'type' fore-arc sequences are described. The lithostratigraphy of Adelaide Island includes the definition of five volcanic/sedimentary formations. The oldest formation is the Buchia Buttress Formation (149.5 +/- 1.6 Ma) and is correlated with the Himalia Ridge Formation of Alexander Island. The sandstone-conglomerate dominated succession of the Milestone Bluff Formation (113.9 +/- 1.2 Ma) is tentatively correlated with the Pluto Glacier Formation of Alexander Island. Three dominantly volcanic formations are recognized on Adelaide Island, akin to the volcanic rocks of the Alexander Island Volcanic Group; the Mount Liotard Formation is formed of 2 km of basaltic andesite lavas, whilst the Bond Nunatak Formation is also dominated by basaltic andesite lavas, but interbedded with volcaniclastic rocks. The Reptile Ridge Formation has been dated at 67.6 +/- 0.7 Ma and is characterized by hydrothermally altered rhyolitic crystal-lithic tuffs. Tentative correlations between Adelaide Island and Alexander Island preclude the two areas forming part of distinct terranes as has been suggested previously, and a proximal source for volcaniclastic sediments also indicates an exotic terrane origin is unlikely.</t>
  </si>
  <si>
    <t>[Riley, Teal R.; Flowerdew, Michael J.] British Antarctic Survey, Nat Environm Res Council, Cambridge CB3 0ET, England; [Whitehouse, Martin J.] Swedish Museum Nat Hist, S-10405 Stockholm, Sweden</t>
  </si>
  <si>
    <t>UK Research &amp; Innovation (UKRI); Natural Environment Research Council (NERC); NERC British Antarctic Survey; Swedish Museum of Natural History</t>
  </si>
  <si>
    <t>Riley, TR (corresponding author), British Antarctic Survey, Nat Environm Res Council, Madingley Rd, Cambridge CB3 0ET, England.</t>
  </si>
  <si>
    <t>t.riley@bas.ac.uk</t>
  </si>
  <si>
    <t>; Whitehouse, Martin/E-1425-2013</t>
  </si>
  <si>
    <t>Riley, Teal/0000-0002-3333-5021; Whitehouse, Martin/0000-0003-2227-577X; Flowerdew, Michael/0000-0002-9710-2593</t>
  </si>
  <si>
    <t>Natural Environmental Research Council; NERC [bas0100026] Funding Source: UKRI; Natural Environment Research Council [bas0100026] Funding Source: researchfish</t>
  </si>
  <si>
    <t>Natural Environmental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</si>
  <si>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funded by the Natural Environmental Research Council. Tom Marshall, James Wake and the air operations staff at Rothera Base are thanked for their field support. Kerstin Linden and Lev Ilyinsky are thanked for their assistance at the NORDSIM facility. This is NORDSIM contribution number 295. This paper benefited from the considered and helpful reviews of David Macdonald, John Smellie and Simon Kelly.</t>
  </si>
  <si>
    <t>0016-7568</t>
  </si>
  <si>
    <t>GEOL MAG</t>
  </si>
  <si>
    <t>Geol. Mag.</t>
  </si>
  <si>
    <t>10.1017/S0016756811001002</t>
  </si>
  <si>
    <t>984DR</t>
  </si>
  <si>
    <t>WOS:000307170400002</t>
  </si>
  <si>
    <t>Frank-Kamenetskii, AV; Kotikov, AL; Kruglov, AA; Burns, GB; Kleimenova, NG; Kozyreva, OV; Kubitski, M; Odzimek, A</t>
  </si>
  <si>
    <t>Frank-Kamenetskii, A. V.; Kotikov, A. L.; Kruglov, A. A.; Burns, G. B.; Kleimenova, N. G.; Kozyreva, O. V.; Kubitski, M.; Odzimek, A.</t>
  </si>
  <si>
    <t>Variations in the near-surface atmospheric electric field at high latitudes and ionospheric potential during geomagnetic perturbations</t>
  </si>
  <si>
    <t>POLAR-CAP; SUBSTORMS; MODELS</t>
  </si>
  <si>
    <t>We have analyzed variations in the near-surface atmospheric electric field (Ez) normalized to their daily averages that were simultaneously observed in different high-latitude regions at moderate geomagnetic activity (Kp similar to 3). The Ez data were measured under fair weather conditions at the Vostok Antarctic research station (I broken vertical bar aEuro(2) = -83.5A degrees) in the southern polar cap and at the Hornsund Arctic observatory (I broken vertical bar aEuro(2) = 74.0A degrees) on Svalbard close to the polar boundary of the auroral oval in the Northern Hemisphere. It is established that variations in the atmospheric electric field in the polar cap region at the Vostok station are controlled (the correlation coefficient R similar to 0.7-0.9) by variations in the overhead ionospheric potential. The situation at the Hornsund observatory is more complicated. During intervals when Hornsund occurred below the westward electrojet, the correlation was typically positive with R similar to 0.60-0.85; however, while this observatory was in the region of the eastern electrojet, the correlation could be negative with R similar to 0.7-0.8. Normally, during such periods, the westward electrojet was detected polarwards of Hornsund while, according to the SuperDARN radar data, the observatory was located below the negative vortex of the polar ionospheric convection.</t>
  </si>
  <si>
    <t>[Frank-Kamenetskii, A. V.; Kruglov, A. A.] Arctic &amp; Antarctic Res Inst, St Petersburg 199397, Russia; [Kotikov, A. L.] Russian Acad Sci, St Petersburg Branch, Inst Terr Magnetism Ionosphere &amp; Radiowave Propag, St Petersburg 191023, Russia; [Burns, G. B.] Australian Antarctic Div, Kingston, Tas, Australia; [Kleimenova, N. G.; Kozyreva, O. V.] Russian Acad Sci, Schmidt Inst Phys Earth, Moscow 123995, Russia; [Kubitski, M.; Odzimek, A.] Polish Acad Sci, Inst Geophys, Warsaw 42, Poland</t>
  </si>
  <si>
    <t>Arctic &amp; Antarctic Research Institute; Russian Academy of Sciences; Pushkov Institute of Terrestrial Magnetism, Ionosphere &amp; Radio Wave Propagation; Australian Antarctic Division; Russian Academy of Sciences; Schmidt Institute of Physics of the Earth of the Russian Academy of Sciences; Polish Academy of Sciences; Institute of Geophysics of the Polish Academy of Sciences</t>
  </si>
  <si>
    <t>Frank-Kamenetskii, AV (corresponding author), Arctic &amp; Antarctic Res Inst, Ul Beringa 38, St Petersburg 199397, Russia.</t>
  </si>
  <si>
    <t>al_frank@aari.ru</t>
  </si>
  <si>
    <t>Odzimek, Anna/AAG-2364-2020; Франк-Каменецкий Frank-Kamenetsky Frank-Kamenetskii, Александр Alexandr Alexander/GWC-0197-2022; Kotikov, Andrey/K-3339-2012</t>
  </si>
  <si>
    <t>Odzimek, Anna/0000-0003-3490-5257; Франк-Каменецкий Frank-Kamenetsky Frank-Kamenetskii, Александр Alexandr Alexander/0000-0002-6301-8924; Kotikov, Andrey/0000-0002-5941-2216</t>
  </si>
  <si>
    <t>Russian Foundation for Basic Research [10-05-00247]; Australian Antarctic Division [974]; STFC [PP/E007929/1] Funding Source: UKRI; Science and Technology Facilities Council [PP/E007929/1] Funding Source: researchfish</t>
  </si>
  <si>
    <t>Russian Foundation for Basic Research(Russian Foundation for Basic Research (RFBR)Spanish Government); Australian Antarctic Division; STFC(UK Research &amp; Innovation (UKRI)Science &amp; Technology Facilities Council (STFC)); Science and Technology Facilities Council(UK Research &amp; Innovation (UKRI)Science &amp; Technology Facilities Council (STFC))</t>
  </si>
  <si>
    <t>The studies at the Hornsund observatory were carried out in the framework of the Russian-Polish scientific collaboration and partially supported by the Russian Foundation for Basic Research (grant no. 10-05-00247). The observations at the Vostok station are operated by the Russian Antarctic Expedition and partially supported by the Australian Antarctic Division (program no. 974).</t>
  </si>
  <si>
    <t>10.1134/S0016793212050064</t>
  </si>
  <si>
    <t>012IP</t>
  </si>
  <si>
    <t>WOS:000309230100007</t>
  </si>
  <si>
    <t>Berrocoso, M; Prates, G; Fernández-Ros, A; García, A</t>
  </si>
  <si>
    <t>Berrocoso, M.; Prates, G.; Fernandez-Ros, A.; Garcia, A.</t>
  </si>
  <si>
    <t>Normal vector analysis from GNSS-GPS data applied to Deception volcano surface deformation</t>
  </si>
  <si>
    <t>GEOPHYSICAL JOURNAL INTERNATIONAL</t>
  </si>
  <si>
    <t>Satellite geodesy; Volcano monitoring; Antarctica</t>
  </si>
  <si>
    <t>BRANSFIELD STRAIT; ISLAND VOLCANO; ANTARCTICA; FIELD</t>
  </si>
  <si>
    <t>Surface deformation parameters and its use in volcano monitoring have evolved from classical geodetic procedures up to those based on Global Navigation Satellite Systems (GNSS), in particular the most widely used and known Global Positioning System (GPS), profiting from the automated data processing, positioning precision and rates, as well as the large storage capacity and low power consumption of its equipments. These features have enabled the permanent GNSSGPS data acquisition to ensure the continuous monitoring of geodetic benchmarks for the evaluation of surface deformation in active tectonic or volcanic areas. In Deception Island (Antarctica), a normal vector analysis is being used to give surface deformation based on three permanently observed GNSSGPS benchmarks. Due to data availability, both in the past and for near real-time use, all benchmarks used are inside the monitored volcanic area, although the reference is away from thermal springs and/or fumaroles, unlike the other two. The time variation of slope distances to the reference benchmark and of the magnitude and inclination of the normal vector to the triangle defined by the reference benchmark and any other two, provides the spatial deformation in the volcanic area covered. The normal vector variation in magnitude gives information on compression or expansion, here called spatial dilatometer, while the changes in inclination gives information on relative uplift or subsidence, here called spatial inclinometer. In geodesy, the triangle is a basic geometric unit and the areal strain is commonly applied in tectonics and volcanism. The normal vector analysis conjugates both, benefiting from the method's precision, simplicity and possibility to model the surface using several triangles. The proposed method was applied to GNSSGPS data collected every austral summer between 20012002 and 20092010 in Deception Island. The results evidence that Deception Island acts as a strain marker in the Bransfield Basin volcano-tectonic setting.</t>
  </si>
  <si>
    <t>[Berrocoso, M.; Prates, G.; Fernandez-Ros, A.] Univ Cadiz, Fac Ciencias, Dept Matemat, Lab Astron Geodesia &amp; Cartog, Puerto Real 11510, Cadiz, Spain; [Prates, G.] Univ Algarve, Inst Super Engn, Dept Engn Civil, Faro, Portugal; [Garcia, A.] CSIC, Museo Nacl Ciencias Nat, Dept Volcanol, Madrid, Spain</t>
  </si>
  <si>
    <t>Consejo Superior de Investigaciones Cientificas (CSIC); CSIC-UCM - Instituto de Astronomia y Geodesia (IAG); Universidad de Cadiz; Universidade do Algarve; Consejo Superior de Investigaciones Cientificas (CSIC); CSIC - Museo Nacional de Ciencias Naturales (MNCN)</t>
  </si>
  <si>
    <t>Berrocoso, M (corresponding author), Univ Cadiz, Fac Ciencias, Dept Matemat, Lab Astron Geodesia &amp; Cartog, Campus Rio San Pedro, Puerto Real 11510, Cadiz, Spain.</t>
  </si>
  <si>
    <t>manuel.berrocoso@uca.es</t>
  </si>
  <si>
    <t>Prates, Gonçalo/K-4018-2014; BERROCOSO, MANUEL/O-3818-2014</t>
  </si>
  <si>
    <t>Prates, Gonçalo/0000-0001-5797-9158; BERROCOSO, MANUEL/0000-0002-1878-9658</t>
  </si>
  <si>
    <t>Spanish Ministry of Education and Science as part of the National Antarctic Program; Recognition and fast evaluation of volcanic activity on Deception Island (GEODESY) [ANT1999-1430-E/HESP]; Geodetic Studies on Deception Island: deformation models, geoid determination and Scientific Information System [REN2000-0551-C03-01/ANT]; Acquisition of scientific software for GPS data processing [REN2000-2690-E]; Geodetic Control of the volcanic activity of Deception Island [CGL2004-21547-E/ANT]; Update of the Spanish Cartography for Deception Island [CGL2004-20408-E/ANT]; Volcanotectonic activity on Deception Island: geodetic, geophysical investigations and Remote Sensing on Deception Island and its surroundings [CGLl2005-07589-c03-01/ANT]; Geodetic and Geothermal Researches, Time Serial Analysis and Volcanic Innovation in Antarctica (South Shetland Islands and Antarctic Peninsula (GEOTINANT) [CTM2009-07251/ANT]</t>
  </si>
  <si>
    <t>Spanish Ministry of Education and Science as part of the National Antarctic Program; Recognition and fast evaluation of volcanic activity on Deception Island (GEODESY); Geodetic Studies on Deception Island: deformation models, geoid determination and Scientific Information System; Acquisition of scientific software for GPS data processing; Geodetic Control of the volcanic activity of Deception Island; Update of the Spanish Cartography for Deception Island; Volcanotectonic activity on Deception Island: geodetic, geophysical investigations and Remote Sensing on Deception Island and its surroundings; Geodetic and Geothermal Researches, Time Serial Analysis and Volcanic Innovation in Antarctica (South Shetland Islands and Antarctic Peninsula (GEOTINANT)</t>
  </si>
  <si>
    <t>This geodetic research has been carried out with the support of the Spanish Ministry of Education and Science as part of the National Antarctic Program. The following research projects directly contributed to this work: 'Recognition and fast evaluation of volcanic activity on Deception Island (GEODESY) (ANT1999-1430-E/HESP)'; 'Geodetic Studies on Deception Island: deformation models, geoid determination and Scientific Information System (REN2000-0551-C03-01/ANT)'; 'Acquisition of scientific software for GPS data processing (REN2000-2690-E)'; 'Geodetic Control of the volcanic activity of Deception Island (CGL2004-21547-E/ANT)'; 'Update of the Spanish Cartography for Deception Island (CGL2004-20408-E/ANT)'; 'Volcanotectonic activity on Deception Island: geodetic, geophysical investigations and Remote Sensing on Deception Island and its surroundings (CGLl2005-07589-c03-01/ANT)'; and 'Geodetic and Geothermal Researches, Time Serial Analysis and Volcanic Innovation in Antarctica (South Shetland Islands and Antarctic Peninsula (GEOTINANT)(CTM2009-07251/ANT)'.</t>
  </si>
  <si>
    <t>0956-540X</t>
  </si>
  <si>
    <t>1365-246X</t>
  </si>
  <si>
    <t>GEOPHYS J INT</t>
  </si>
  <si>
    <t>Geophys. J. Int.</t>
  </si>
  <si>
    <t>10.1111/j.1365-246X.2012.05584.x</t>
  </si>
  <si>
    <t>989OY</t>
  </si>
  <si>
    <t>WOS:000307571100020</t>
  </si>
  <si>
    <t>Årthun, M; Nicholls, KW; Makinson, K; Fedak, MA; Boehme, L</t>
  </si>
  <si>
    <t>Arthun, Marius; Nicholls, Keith W.; Makinson, Keith; Fedak, Michael A.; Boehme, Lars</t>
  </si>
  <si>
    <t>Seasonal inflow of warm water onto the southern Weddell Sea continental shelf, Antarctica</t>
  </si>
  <si>
    <t>BOTTOM WATER; COASTAL CURRENT; ICE; TRANSPORT; MODEL; ZONE</t>
  </si>
  <si>
    <t>To capture the austral summer to winter transition in water mass properties over the southern Weddell Sea continental shelf and slope region, 19 Weddell seals were tagged with miniaturized conductivity-temperature-depth sensors in February 2011. During the following 8 months the instruments yielded about 9000 temperature-salinity profiles from a previously undersampled area. This allows, for the first time, a description of the seasonality of warm water intrusions onto the shelf, as well as its southward extent towards the Filchner Ice Shelf. A temperature section across the Filchner Depression and eastern shelf shows a pronounced decrease in warm water inflow from summer to winter, further supported by an almost 3-year long time series from a shelf-break mooring. The seasonal variability is related to the surface wind stress and an associated deepening of the off-shelf core of Warm Deep Water. Citation: Arthun, M., K. W. Nicholls, K. Makinson, M. A. Fedak, and L. Boehme (2012), Seasonal inflow of warm water onto the southern Weddell Sea continental shelf, Antarctica, Geophys. Res. Lett., 39, L17601, doi:10.1029/2012GL052856.</t>
  </si>
  <si>
    <t>[Arthun, Marius; Nicholls, Keith W.; Makinson, Keith] British Antarctic Survey, Nat Environm Res Council, Cambridge CB3 0ET, England; [Fedak, Michael A.; Boehme, Lars] Univ St Andrews, Sea Mammal Res Unit, St Andrews, Fife, Scotland</t>
  </si>
  <si>
    <t>Årthun, M (corresponding author), British Antarctic Survey, Nat Environm Res Council, Madingley Rd, Cambridge CB3 0ET, England.</t>
  </si>
  <si>
    <t>marun@bas.ac.uk</t>
  </si>
  <si>
    <t>Makinson, Keith/A-2495-2013; Fedak, Michael/B-3987-2009; Boehme, Lars/B-6567-2009</t>
  </si>
  <si>
    <t>Makinson, Keith/0000-0002-5791-1767; Fedak, Michael/0000-0002-9569-1128; Arthun, Marius/0000-0003-4500-1691; Boehme, Lars/0000-0003-3513-6816</t>
  </si>
  <si>
    <t>[NERC-AFI10/5]; NERC [bas0100028, NE/G014086/1, NE/G014833/1] Funding Source: UKRI; Natural Environment Research Council [smru10001, bas0100028, NE/G014086/1, NE/G014833/1] Funding Source: researchfish</t>
  </si>
  <si>
    <t>; NERC(UK Research &amp; Innovation (UKRI)Natural Environment Research Council (NERC)); Natural Environment Research Council(UK Research &amp; Innovation (UKRI)Natural Environment Research Council (NERC))</t>
  </si>
  <si>
    <t>We thank the officers and crew of RRS Ernest Shackleton for their support during cruise ES054. Particular thanks go to Theoni Photopoulou (SMRU). We also thank two anonymous reviewers for their helpful suggestions. This study has received support from NERC-AFI10/5.</t>
  </si>
  <si>
    <t>L17601</t>
  </si>
  <si>
    <t>10.1029/2012GL052856</t>
  </si>
  <si>
    <t>999JT</t>
  </si>
  <si>
    <t>WOS:000308308200001</t>
  </si>
  <si>
    <t>Jenouvrier, S; Holland, M; Stroeve, J; Barbraud, C; Weimerskirch, H; Serreze, M; Caswell, H</t>
  </si>
  <si>
    <t>Jenouvrier, Stephanie; Holland, Marika; Stroeve, Julienne; Barbraud, Christophe; Weimerskirch, Henri; Serreze, Mark; Caswell, Hal</t>
  </si>
  <si>
    <t>Effects of climate change on an emperor penguin population: analysis of coupled demographic and climate models</t>
  </si>
  <si>
    <t>IPCC; sea ice; seabirds; stochastic climate forecast; stochastic matrix population model; uncertainties</t>
  </si>
  <si>
    <t>SEA-ICE; ANTARCTIC KRILL; APTENODYTES-FORSTERI; ECOLOGICAL RESPONSES; SOUTHERN-OCEAN; ADELIE LAND; VARIABILITY; DYNAMICS; CONSEQUENCES; REPRODUCTION</t>
  </si>
  <si>
    <t>Sea ice conditions in the Antarctic affect the life cycle of the emperor penguin (Aptenodytes forsteri). We present a population projection for the emperor penguin population of Terre Adelie, Antarctica, by linking demographic models (stage-structured, seasonal, nonlinear, two-sex matrix population models) to sea ice forecasts from an ensemble of IPCC climate models. Based on maximum likelihood capture-mark-recapture analysis, we find that seasonal sea ice concentration anomalies (SICa) affect adult survival and breeding success. Demographic models show that both deterministic and stochastic population growth rates are maximized at intermediate values of annual SICa, because neither the complete absence of sea ice, nor heavy and persistent sea ice, would provide satisfactory conditions for the emperor penguin. We show that under some conditions the stochastic growth rate is positively affected by the variance in SICa. We identify an ensemble of five general circulation climate models whose output closely matches the historical record of sea ice concentration in Terre Adelie. The output of this ensemble is used to produce stochastic forecasts of SICa, which in turn drive the population model. Uncertainty is included by incorporating multiple climate models and by a parametric bootstrap procedure that includes parameter uncertainty due to both model selection and estimation error. The median of these simulations predicts a decline of the Terre Adelie emperor penguin population of 81% by the year 2100. We find a 43% chance of an even greater decline, of 90% or more. The uncertainty in population projections reflects large differences among climate models in their forecasts of future sea ice conditions. One such model predicts population increases over much of the century, but overall, the ensemble of models predicts that population declines are far more likely than population increases. We conclude that climate change is a significant risk for the emperor penguin. Our analytical approach, in which demographic models are linked to IPCC climate models, is powerful and generally applicable to other species and systems.</t>
  </si>
  <si>
    <t>[Jenouvrier, Stephanie; Caswell, Hal] Woods Hole Oceanog Inst, Dept Biol, Woods Hole, MA 02543 USA; [Jenouvrier, Stephanie; Barbraud, Christophe; Weimerskirch, Henri] CNRS, Ctr Etud Biol Chize, F-79360 Villiers En Bois, France; [Holland, Marika] Natl Ctr Atmospher Res, Oceanog Sect, Boulder, CO 80305 USA; [Jenouvrier, Stephanie; Stroeve, Julienne; Serreze, Mark] Natl Snow &amp; Ice Data Ctr, Boulder, CO 80309 USA; [Jenouvrier, Stephanie; Serreze, Mark] Univ Colorado, Cooperat Inst Res Environm Sci, Boulder, CO 80309 USA; [Caswell, Hal] Max Planck Inst Demog Res, Rostock, Germany</t>
  </si>
  <si>
    <t>Woods Hole Oceanographic Institution; Centre National de la Recherche Scientifique (CNRS); National Center Atmospheric Research (NCAR) - USA; University of Colorado System; University of Colorado Boulder; Max Planck Society</t>
  </si>
  <si>
    <t>Jenouvrier, S (corresponding author), Woods Hole Oceanog Inst, Dept Biol, MS-34, Woods Hole, MA 02543 USA.</t>
  </si>
  <si>
    <t>sjenouvrier@whoi.edu</t>
  </si>
  <si>
    <t>Stroeve, Julienne/ABE-7227-2020; Barbraud, Christophe/A-5870-2012; Weimerskirch, Henri/K-7306-2019; Weimerskirch, Henri/F-5562-2013</t>
  </si>
  <si>
    <t>Barbraud, Christophe/0000-0003-0146-212X; Weimerskirch, Henri/0000-0002-0457-586X; jenouvrier, stephanie/0000-0003-3324-2383; Caswell, Hal/0000-0003-4394-6894; Holland, Marika/0000-0001-5621-8939</t>
  </si>
  <si>
    <t>Expeditions Polaires Francaises; Institut Paul Emile Victor (Programme IPEV 109); Terres Australes et Antarctiques Francaises; REMIGE (Behavioural and demographic REsponses of Indian Ocean Marine top predators to Global Environmental changes) program; ANR (Agence Nationale de la Recherche) Biodiversite (ANR Biodiv 011); National Science Foundation [DEB-0816514]; WHOI Arctic Research Initiative; Alexander von Humboldt Foundation; Direct For Biological Sciences; Division Of Environmental Biology [0816514] Funding Source: National Science Foundation</t>
  </si>
  <si>
    <t>Expeditions Polaires Francaises; Institut Paul Emile Victor (Programme IPEV 109); Terres Australes et Antarctiques Francaises; REMIGE (Behavioural and demographic REsponses of Indian Ocean Marine top predators to Global Environmental changes) program; ANR (Agence Nationale de la Recherche) Biodiversite (ANR Biodiv 011)(Agence Nationale de la Recherche (ANR)); National Science Foundation(National Science Foundation (NSF)); WHOI Arctic Research Initiative; Alexander von Humboldt Foundation(Alexander von Humboldt Foundation); Direct For Biological Sciences; Division Of Environmental Biology(National Science Foundation (NSF)NSF - Directorate for Biological Sciences (BIO))</t>
  </si>
  <si>
    <t>The penguin data come from a long-term study supported by Expeditions Polaires Francaises, by Institut Paul Emile Victor (Programme IPEV 109), and by Terres Australes et Antarctiques Francaises. We acknowledge the efforts of all the wintering field workers involved in the long-term monitoring programs in Terre Adelie since 1963, and thank Dominique Besson and Karine Delord for the management of the database. We acknowledge the modeling groups, the Program for Climate Model Diagnosis and Intercomparison (PCMDI) and the WCRP's Working Group on Coupled Modelling (WGCM) for their roles in making available the WCRP CMIP3 multi-model dataset. Support of this dataset is provided by the Office of Science, U.S. Department of Energy. HW, CB and SJ acknowledge support from the REMIGE (Behavioural and demographic REsponses of Indian Ocean Marine top predators to Global Environmental changes) program funded by ANR (Agence Nationale de la Recherche) Biodiversite (ANR Biodiv 011). This work was carried out during the tenure of Marie-Curie and CIRES Visiting fellowships by S.J. MH acknowledges support through the National Science Foundation. HC acknowledges support from NSF Grant DEB-0816514, from the WHOI Arctic Research Initiative, and from the Alexander von Humboldt Foundation. The authors thank the two anonymous reviewers and David Koons for their valuable comments and suggestions on previous manuscript version.</t>
  </si>
  <si>
    <t>10.1111/j.1365-2486.2012.02744.x</t>
  </si>
  <si>
    <t>984WH</t>
  </si>
  <si>
    <t>WOS:000307222700008</t>
  </si>
  <si>
    <t>Rogers, PJ; Huveneers, C; Page, B; Hamer, DJ; Goldsworthy, SD; Mitchell, JG; Seuront, L</t>
  </si>
  <si>
    <t>Rogers, Paul J.; Huveneers, Charlie; Page, Brad; Hamer, Derek J.; Goldsworthy, Simon D.; Mitchell, James G.; Seuront, Laurent</t>
  </si>
  <si>
    <t>A quantitative comparison of the diets of sympatric pelagic sharks in gulf and shelf ecosystems off southern Australia</t>
  </si>
  <si>
    <t>Ecosystems; foraging; partitioning; specialization</t>
  </si>
  <si>
    <t>PROTECTIVE GILL NETS; ISURUS-OXYRINCHUS; FEEDING ECOLOGY; ALOPIAS-VULPINUS; SHORTFIN MAKO; FOOD-HABITS; CARCHARHINUS-BRACHYURUS; STABLE-ISOTOPE; DUSKY SHARK; BODY-SIZE</t>
  </si>
  <si>
    <t>Predator-prey dynamics represent an important determinant in the functioning of marine ecosystems. This study provides the first quantitative investigation of the diets of sympatric pelagic shark species in gulf and shelf waters off southern Australia. Stomachs of 417 sharks collected from fishery catches between 2007 and 2011 were examined, including 250 bronze whalers, 52 shortfin makos, 49 dusky sharks, 39 smooth hammerheads, and 27 common threshers. Dusky sharks had the highest dietary diversity of the five species examined. We found overlap in the consumption of cephalopods, small pelagic teleosts, crustaceans, and benthic teleosts in bronze whalers, dusky sharks, and smooth hammerheads, and preliminary evidence of specialization in the highly migratory species, the common thresher and the shortfin mako. Findings were discussed and compared with previous studies in other temperate marine ecosystems. This study will significantly improve the understanding of the ecological roles of these top predators in the gulf and shelf habitats off southern Australia, and enhance the ecosystem models being developed for this unique bioregion.</t>
  </si>
  <si>
    <t>[Rogers, Paul J.; Huveneers, Charlie; Page, Brad; Hamer, Derek J.; Goldsworthy, Simon D.] SARDI Aquat Sci, Henley Beach, SA 5022, Australia; [Rogers, Paul J.; Huveneers, Charlie; Mitchell, James G.; Seuront, Laurent] Flinders Univ S Australia, Sch Biol Sci, Adelaide, SA, Australia; [Hamer, Derek J.] Australian Antarctic Div, Australian Marine Mammal Ctr, Kingston, Tas 7050, Australia</t>
  </si>
  <si>
    <t>Flinders University South Australia; Australian Antarctic Division</t>
  </si>
  <si>
    <t>Rogers, PJ (corresponding author), SARDI Aquat Sci, Henley Beach, SA 5022, Australia.</t>
  </si>
  <si>
    <t>paul.rogers@sa.gov.au</t>
  </si>
  <si>
    <t>Mitchell, Jim/0000-0002-8445-0935; Seuront, Laurent/0000-0002-0051-5202; Huveneers, Charlie/0000-0001-8937-1358; Goldsworthy, Simon/0000-0003-4988-9085</t>
  </si>
  <si>
    <t>Wildlife Conservation Fund</t>
  </si>
  <si>
    <t>We thank member of The Port MacDonnell, Portland, Warrnambool, Bass Strait, and Sydney game fishing clubs for their cooperation and assistance in collecting samples. Fishers in the South Australian Marine Scalefish Fishery and the Gillnet Hook and Trap Fishery provided valuable assistance and samples during this study. Alex Ivey helped collect stomach samples during an observer programme in the Great Australian Bight during 2007. This project was funded by Wildlife Conservation Fund. SARDI Aquatic Sciences and Flinders University provided logistical support. We thank Antonella Preti (NMFS/NOAA) for her constructive comments on the thesis chapter that formed the basis of this manuscript. Kerstin Bilgmann used DNA techniques to confirm the identity of the dolphin. Procedures were undertaken within Primary Industries and Resources of South Australia/SARDI Aquatic Sciences. Fieldwork was undertaken under SA State government Ministerial exemptions (Section 115, 9902094, and S59, 9902064). This is contribution #4 from the Southern Shark Ecology Group. We also thank two anonymous reviewers for providing constructive comments that helped to improve the manuscript.</t>
  </si>
  <si>
    <t>10.1093/icesjms/fss100</t>
  </si>
  <si>
    <t>995MM</t>
  </si>
  <si>
    <t>WOS:000308012200007</t>
  </si>
  <si>
    <t>Struvay, C; Feller, G</t>
  </si>
  <si>
    <t>Struvay, Caroline; Feller, Georges</t>
  </si>
  <si>
    <t>Optimization to Low Temperature Activity in Psychrophilic Enzymes</t>
  </si>
  <si>
    <t>INTERNATIONAL JOURNAL OF MOLECULAR SCIENCES</t>
  </si>
  <si>
    <t>extremophiles; psychrophiles; cold adaptation; enzyme activity; biotechnology</t>
  </si>
  <si>
    <t>COLD-ADAPTED ENZYMES; PSEUDOALTEROMONAS-HALOPLANKTIS; ANTARCTIC BACTERIUM; ALPHA-AMYLASE; ALTEROMONAS-HALOPLANCTIS; GLUTAMATE-DEHYDROGENASE; ALKALINE-PHOSPHATASE; CRYSTAL-STRUCTURES; CITRATE SYNTHASE; ISOCITRATE DEHYDROGENASE</t>
  </si>
  <si>
    <t>Psychrophiles, i.e., organisms thriving permanently at near-zero temperatures, synthesize cold-active enzymes to sustain their cell cycle. These enzymes are already used in many biotechnological applications requiring high activity at mild temperatures or fast heat-inactivation rate. Most psychrophilic enzymes optimize a high activity at low temperature at the expense of substrate affinity, therefore reducing the free energy barrier of the transition state. Furthermore, a weak temperature dependence of activity ensures moderate reduction of the catalytic activity in the cold. In these naturally evolved enzymes, the optimization to low temperature activity is reached via destabilization of the structures bearing the active site or by destabilization of the whole molecule. This involves a reduction in the number and strength of all types of weak interactions or the disappearance of stability factors, resulting in improved dynamics of active site residues in the cold. Considering the subtle structural adjustments required for low temperature activity, directed evolution appears to be the most suitable methodology to engineer cold activity in biological catalysts.</t>
  </si>
  <si>
    <t>[Struvay, Caroline; Feller, Georges] Univ Liege, Inst Chem B6A, Ctr Prot Engn, Biochem Lab, B-4000 Liege, Belgium</t>
  </si>
  <si>
    <t>University of Liege</t>
  </si>
  <si>
    <t>Feller, G (corresponding author), Univ Liege, Inst Chem B6A, Ctr Prot Engn, Biochem Lab, B-4000 Liege, Belgium.</t>
  </si>
  <si>
    <t>cstruvay@ulg.ac.be; gfeller@ulg.ac.be</t>
  </si>
  <si>
    <t>European Union; Region wallonne (Belgium); Fonds National de la Recherche Scientifique (Belgium); University of Liege; FRS-FNRS</t>
  </si>
  <si>
    <t>European Union(European Union (EU)); Region wallonne (Belgium); Fonds National de la Recherche Scientifique (Belgium)(Fonds de la Recherche Scientifique - FNRS); University of Liege(University of Liege); FRS-FNRS(Fonds de la Recherche Scientifique - FNRS)</t>
  </si>
  <si>
    <t>Research in the authors' laboratory was supported by the European Union, the Region wallonne (Belgium), the Fonds National de la Recherche Scientifique (Belgium) and the University of Liege. The facilities offered by the Institut Polaire Francais are also acknowledged. Caroline Struvay is a FRS-FNRS research fellow.</t>
  </si>
  <si>
    <t>1422-0067</t>
  </si>
  <si>
    <t>INT J MOL SCI</t>
  </si>
  <si>
    <t>Int. J. Mol. Sci.</t>
  </si>
  <si>
    <t>10.3390/ijms130911643</t>
  </si>
  <si>
    <t>Biochemistry &amp; Molecular Biology; Chemistry, Multidisciplinary</t>
  </si>
  <si>
    <t>012YN</t>
  </si>
  <si>
    <t>WOS:000309272700061</t>
  </si>
  <si>
    <t>Purkey, SG; Johnson, GC</t>
  </si>
  <si>
    <t>Purkey, Sarah G.; Johnson, Gregory C.</t>
  </si>
  <si>
    <t>Global Contraction of Antarctic Bottom Water between the 1980s and 2000s</t>
  </si>
  <si>
    <t>MERIDIONAL OVERTURNING CIRCULATION; WESTERN SOUTH-ATLANTIC; CIRCUMPOLAR CURRENT; TEMPERATURE TRENDS; BOUNDARY CURRENT; NORTH-ATLANTIC; DEEP-OCEAN; SEA; ABYSSAL; EXPORT</t>
  </si>
  <si>
    <t>A statistically significant reduction in Antarctic Bottom Water (AABW) volume is quantified between the 1980s and 2000s within the Southern Ocean and along the bottom-most, southern branches of the meridional overturning circulation (MOC). AABW has warmed globally during that time, contributing roughly 10% of the recent total ocean heat uptake. This warming implies a global-scale contraction of AABW. Rates of change in AABW-related circulation are estimated in most of the world's deep-ocean basins by finding average rates of volume loss or gain below cold, deep potential temperature (theta) surfaces using all available repeated hydrographic sections. The Southern Ocean is losing water below theta = 0 degrees C at a rate of -8.2 (+/- 2.6) 3 10(6) m(3) s (1). This bottom water contraction causes a descent of potential isotherms throughout much of the water column until a near-surface recovery, apparently through a southward surge of Circumpolar Deep Water from the north. To the north, smaller losses of bottom waters are seen along three of the four main northward outflow routes of AABW. Volume and heat budgets below deep, cold theta surfaces within the Brazil and Pacific basins are not in steady state. The observed changes in volume and heat of the coldest waters within these basins could be accounted for by small decreases to the volume transport or small increases to theta of their inflows, or fractional increases in deep mixing. The budget calculations and global contraction pattern are consistent with a global-scale slowdown of the bottom, southern limb of the MOC.</t>
  </si>
  <si>
    <t>[Purkey, Sarah G.] Univ Washington, Sch Oceanog, Seattle, WA 98195 USA; NOAA Pacific Marine Environm Lab, Seattle, WA USA</t>
  </si>
  <si>
    <t>University of Washington; University of Washington Seattle; National Oceanic Atmospheric Admin (NOAA) - USA</t>
  </si>
  <si>
    <t>Purkey, SG (corresponding author), Univ Washington, Sch Oceanog, Box 357940, Seattle, WA 98195 USA.</t>
  </si>
  <si>
    <t>sarah.purkey@noaa.gov</t>
  </si>
  <si>
    <t>Johnson, Gregory C/I-6559-2012; Purkey, Sarah G/K-1983-2012</t>
  </si>
  <si>
    <t>Johnson, Gregory C/0000-0002-8023-4020; Purkey, Sarah/0000-0002-1893-6224</t>
  </si>
  <si>
    <t>NOAA Climate Program Office; NOAA Research; NASA Headquarters under the NASA Earth and Space Fellowship Program-Grant [NNX11AL89H]</t>
  </si>
  <si>
    <t>NOAA Climate Program Office(National Oceanic Atmospheric Admin (NOAA) - USA); NOAA Research(National Oceanic Atmospheric Admin (NOAA) - USA); NASA Headquarters under the NASA Earth and Space Fellowship Program-Grant</t>
  </si>
  <si>
    <t>We thank all those who participated in the collection of the WOCE and GO-SHIP data used here. Arnold Gordon made some useful suggestions regarding AABW kinematics. The comments from three anonymous reviewers greatly improved the manuscript. The findings and conclusions in this article are those of the authors and do not necessarily reflect the views of the National Oceanic and Atmospheric Administration (NOAA). This work was supported by the NOAA Climate Program Office, NOAA Research, and NASA Headquarters under the NASA Earth and Space Fellowship Program-Grant NNX11AL89H.</t>
  </si>
  <si>
    <t>10.1175/JCLI-D-11-00612.1</t>
  </si>
  <si>
    <t>WOS:000308633500013</t>
  </si>
  <si>
    <t>Ueda, K; Jacobs, J; Thomas, RJ; Kosler, J; Horstwood, MSA; Wartho, JA; Jourdan, F; Emmel, B; Matola, R</t>
  </si>
  <si>
    <t>Ueda, Kosuke; Jacobs, Joachim; Thomas, Robert James; Kosler, Jan; Horstwood, Matt S. A.; Wartho, Jo-Anne; Jourdan, Fred; Emmel, Benjamin; Matola, Rogerio</t>
  </si>
  <si>
    <t>Postcollisional High-Grade Metamorphism, Orogenic Collapse, and Differential Cooling of the East African Orogen of Northeast Mozambique</t>
  </si>
  <si>
    <t>JOURNAL OF GEOLOGY</t>
  </si>
  <si>
    <t>DRONNING MAUD LAND; U-PB GEOCHRONOLOGY; POLYGENETIC TITANITE; CLOSURE TEMPERATURE; PALEOZOIC EVENTS; BELT; CONSTRAINTS; EVOLUTION; DIFFUSION; ZIRCON</t>
  </si>
  <si>
    <t>The postcollisional tectonic development of northeast Mozambique and subsequent cooling from high-temperature metamorphism is delineated with an extensive new set of U-Pb titanite, 40Ar/39Ar hornblende, and 40Ar/39Ar mica analyses. The complex data suggest a polyphase metamorphic history from the late Neoproterozoic to the Ordovician within the East African-Antarctic Orogen (EAAO), with marked differences between the major constituent blocks. In all the data sets, samples from the basement south of the Lurio Belt show generally younger ages than those from the north, resulting from a late metamorphic event and slow cooling between ca. 520 and 440 Ma. The ages north and south of the Lurio Belt are consistently offset by ca. 30-70 Ma, a difference that is maintained and even appears to increase during cooling from very high temperatures to ca. 350 degrees C. Based on the first-order assumption that all the ages are cooling ages, cooling rates in the south are estimated at ca. 7 degrees-8 degrees C/Ma, while those north of the Lurio Belt are faster at ca. 16 degrees C/Ma. The data are consistent with previous geochronological, petrographic, and field data and suggest a late high-temperature/low-pressure metamorphic event that affected only the basement rocks south of the Lurio Belt and portions of the latter. This late metamorphism and subsequent delayed, slower cooling agree well with a model of elevated heat flow following lithosphere delamination in the southern part of the orogen, which also explains the observed widespread granitoid magmatism, migmatization, and renewed deformation in the southern basement.</t>
  </si>
  <si>
    <t>[Ueda, Kosuke; Jacobs, Joachim; Kosler, Jan; Emmel, Benjamin] Univ Bergen, Dept Earth Sci, N-5007 Bergen, Norway; [Horstwood, Matt S. A.] British Geol Survey, Nat Environm Res Council, Isotope Geosci Lab, Nottingham NG12 5GG, England; [Wartho, Jo-Anne] Arizona State Univ, Sch Earth &amp; Space Explorat, Tempe, AZ 85287 USA; [Jourdan, Fred] Curtin Univ Technol, Western Australian Argon Isotope Facil, John de Laeter Ctr Mass Spectrometry, Perth, WA 6845, Australia; [Jourdan, Fred] Curtin Univ Technol, Western Australian Argon Isotope Facil, Dept Appl Geol, Perth, WA 6845, Australia; [Matola, Rogerio] DNG, Maputo, Mozambique</t>
  </si>
  <si>
    <t>University of Bergen; UK Research &amp; Innovation (UKRI); Natural Environment Research Council (NERC); NERC British Geological Survey; Arizona State University; Arizona State University-Tempe; Curtin University; Curtin University</t>
  </si>
  <si>
    <t>Ueda, K (corresponding author), Univ Bergen, Dept Earth Sci, Allegaten 41, N-5007 Bergen, Norway.</t>
  </si>
  <si>
    <t>kosuke.ueda@platesinmotion.org</t>
  </si>
  <si>
    <t>Kosler, Jan/L-3223-2013; Ueda, Kosuke/G-9174-2011; Wartho, Jo-Anne/B-5169-2016</t>
  </si>
  <si>
    <t>Wartho, Jo-Anne/0000-0001-8894-0328; Horstwood, Matthew/0000-0003-4200-8193; Emmel, Benjamin/0000-0002-7138-6831; Ueda, Kosuke/0000-0002-2367-1339; Jourdan, Fred/0000-0001-5626-4521</t>
  </si>
  <si>
    <t>Norwegian Research Council (NFR) [177514]; British Geological Survey (BGS) funds; NERC [bgs05003] Funding Source: UKRI; Natural Environment Research Council [bgs05003] Funding Source: researchfish</t>
  </si>
  <si>
    <t>Norwegian Research Council (NFR)(Research Council of Norway); British Geological Survey (BGS) funds; NERC(UK Research &amp; Innovation (UKRI)Natural Environment Research Council (NERC)); Natural Environment Research Council(UK Research &amp; Innovation (UKRI)Natural Environment Research Council (NERC))</t>
  </si>
  <si>
    <t>The research was supported by Norwegian Research Council (NFR) grant 177514 to J. Jacobs and by British Geological Survey (BGS) funds. R. J. Thomas and M. S. A. Horstwood publish with the approval of the executive director, BGS-Natural Environment Research Council. B. Turrin and C. Swisher are thanked for Ar-Ar analyses at Rutgers, anda R. Kumar for mineral separation. Extensive SEM and BSE studies at the University of Bergen were facilitated by Egil Erichsen, and LA-ICPMS analyses were assisted by O. Tumyr. Sample material was provided by the BGS, the Geological Survey of Norway (NGU), and the National Directorate of Geology (DNG), being collected by various geologists from the BGS, the NGU, the DNG, and the Council for Geoscience (CGS) during the World Bank mapping project. Discussions with B. Bingen, A. Engvik, G. Viola, and W. Nemec and an internal review by K. Goodenough have furthered the development of the manuscript. Two constructive reviews by F. Corfu and S. Pisarevsky are gratefully acknowledged and have positively contributed to this article.</t>
  </si>
  <si>
    <t>UNIV CHICAGO PRESS</t>
  </si>
  <si>
    <t>CHICAGO</t>
  </si>
  <si>
    <t>1427 E 60TH ST, CHICAGO, IL 60637-2954 USA</t>
  </si>
  <si>
    <t>0022-1376</t>
  </si>
  <si>
    <t>1537-5269</t>
  </si>
  <si>
    <t>J GEOL</t>
  </si>
  <si>
    <t>J. Geol.</t>
  </si>
  <si>
    <t>10.1086/666876</t>
  </si>
  <si>
    <t>996EV</t>
  </si>
  <si>
    <t>WOS:000308068300002</t>
  </si>
  <si>
    <t>Ducklow, HW; Schofield, O; Vernet, M; Stammerjohn, S; Erickson, M</t>
  </si>
  <si>
    <t>Ducklow, Hugh W.; Schofield, Oscar; Vernet, Maria; Stammerjohn, Sharon; Erickson, Matthew</t>
  </si>
  <si>
    <t>Multiscale control of bacterial production by phytoplankton dynamics and sea ice along the western Antarctic Peninsula: A regional and decadal investigation</t>
  </si>
  <si>
    <t>JOURNAL OF MARINE SYSTEMS</t>
  </si>
  <si>
    <t>Bacteria; Antarctica; Bacterial production; Primary production; Sea ice</t>
  </si>
  <si>
    <t>HETEROTROPHIC PICOPLANKTON PRODUCTION; FOOD-WEB STRUCTURE; ROSS SEA; MARINE ECOSYSTEM; CLIMATE-CHANGE; EQUATORIAL PACIFIC; BRANSFIELD STRAIT; GROWTH EFFICIENCY; COASTAL WATERS; AUSTRAL SUMMER</t>
  </si>
  <si>
    <t>We present results on phytoplankton and bacterial production and related hydrographic properties collected on nine annual summer cruises along the western Antarctic Peninsula. This region is strongly influenced by inter-annual variations in the duration and extent of sea ice cover, necessitating a decade-scale study. Our study area transitions from a nearshore region influenced by summer runoff from glaciers to an offshore, slope region dominated by the Antarctic Circumpolar Current. The summer bacterial assemblage is the product of seasonal warming and freshening following spring sea ice retreat and the plankton succession occurring in that evolving water mass. Bacterial production rates averaged 20 mg C m(-2) d(-1) and were a low (5%) fraction of the primary production (PP). There was significant variation in BP between regions and years, reflecting the variability in sea ice, chlorophyll and PP. Leucine incorporation was significantly correlated (r(2) ranging 0.2-0.7, p&lt;0.001) with both chlorophyll and PP across depths, regions and years indicating strong phytoplankton-bacteria coupling. Relationships with temperature were variable, including positive, negative and insignificant relationships (r(2)&lt;0.2 for regressions with p&lt;0.05). Bacterial production is regulated indirectly by variations in sea ice cover within regions and over years, setting the levels of phytoplankton biomass accumulation and PP rates; these in turn fuel BP, to which PP is coupled via direct release from phytoplankton or other less direct pathways. (C) 2012 Elsevier B.V. All rights reserved.</t>
  </si>
  <si>
    <t>[Ducklow, Hugh W.; Erickson, Matthew] Marine Biol Lab, Ctr Ecosyst, Woods Hole, MA 02543 USA; [Schofield, Oscar] Rutgers State Univ, Inst Marine &amp; Coastal Sci, New Brunswick, NJ 08901 USA; [Vernet, Maria] Univ Calif San Diego, Scripps Inst Oceanog, La Jolla, CA 92093 USA; [Stammerjohn, Sharon] Univ Colorado, Inst Arctic &amp; Alpine Res, Boulder, CO 80309 USA</t>
  </si>
  <si>
    <t>Marine Biological Laboratory - Woods Hole; Rutgers University System; Rutgers University New Brunswick; University of California System; University of California San Diego; Scripps Institution of Oceanography; University of Colorado System; University of Colorado Boulder</t>
  </si>
  <si>
    <t>Ducklow, HW (corresponding author), Marine Biol Lab, Ctr Ecosyst, 7 MBL St, Woods Hole, MA 02543 USA.</t>
  </si>
  <si>
    <t>hducklow@mbl.edu; oscar@marine.rutgers.edu; mvernet@ucsd.edu; sharon.stammerjohn@colorado.edu</t>
  </si>
  <si>
    <t>; Schofield, Oscar/H-4169-2018</t>
  </si>
  <si>
    <t>STAMMERJOHN, SHARON/0000-0002-1697-8244; Schofield, Oscar/0000-0003-2359-4131</t>
  </si>
  <si>
    <t>NSF [OPP-0217282, 0823101]; Office of Polar Programs (OPP); Directorate For Geosciences [0823101] Funding Source: National Science Foundation</t>
  </si>
  <si>
    <t>NSF(National Science Foundation (NSF)); Office of Polar Programs (OPP); Directorate For Geosciences(National Science Foundation (NSF)NSF - Directorate for Geosciences (GEO))</t>
  </si>
  <si>
    <t>This research was supported by NSF Grants OPP-0217282 and 0823101 from the Antarctic Organisms and Ecosystems Program to HWD. We gratefully thank science and logistics support personnel from Raytheon Polar Services and AGUNSA, and the Edison-Chouest Offshore officers and crews of ARSV Laurence M Gould for their skilled and dedicated assistance. This research also benefitted from students and volunteers too numerous to name here.</t>
  </si>
  <si>
    <t>0924-7963</t>
  </si>
  <si>
    <t>1879-1573</t>
  </si>
  <si>
    <t>J MARINE SYST</t>
  </si>
  <si>
    <t>J. Mar. Syst.</t>
  </si>
  <si>
    <t>98-99</t>
  </si>
  <si>
    <t>10.1016/j.jmarsys.2012.03.003</t>
  </si>
  <si>
    <t>Geosciences, Multidisciplinary; Marine &amp; Freshwater Biology; Oceanography</t>
  </si>
  <si>
    <t>Geology; Marine &amp; Freshwater Biology; Oceanography</t>
  </si>
  <si>
    <t>945OQ</t>
  </si>
  <si>
    <t>WOS:000304286300004</t>
  </si>
  <si>
    <t>Årthun, M; Bellerby, RGJ; Omar, AM; Schrum, C</t>
  </si>
  <si>
    <t>Arthun, M.; Bellerby, R. G. J.; Omar, A. M.; Schrum, C.</t>
  </si>
  <si>
    <t>Spatiotemporal variability of air-sea CO2 fluxes in the Barents Sea, as determined from empirical relationships and modeled hydrography</t>
  </si>
  <si>
    <t>Barents Sea; Numerical model; CO2 fluxes; Carbon dioxide; Spatial variability; Interannual variability</t>
  </si>
  <si>
    <t>NORTHERN NORTH-ATLANTIC; CARBON-DIOXIDE; INTERANNUAL VARIABILITY; GAS-EXCHANGE; ARCTIC-OCEAN; SURFACE WATERS; ICE; SEAWATER; SYSTEM; HEAT</t>
  </si>
  <si>
    <t>Shelf seas play a major role in the global carbon cycle, but estimates of regional oceanic CO2 uptake are limited in time and space due to scarcity of observed carbon parameters. Here, air-sea CO2 fluxes in the Barents Sea and the dominant drivers of variability during the period 2000-2007 are investigated using a carbon system model based on hydrography coupled to a hydrodynamic model. The strong thermohaline control on the surface ocean CO2 system allows for estimates of alkalinity and partial pressure of CO2 (pCO(2)) based on simulated temperature and salinity. Biological drawdown of CO2 is calculated from changes in total inorganic carbon based on prescribed values of carbon to nitrate uptake ratio and a prescribed seasonal cycle of nitrate. Compared to available measurements the use of temperature and salinity data to reconstruct spatial and temporal variability of carbon system variables in the Barents Sea is shown to be reasonable. This allows, for the first time, an estimate of the spatiotemporal variability of air-sea CO2 exchange for the whole Barents Sea. Our analysis indicates that the Barents Sea is a sink for atmospheric CO2 throughout the year during the study period. The mean annual air-sea flux is 40 +/- 5 g C m(-2), corresponding to an ocean uptake of 0.061 +/- 0.007 Gt C yr(-1). Higher fluxes are found in the Atlantic southern Barents Sea (45 +/- 5 g C m(-2)), whereas less gas exchange takes place in the seasonally ice covered northern Barents Sea (33 +/- 4 g C m(-2)). Due to the combined effect of large concentration gradients across the air-sea interface (Delta pCO(2)) and high wind speeds, the largest CO2 uptake occurs in September and October. Interannually, the fluxes vary by 12% of the mean oceanic uptake, mostly driven by variations in wind speed. (C) 2012 Elsevier B.V. All rights reserved.</t>
  </si>
  <si>
    <t>[Arthun, M.; Bellerby, R. G. J.; Omar, A. M.; Schrum, C.] Bjerknes Ctr Climate Res, Bergen, Norway; [Bellerby, R. G. J.; Omar, A. M.] Uni Res AS, Uni Bjerknes Ctr, Bergen, Norway; [Arthun, M.; Bellerby, R. G. J.; Schrum, C.] Univ Bergen, Inst Geophys, Bergen, Norway</t>
  </si>
  <si>
    <t>Bjerknes Centre for Climate Research; Bjerknes Centre for Climate Research; University of Bergen; University of Bergen</t>
  </si>
  <si>
    <t>Årthun, M (corresponding author), British Antarctic Survey, NERC, Cambridge, England.</t>
  </si>
  <si>
    <t>marun@bas.ac.uk; Richard.Bellerby@uni.no; Abdir.Omar@uni.no; corinna.schrum@gfi.uib.no</t>
  </si>
  <si>
    <t>Schrum, Corinna/KAM-1374-2024; Schrum, Corinna/JVZ-1967-2024; Bellerby, Richard/ABD-6590-2021</t>
  </si>
  <si>
    <t>Schrum, Corinna/0000-0003-3251-4551; Bellerby, Richard/0000-0003-3598-4006; Arthun, Marius/0000-0003-4500-1691</t>
  </si>
  <si>
    <t>IPY; project Marine Ecosystem Response to a Changing Climate (MERCLIM) [184860]; Norwegian Research Council; EC seventh framework program through the Marine Ecosystem Evolution in a Changing Environment (MEECE) [212085]</t>
  </si>
  <si>
    <t>IPY; project Marine Ecosystem Response to a Changing Climate (MERCLIM); Norwegian Research Council(Research Council of Norway); EC seventh framework program through the Marine Ecosystem Evolution in a Changing Environment (MEECE)</t>
  </si>
  <si>
    <t>This work was funded by the IPY project Bipolar Atlantic Thermohaline Circulation (BIAC). R. Bellerby has also been partially funded by the project Marine Ecosystem Response to a Changing Climate (MERCLIM No 184860) financed by the program NORKLIMA through the Norwegian Research Council, and by Theme 6 of the EC seventh framework program through the Marine Ecosystem Evolution in a Changing Environment (MEECE No 212085) Collaborative Project. The authors want to thank Anna Silyakova for providing nitrate model data, and Siv K. Lauvset and the chemical oceanography group at BCCR for providing quality controlled observation from G.O. Sars. This is publication no. A395 from the Bjerknes Centre for Climate Research.</t>
  </si>
  <si>
    <t>10.1016/j.jmarsys.2012.03.005</t>
  </si>
  <si>
    <t>WOS:000304286300005</t>
  </si>
  <si>
    <t>Wåhlin, AK; Muench, RD; Arneborg, L; Björk, G; Ha, HK; Lee, SH; Alsén, H</t>
  </si>
  <si>
    <t>Wahlin, A. K.; Muench, R. D.; Arneborg, L.; Bjork, G.; Ha, H. K.; Lee, S. H.; Alsen, H.</t>
  </si>
  <si>
    <t>Some Implications of Ekman Layer Dynamics for Cross-Shelf Exchange in the Amundsen Sea</t>
  </si>
  <si>
    <t>PINE ISLAND GLACIER; ANTARCTIC ICE-SHEET; CONTINENTAL-SLOPE; WATER MASSES; CIRCULATION; OCEAN; BOUNDARY; MODEL; FALL</t>
  </si>
  <si>
    <t>The exchange of warm, salty seawater across the continental shelves off West Antarctica leads to subsurface glacial melting at the interface between the ocean and the West Antarctic Ice Sheet. One mechanism that contributes to the cross-shelf transport is Ekman transport induced by along-slope currents over the slope and shelf break. An investigation of this process is applied to the Amundsen Sea shelfbreak region, using recently acquired and historical field data to guide the analyses. Along-slope currents were observed at transects across the eastern and western reaches of the Amundsen slope. Currents in the east flowed eastward, and currents farther west flowed westward. Under the eastward-flowing currents, hydrographic isolines sloped upward paralleling the seabed. In this layer, declining buoyancy forces rather than friction were bringing the velocity to zero at the seabed. The basin water in the eastern part of the shelf was dominated by water originating from 800-1000-m depth off shelf, suggesting that transport of such water across the shelf frequently occurs. The authors show that arrested Ekman layers mechanism can supply deep water to the shelf break in the eastern section, where it has access to the shelf. Because no unmodified off-shelf water was found on the shelf in the western part, bottom layer Ekman transport does not appear a likely mechanism for delivery of warm deep water to the western shelf area. Warming of the warm bottom water was most pronounced on the western shelf, where the deep-water temperature increased by 0.6 degrees C during the past decade.</t>
  </si>
  <si>
    <t>[Wahlin, A. K.; Arneborg, L.; Bjork, G.; Alsen, H.] Univ Gothenburg, Dept Earth Sci, Gothenburg 40130, Sweden; [Ha, H. K.; Lee, S. H.] Korea Polar Res Inst, Inchon, South Korea</t>
  </si>
  <si>
    <t>University of Gothenburg; Korea Institute of Ocean Science &amp; Technology (KIOST); Korea Polar Research Institute (KOPRI)</t>
  </si>
  <si>
    <t>Wåhlin, AK (corresponding author), Univ Gothenburg, Dept Earth Sci, Box 460, Gothenburg 40130, Sweden.</t>
  </si>
  <si>
    <t>awahlin@gu.se</t>
  </si>
  <si>
    <t>Wåhlin, Anna/U-3790-2017</t>
  </si>
  <si>
    <t>Wåhlin, Anna/0000-0003-1799-6476; Arneborg, Lars/0000-0003-0248-8110</t>
  </si>
  <si>
    <t>National Science Foundation (NSF); Swedish Polar Research Secretariat; Swedish Research Council (SRC); SRC [824-2008-6439, 2010-19172-73868-33, 621-2008-2689]; NSF through NSF [OPP-0125602, ANT-0440656]; ONR [N00014-03-1-0067]; KOPRI [PE11040]; Vinnova</t>
  </si>
  <si>
    <t>National Science Foundation (NSF)(National Science Foundation (NSF)); Swedish Polar Research Secretariat; Swedish Research Council (SRC)(Swedish Research Council); SRC; NSF through NSF; ONR(Office of Naval Research); KOPRI(Korea Polar Research Institute of Marine Research Placement (KOPRI)); Vinnova(Vinnova)</t>
  </si>
  <si>
    <t>The cruise Oden Southern Ocean 2008/09 was carried out on IB Oden, and we are grateful for help and logistic support from the captain and crew. Bengt Liljebladh, Kevin Pedigo, and Jeremy Lucke provided expert technical assistance with preparations as well as during the cruise. The cruise was supported by National Science Foundation (NSF), Swedish Polar Research Secretariat, and the Swedish Research Council (SRC). We are grateful to Sharon Stammerjohn and Xiaoyun Yuan for providing comments on the manuscript and data from the Oden 2007 cruise. The data from the World Ocean Database were compiled by the National Oceanographic Data Center of NOAA. Wahlin was funded by SRC (Grants 824-2008-6439 and 2010-19172-73868-33) and Vinnova, Bjork was funded by SRC (Grant 824-2008-6439), Arneborg was funded by SRC (Grant 621-2008-2689), and Muench was funded by NSF through NSF Grants OPP-0125602 and ANT-0440656 and ONR Grant N00014-03-1-0067 to Earth &amp; Space Research. Ha and Lee were supported by KOPRI Grant PE11040.</t>
  </si>
  <si>
    <t>10.1175/JPO-D-11-041.1</t>
  </si>
  <si>
    <t>WOS:000309018500005</t>
  </si>
  <si>
    <t>Ruprecht, U; Brunauer, G; Printzen, C</t>
  </si>
  <si>
    <t>Ruprecht, Ulrike; Brunauer, Georg; Printzen, Christian</t>
  </si>
  <si>
    <t>Genetic diversity of photobionts in Antarctic lecideoid lichens from an ecological viewpoint</t>
  </si>
  <si>
    <t>LICHENOLOGIST</t>
  </si>
  <si>
    <t>climate zones; Lecidea; Trebouxia clades</t>
  </si>
  <si>
    <t>TREBOUXIA; SELECTIVITY; COMMUNITY; ALGAL; GREEN; LAND; FLEXIBILITY; SPECIFICITY; PERFORMANCE; PARTNERS</t>
  </si>
  <si>
    <t>As part of a comprehensive study on lecideoid lichens in Antarctica, we investigated the photobiont diversity and abundance in 119 specimens of lecideoid lichens from 11 localities in the continental and maritime Antarctic. A phylogeny of these photobiont ITS sequences, including samples from arctic, alpine and temperate lowland regions, reveals the presence of five major Trebouxia clades in Antarctic lecideoid lichens. Two clades are formed by members of the T. jamesii and T. impressa aggregates but for all other clades no close match to any known Trebouxia species could be found in sequence databases. One genetically uniform and well-supported Trebouxia clade was found only in the climatically unique cold desert regions of the Antarctic (preliminarily called Trebouxia sp. URa1), where it is preferentially associated with the highly adapted Antarctic endemic lichen Lecidea cancriformis. Levels of genetic photobiont diversity differ slightly, but insignificantly among ecological regions of the Antarctic and do not decrease towards regions with more unfavourable ecological conditions. The genetic diversity of photobionts varies among mycobiont species. Most pairwise comparisons reveal that these differences are insignificant, probably due to the small sample size for most species. The Antarctic lichens studied here are predominantly not specific for a single photobiont species or lineage, except for Lecidella greenii and L. siplei. These two species are preferably associated with Trebouxia sp. URa2, although in the sampling areas of both species, a pool of several other photobionts is available. Lecidea cancriformis associates with the highest diversity of photobionts followed by L. andersonii.</t>
  </si>
  <si>
    <t>[Ruprecht, Ulrike; Brunauer, Georg] Salzburg Univ, A-5020 Salzburg, Austria; [Printzen, Christian] Biodiversitat &amp; Klima Forschungzentrum LOEWE BiK, Abt Bot &amp; Mol Evolut Forsch, Senckenberg Forschunginst, D-60325 Frankfurt, Germany; [Printzen, Christian] Biodiversitat &amp; Klima Forschungzentrum LOEWE BiK, Abt Bot &amp; Mol Evolut Forsch, Nat Museum Frankfurt, D-60325 Frankfurt, Germany</t>
  </si>
  <si>
    <t>Salzburg University; Senckenberg Gesellschaft fur Naturforschung (SGN)</t>
  </si>
  <si>
    <t>Ruprecht, U (corresponding author), Salzburg Univ, Hellbrunnerstr 34, A-5020 Salzburg, Austria.</t>
  </si>
  <si>
    <t>ulrike.ruprecht@sbg.ac.at</t>
  </si>
  <si>
    <t>Printzen, Christian/ABF-8242-2021</t>
  </si>
  <si>
    <t>Ruprecht, Ulrike/0000-0002-0898-7677</t>
  </si>
  <si>
    <t>Hesse's Ministry of Higher Education, Research, and the Arts; Waikato University; FRST</t>
  </si>
  <si>
    <t>Hesse's Ministry of Higher Education, Research, and the Arts; Waikato University; FRST(New Zealand Foundation for Research, Science and Technology)</t>
  </si>
  <si>
    <t>This study was financially supported by the research funding programme 'LOEWE - Landes-Offensive zur Entwicklung Wissenschaftlich-okonomischer Exzellenz' of Hesse's Ministry of Higher Education, Research, and the Arts. Antarctica New Zealand is thanked for logistic support and Shulamit Gordon for coordinating LGP, to which this research contributed. Waikato University is thanked for financial support. This manuscript is an output of the FRST-funded IPY Research Programme Understanding, valuing and protecting Antarctica's unique terrestrial ecosystems: Predicting biocomplexity in Dry Valley ecosystems located at Biological Sciences and ICTAR (International Centre for Terrestrial Antarctic research) at Waikato University.</t>
  </si>
  <si>
    <t>0024-2829</t>
  </si>
  <si>
    <t>1096-1135</t>
  </si>
  <si>
    <t>Lichenologist</t>
  </si>
  <si>
    <t>10.1017/S0024282912000291</t>
  </si>
  <si>
    <t>Plant Sciences; Mycology</t>
  </si>
  <si>
    <t>019HT</t>
  </si>
  <si>
    <t>WOS:000309729700010</t>
  </si>
  <si>
    <t>Wichmann, CS; Hinojosa, IA; Thiel, M</t>
  </si>
  <si>
    <t>Wichmann, Carla-Sophie; Hinojosa, Ivan A.; Thiel, Martin</t>
  </si>
  <si>
    <t>Floating kelps in Patagonian Fjords: an important vehicle for rafting invertebrates and its relevance for biogeography</t>
  </si>
  <si>
    <t>MACROCYSTIS-PYRIFERA PHAEOPHYTA; DRIFT ALGAE; MARINE-ENVIRONMENT; SPECIES RICHNESS; COASTAL WATERS; SOUTHERN CHILE; BEAGLE CHANNEL; SEAWEED CLUMPS; CRUSTACEA; DISPERSAL</t>
  </si>
  <si>
    <t>Floating macroalgae are common dispersal vehicles for associated benthic invertebrates. In order to investigate the importance of kelp rafts for species dispersal in the Patagonian Fjord Region (PFR), the abundance and distribution pattern of floating kelps (Macrocystis pyrifera, Durvillaea antarctica) and of the invertebrate fauna associated with M. pyrifera were evaluated during austral spring of 2002-2005, 2008 and 2010. In the southernmost Magellan Region (MR), benthic M. pyrifera were additionally sampled to compare the community structures in both conditions. Floating kelps were abundant throughout the entire PFR, harbouring a diverse and abundant invertebrate fauna. The density of floating kelps increased towards the south. In the MR, a loss of species was observed between benthic and floating condition (e.g. decapods, echinoderms, several peracarid species), but a high diversity of organisms from all major phyla were observed on rafts. Throughout the PFR, the predominant rafting species belonged to the peracarids, molluscs and annelids, but the community composition differed between floating samples from the northern and southern zones of the PFR. Relative abundances of peracarids were higher in northern zones, whereas molluscs and annelids dominated in the southern areas. Species of the peracarid genera Peramphithoe, Gondogeneia, Bircenna and Limnoria were shared between all areas. The results suggest that kelp rafts not only contribute to local population connectivity in the PFR, but could also be an important dispersal vehicle for rafting species along the PFR in north-south direction, crossing the biogeographic boundary around Taitao Peninsula. Furthermore, the MR appears to be an important stepping stone for species dispersal via kelp rafting in the subantarctic region.</t>
  </si>
  <si>
    <t>[Wichmann, Carla-Sophie; Hinojosa, Ivan A.; Thiel, Martin] Univ Catolica Norte, Fac Ciencias Mar, Larrondo 1281, Coquimbo, Chile; [Wichmann, Carla-Sophie] Univ Bremen, Fachbereich Biol Chem 2, D-28359 Bremen, Germany; [Hinojosa, Ivan A.] Univ Tasmania, Inst Marine &amp; Antarctic Studies, Taroona, Tas 7053, Australia; [Thiel, Martin] CEAZA, Coquimbo, Chile</t>
  </si>
  <si>
    <t>Universidad Catolica del Norte; University of Bremen; University of Tasmania</t>
  </si>
  <si>
    <t>Thiel, M (corresponding author), Univ Catolica Norte, Fac Ciencias Mar, Larrondo 1281, Coquimbo, Chile.</t>
  </si>
  <si>
    <t>thiel@ucn.cl</t>
  </si>
  <si>
    <t>Hinojosa, Ivan/P-1572-2016; Hinojosa, Ivan/ABC-8915-2021; Hinojosa, Ivan Andres/AAQ-7445-2020</t>
  </si>
  <si>
    <t>Hinojosa, Ivan/0000-0002-9752-4374; Hinojosa, Ivan/0000-0002-9752-4374; Hinojosa, Ivan Andres/0000-0002-9752-4374</t>
  </si>
  <si>
    <t>Comite Oceanografico Nacional (CONA)</t>
  </si>
  <si>
    <t>We are grateful to Lars Gutow for his advice during the preparation of this manuscript. Two anonymous reviewers provided many suggestions that helped to improve the initial manuscript. Special thanks go to Izadora Mattiello, Reetta Vaatainen and Analisa Waller for their assistance in faunal identification and to all former members of the BEDIM laboratory who helped to analyse the samples of previous CIMAR-Fiordo projects. We also thank the crews and colleagues who accompanied and helped us during the research cruises on board RV AGOR Vidal Gormaz'' and Abate Molina''. This study received financial support through the research programs CIMAR 8, 9, 10, 11, 14 and 16 Fiordos from the Comite Oceanografico Nacional (CONA).</t>
  </si>
  <si>
    <t>10.1007/s00227-012-1990-x</t>
  </si>
  <si>
    <t>996EE</t>
  </si>
  <si>
    <t>WOS:000308066400015</t>
  </si>
  <si>
    <t>Konfirst, MA; Scherer, RP; Hillenbrand, CD; Kuhn, G</t>
  </si>
  <si>
    <t>Konfirst, Matthew A.; Scherer, Reed P.; Hillenbrand, Claus-Dieter; Kuhn, Gerhard</t>
  </si>
  <si>
    <t>A marine diatom record from the Amundsen - Sea Insights into oceanographic and climatic response to the Mid-Pleistocene Transition in the West Antarctic sector of the Southern Ocean</t>
  </si>
  <si>
    <t>Amundsen Sea; Southern Ocean diatoms; Mid-Pleistocene transition; West Antarctic ice sheet</t>
  </si>
  <si>
    <t>PINE ISLAND GLACIER; CONTINENTAL-MARGIN SEDIMENTS; ICE-SHEET; LEVEL RISE; ATLANTIC SECTOR; INTERGLACIAL DEPOSITION; PLEISTOCENE COLLAPSE; SURFACE SEDIMENTS; PACIFIC MARGIN; 400 KA</t>
  </si>
  <si>
    <t>The goal of this study is to assess the changes that have occurred during the Mid-Pleistocene Transition, an important transitional period in cryosphere evolution, by examining the siliceous microfossil record of sediments collected proximal to a major ice drainage outlet for the West Antarctic Ice Sheet. Core PS58/254 was collected from a sediment drift on the upper continental rise in the Amundsen Sea, directly offshore from Pine Island Bay, one of the three main discharge areas for the West Antarctic Ice Sheet (WAIS). Published data on physical properties, geochemical composition, grain size and clay mineral assemblages are complemented here by a high-resolution record (sample spacing 10 cm) of the siliceous microfossil assemblages (diatoms and silicoflagellates). Between 1200 ka and 621 ka, the assemblage is relatively diverse, with Actinocyclus ingens, Thalassiothrix antarctica and Fragilariopsis kerguelensis dominating the assemblages, but diatom abundance is variable from low to barren. Additionally, the occurrence of A. ingens, Thalassiosira elliptipora and Thalassiosira fasciculata is used to confirm and further refine the existing age model and extend it back to 1200 ka. Species composition during the last ca. 621 ka is dominated by F. kerguelensis, which consistently comprises 80-90% of the assemblage. A clear relationship between diatom abundance and glacial/interglacial variability is apparent after 621 ka, which resembles the glacial-interglacial variability previously observed in other proxy data. A significant change in both sediment composition and diatom assemblages is observed at 621 ka. This change concurs with the last abundant occurrence of A. ingens and the end of the Mid-Pleistocene Transition (MFT, i.e. the onset of modern eccentricity/precession-paced glacial cycles around 650 ka). We suggest that during interglacial periods after 621 ka the Amundsen Sea Low pressure system shifted seasonally southwestwards towards the shelf and thereby increased the advection of relatively warm Circumpolar Deep Water (CDW) onto the Amundsen Sea shelf, which is a major factor for present ice-sheet melting in this part of West Antarctica. (c) 2012 Elsevier B.V. All rights reserved.</t>
  </si>
  <si>
    <t>[Konfirst, Matthew A.; Scherer, Reed P.] No Illinois Univ, Dept Geol &amp; Environm Geosci, De Kalb, IL 60115 USA; [Hillenbrand, Claus-Dieter] British Antarctic Survey, Cambridge CB3 0ET, England; [Kuhn, Gerhard] Helmholtz Gemeinschaft, Stiftung Alfred Wegener Inst Polar &amp; Meeresforsch, D-27568 Bremerhaven, Germany</t>
  </si>
  <si>
    <t>Northern Illinois University; UK Research &amp; Innovation (UKRI); Natural Environment Research Council (NERC); NERC British Antarctic Survey; Helmholtz Association; Alfred Wegener Institute, Helmholtz Centre for Polar &amp; Marine Research</t>
  </si>
  <si>
    <t>Konfirst, MA (corresponding author), Ohio State Univ, Byrd Polar Res Ctr, 1090 Carmack Rd, Columbus, OH 43210 USA.</t>
  </si>
  <si>
    <t>mk@fulbrightmail.org</t>
  </si>
  <si>
    <t>Kuhn, Gerhard/0000-0001-6069-7485</t>
  </si>
  <si>
    <t>Natural Environment Research Council [bas0100027] Funding Source: researchfish; NERC [bas0100027] Funding Source: UKRI</t>
  </si>
  <si>
    <t>10.1016/j.marmicro.2012.05.001</t>
  </si>
  <si>
    <t>WOS:000308061400004</t>
  </si>
  <si>
    <t>Hoffman, JI; Tucker, R; Bridgett, SJ; Clark, MS; Forcada, J; Slate, J</t>
  </si>
  <si>
    <t>Hoffman, J. I.; Tucker, R.; Bridgett, S. J.; Clark, M. S.; Forcada, J.; Slate, J.</t>
  </si>
  <si>
    <t>Rates of assay success and genotyping error when single nucleotide polymorphism genotyping in non-model organisms: a case study in the Antarctic fur seal</t>
  </si>
  <si>
    <t>MOLECULAR ECOLOGY RESOURCES</t>
  </si>
  <si>
    <t>454 sequencing; Antarctic fur seal; Arctocephalus gazella; BeadXpress; conversion rate; genotyping error; GoldenGate assay; heterozygosity; Illumina; marine mammal; pinniped; single nucleotide polymorphism; transcriptome; VeraCode</t>
  </si>
  <si>
    <t>SNP DETECTION; CANINE SIZE; GENOME; HETEROZYGOSITY; DISCOVERY; IMPACT</t>
  </si>
  <si>
    <t>Although single nucleotide polymorphisms (SNPs) are increasingly being recognized as powerful molecular markers, their application to non-model organisms can bring significant challenges. Among these are imperfect conversion rates of assays designed from in silico resources and the enhanced potential for genotyping error relative to pre-validated, highly optimized human SNPs. To explore these issues, we used Illuminas GoldenGate assay to genotype 480 Antarctic fur seal (Arctocephalus gazella) individuals at 144 putative SNPs derived from a 454 transcriptome assembly. One hundred and thirty-five polymorphic SNPs (93.8%) were automatically validated by the program GenomeStudio, and the initial genotyping error rate, estimated from nine replicate samples, was 0.004 per reaction. However, an almost tenfold further reduction in the error rate was achieved by excluding 31 loci (21.5%) that exhibited unclear clustering patterns, manually editing clusters to allow rescoring of ambiguous or incorrect genotypes, and excluding 18 samples (3.8%) with unreliable genotypes. After stringent quality filtering, we also found a counter-intuitive negative relationship between in silico minor allele frequency and the conversion rate, suggesting that some of our assays may have been designed from paralogous loci. Nevertheless, we obtained over 45 000 individual SNP genotypes with a final error rate of 0.0005, indicating that the GoldenGate assay is eminently capable of generating large, high-quality data sets for non-model organisms. This has positive implications for future studies of the evolutionary, behavioural and conservation genetics of natural populations.</t>
  </si>
  <si>
    <t>[Hoffman, J. I.] Univ Bielefeld, Dept Anim Behav, D-33501 Bielefeld, Germany; [Tucker, R.; Slate, J.] Univ Sheffield, Dept Anim &amp; Plant Sci, Sheffield S10 2TN, S Yorkshire, England; [Bridgett, S. J.] Univ Edinburgh, Sch Biol Sci, GenePool, Edinburgh EH9 3JT, Midlothian, Scotland; [Clark, M. S.; Forcada, J.] British Antarctic Survey, NERC, Cambridge CB3 0ET, England</t>
  </si>
  <si>
    <t>University of Bielefeld; University of Sheffield; University of Edinburgh; UK Research &amp; Innovation (UKRI); Natural Environment Research Council (NERC); NERC British Antarctic Survey</t>
  </si>
  <si>
    <t>Hoffman, JI (corresponding author), Univ Bielefeld, Dept Anim Behav, Postfach 100131, D-33501 Bielefeld, Germany.</t>
  </si>
  <si>
    <t>joseph.hoffman@uni-bielefeld.de</t>
  </si>
  <si>
    <t>GenePool, The/D-8812-2012; Forcada, Jaume/GYU-0677-2022; Clark, Melody/D-7371-2014; Slate, Jon/D-2925-2012; Hoffman, Joseph/K-7725-2012</t>
  </si>
  <si>
    <t>Clark, Melody/0000-0002-3442-3824; Slate, Jon/0000-0003-3356-5123; Hoffman, Joseph/0000-0001-5895-8949; Bridgett, Stephen/0000-0001-9330-5820</t>
  </si>
  <si>
    <t>Marie Curie Career Integration Grant [PCIG-GA-2011-303618]; NERC; Medical Research Council [G0900740] Funding Source: researchfish; Natural Environment Research Council [bas0100025] Funding Source: researchfish; BBSRC [BBS/E/D/20310000] Funding Source: UKRI; MRC [G0900740] Funding Source: UKRI; NERC [bas0100025] Funding Source: UKRI</t>
  </si>
  <si>
    <t>Marie Curie Career Integration Grant(Marie Curie Actions); NERC(UK Research &amp; Innovation (UKRI)Natural Environment Research Council (NERC)); Medical Research Council(UK Research &amp; Innovation (UKRI)Medical Research Council UK (MRC)); Natural Environment Research Council(UK Research &amp; Innovation (UKRI)Natural Environment Research Council (NERC)); BBSRC(UK Research &amp; Innovation (UKRI)Biotechnology and Biological Sciences Research Council (BBSRC)); MRC(UK Research &amp; Innovation (UKRI)Medical Research Council UK (MRC)); NERC(UK Research &amp; Innovation (UKRI)Natural Environment Research Council (NERC))</t>
  </si>
  <si>
    <t>We are grateful to D. Briggs, M. Jessop, K. Reid, R. Taylor, T. Walker, N. Warren, S Robinson, D. Malone and E Edwards for tissue sampling and logistical support. We also acknowledge cDNA synthesis performed by Evrogen, Russia, and library preparation and 454 sequencing performed by Anna Montazam and Denis Cleven of the GenePool Facility, Edinburgh. This work contributes to the British Antarctic Survey (BAS) Ecosystems (Polar Science for Planet Earth) programme. Fieldwork was approved by BAS, and samples were collected and retained under permits issued by the Department for Environment, Food and Rural Affairs (DEFRA) and in accordance with the Convention on International Trade in Endangered Species of Wild Fauna and Flora (CITES). The molecular work was funded by a Marie Curie Career Integration Grant (PCIG-GA-2011-303618) awarded to J. Hoffman and NERC core funding to the British Antarctic Survey Ecosystems Programme.</t>
  </si>
  <si>
    <t>1755-098X</t>
  </si>
  <si>
    <t>1755-0998</t>
  </si>
  <si>
    <t>MOL ECOL RESOUR</t>
  </si>
  <si>
    <t>Mol. Ecol. Resour.</t>
  </si>
  <si>
    <t>10.1111/j.1755-0998.2012.03158.x</t>
  </si>
  <si>
    <t>Biochemistry &amp; Molecular Biology; Ecology; Evolutionary Biology</t>
  </si>
  <si>
    <t>Biochemistry &amp; Molecular Biology; Environmental Sciences &amp; Ecology; Evolutionary Biology</t>
  </si>
  <si>
    <t>994JU</t>
  </si>
  <si>
    <t>WOS:000307927700010</t>
  </si>
  <si>
    <t>Sunday, JM; Bates, AE; Dulvy, NK</t>
  </si>
  <si>
    <t>Sunday, Jennifer M.; Bates, Amanda E.; Dulvy, Nicholas K.</t>
  </si>
  <si>
    <t>Thermal tolerance and the global redistribution of animals</t>
  </si>
  <si>
    <t>CLIMATE-CHANGE; MARINE BIODIVERSITY; RANGE; SHIFTS; IMPACTS; TEMPERATURE; EXTINCTION; COMMUNITY; GRADIENT; NORTHERN</t>
  </si>
  <si>
    <t>The redistribution of life on Earth has emerged as one of the most significant biological responses to anthropogenic climate warming(1-3). Despite being one of the most long-standing puzzles in ecology(4), we still have little understanding of how temperature sets geographic range boundaries(5). Here we show that marine and terrestrial ectotherms differ in the degree to which they fill their potential latitudinal ranges, as predicted from their thermal tolerance limits. Marine ectotherms more fully occupy the extent of latitudes tolerable within their thermal tolerance limits, and are consequently predicted to expand at their poleward range boundaries and contract at their equatorward boundaries with climate warming. In contrast, terrestrial ectotherms are excluded from the warmest regions of their latitudinal range; thus, the equatorward, or 'trailing' range boundaries, may not shift consistently towards the poles with climate warming. Using global observations of climate-induced range shifts, we test this prediction and show that in the ocean, shifts at both range boundaries have been equally responsive, whereas on land, equatorward range boundaries have lagged in response to climate warming. These results indicate that marine species' ranges conform more closely to their limits of thermal tolerance, and thus range shifts will be more predictable and coherent. However, on land, warmer range boundaries are not at equilibrium with heat tolerance. Understanding the relative contribution of factors other than temperature in controlling equatorward range limits is critical for predicting distribution changes, with implications for population and community viability.</t>
  </si>
  <si>
    <t>[Sunday, Jennifer M.; Dulvy, Nicholas K.] Simon Fraser Univ, Dept Biol Sci, Earth Ocean Res Grp, Burnaby, BC V5A 1S6, Canada; [Bates, Amanda E.] Deakin Univ, Sch Life &amp; Environm Sci, Warrnambool 3280, Australia; [Bates, Amanda E.] Univ Tasmania, Inst Marine &amp; Antarctic Studies, Hobart, Tas 7001, Australia</t>
  </si>
  <si>
    <t>Simon Fraser University; Deakin University; University of Tasmania</t>
  </si>
  <si>
    <t>Sunday, JM (corresponding author), Simon Fraser Univ, Dept Biol Sci, Earth Ocean Res Grp, 8888 Univ Dr, Burnaby, BC V5A 1S6, Canada.</t>
  </si>
  <si>
    <t>sunday@sfu.ca</t>
  </si>
  <si>
    <t>Bates, Amanda E./ABD-6874-2021; Sunday, Jennifer/ABE-7396-2020; Dulvy, Nicholas/I-2895-2012</t>
  </si>
  <si>
    <t>Bates, Amanda E./0000-0002-0198-4537; Dulvy, Nicholas/0000-0002-4295-9725</t>
  </si>
  <si>
    <t>Natural Sciences and Engineering Research Council of Canada</t>
  </si>
  <si>
    <t>Natural Sciences and Engineering Research Council of Canada(Natural Sciences and Engineering Research Council of Canada (NSERC)CGIAR)</t>
  </si>
  <si>
    <t>We are grateful to R. Colwell, R. Huey, W. Palen, J. Reynolds, G. Quinn, A. Mooers, P. Molloy, M.J.J. lords, D. Redding, R. Trebilco, M. Hart, C. Keever and the Earth2Ocean laboratory for constructive criticism. This work was supported by the Natural Sciences and Engineering Research Council of Canada.</t>
  </si>
  <si>
    <t>10.1038/NCLIMATE1539</t>
  </si>
  <si>
    <t>009ME</t>
  </si>
  <si>
    <t>WOS:000309029100016</t>
  </si>
  <si>
    <t>Putnam, AE; Schaefer, JM; Denton, GH; Barrell, DJA; Finkel, RC; Andersen, BG; Schwartz, R; Chinn, TJH; Doughty, AM</t>
  </si>
  <si>
    <t>Putnam, Aaron E.; Schaefer, Joerg M.; Denton, George H.; Barrell, David J. A.; Finkel, Robert C.; Andersen, Bjorn G.; Schwartz, Roseanne; Chinn, Trevor J. H.; Doughty, Alice M.</t>
  </si>
  <si>
    <t>Regional climate control of glaciers in New Zealand and Europe during the pre-industrial Holocene</t>
  </si>
  <si>
    <t>INTERTROPICAL CONVERGENCE ZONE; SWISS ALPS; FLUCTUATIONS; VARIABILITY; RECORDS; OCEAN</t>
  </si>
  <si>
    <t>Mountain glaciers worldwide have undergone net recession over the past century in response to atmospheric warming(1), but the extent to which this warming reflects natural versus anthropogenic climate change remains uncertain(2,3). Between about 11,500 years ago and the nineteenth century, progressive atmospheric cooling over the European Alps induced glacier expansion(2,4-6), culminating with several large-scale advances during the seventeen to nineteenth centuries(3). However, it is unclear whether this glacier behaviour reflects global or a more regional forcing. Here we reconstruct glacier fluctuations in the Southern Alps of New Zealand for the past 11,000 years using Be-10 exposure ages. We use those fluctuations to estimate the associated temperature variations. On orbital to submillennial timescales, changes in glacier snowlines in New Zealand were linked to regional climate and oceanographic variability and were asynchronous with snowline variations in European glaciers. We attribute this asynchrony to the migration of the intertropical convergence zone. In light of this persistent asynchrony, we suggest that the net glacier recession and atmospheric warming in both regions over the past century is anomalous in the context of earlier Holocene variability and corresponds with anthropogenic emissions of greenhouse gases.</t>
  </si>
  <si>
    <t>[Putnam, Aaron E.; Schaefer, Joerg M.; Schwartz, Roseanne] Lamont Doherty Earth Observ, Palisades, NY 10944 USA; [Putnam, Aaron E.; Denton, George H.] Univ Maine, Dept Earth Sci, Orono, ME 04469 USA; [Putnam, Aaron E.; Denton, George H.] Univ Maine, Climate Change Inst, Orono, ME 04469 USA; [Schaefer, Joerg M.] Columbia Univ, Dept Earth &amp; Environm Sci, New York, NY 10027 USA; [Barrell, David J. A.] GNS Sci, Dunedin, New Zealand; [Finkel, Robert C.] Univ Calif Berkeley, Dept Earth &amp; Planetary Sci, Berkeley, CA 95064 USA; [Andersen, Bjorn G.] Univ Oslo, Dept Geosci, N-0316 Oslo, Norway; [Chinn, Trevor J. H.] Alpine &amp; Polar Proc Consultancy, Lake Hawea, New Zealand; [Doughty, Alice M.] Victoria Univ Wellington, Antarctic Res Ctr, Wellington, New Zealand; [Doughty, Alice M.] Victoria Univ Wellington, Sch Earth Sci, Wellington, New Zealand</t>
  </si>
  <si>
    <t>Columbia University; University of Maine System; University of Maine Orono; University of Maine System; University of Maine Orono; Columbia University; GNS Science - New Zealand; University of California System; University of California Berkeley; University of Oslo; Victoria University Wellington; Victoria University Wellington</t>
  </si>
  <si>
    <t>Putnam, AE (corresponding author), Lamont Doherty Earth Observ, 61 Rt 9W, Palisades, NY 10944 USA.</t>
  </si>
  <si>
    <t>aputnam@ldeo.columbia.edu</t>
  </si>
  <si>
    <t>Putnam, Aaron/0000-0002-5358-1473</t>
  </si>
  <si>
    <t>Gary C. Comer Science and Education Foundation; National Oceanographic and Atmospheric Administration; National Science Foundation (NSF) [EAR-0823521, EAR-0345835]; GNS Science's Direct Crown; Directorate For Geosciences [0823693] Funding Source: National Science Foundation; Directorate For Geosciences; Division Of Earth Sciences [1102782, 0823521] Funding Source: National Science Foundation; Division Of Earth Sciences [0823693] Funding Source: National Science Foundation</t>
  </si>
  <si>
    <t>Gary C. Comer Science and Education Foundation; National Oceanographic and Atmospheric Administration(National Oceanic Atmospheric Admin (NOAA) - USA); National Science Foundation (NSF)(National Science Foundation (NSF)); GNS Science's Direct Crown; Directorate For Geosciences(National Science Foundation (NSF)NSF - Directorate for Geosciences (GEO)); Directorate For Geosciences; Division Of Earth Sciences(National Science Foundation (NSF)NSF - Directorate for Geosciences (GEO)); Division Of Earth Sciences(National Science Foundation (NSF)NSF - Directorate for Geosciences (GEO))</t>
  </si>
  <si>
    <t>We thank the Gary C. Comer Science and Education Foundation, the National Oceanographic and Atmospheric Administration and the National Science Foundation (NSF) for support. J.M.S. acknowledges NSF support for this study (grants EAR-0823521 and EAR-0345835). GNS Science's Direct Crown Funded Programme 'Global Change through Time' supported D.J.A.B. We thank the staff of the Center for Accelerator and Mass Spectrometry at Lawrence-Livermore National Laboratory for their careful work and C. J. Burrows, W. S. Broecker, U. Ninnemann, M. R. Kaplan, R. F. Anderson, D. M. Sigman, K. A. Allen and G. R. M. Bromley for discussions. K. A. Allen helped with statistics. B. Lee and D. Perro provided administrative support. Mount Hutt Helicopters provided transportation to and from field sites. P. and A. Todhunter of Lake Heron Station graciously permitted us access to the Cameron valley. We thank the Department of Conservation-Te Papa Atawhai and Te Runanga o Ngai Tahu for access onto and sampling of the Cameron Glacier moraines. This paper is LDEO contribution no. 7572.</t>
  </si>
  <si>
    <t>10.1038/NGEO1548</t>
  </si>
  <si>
    <t>WOS:000308211300017</t>
  </si>
  <si>
    <t>Ducklow, H; Orsi, A; Wellner, JS</t>
  </si>
  <si>
    <t>Ducklow, Hugh; Orsi, Alejandro; Wellner, Julia S.</t>
  </si>
  <si>
    <t>INTRODUCTION TO THE SPECIAL ISSUE ON ANTARCTIC OCEANOGRAPHY IN A CHANGING WORLD</t>
  </si>
  <si>
    <t>[Ducklow, Hugh] Marine Biol Lab, Ecosyst Ctr, Woods Hole, MA 02543 USA; [Orsi, Alejandro] Texas A&amp;M Univ, Dept Oceanog, College Stn, TX 77843 USA; [Wellner, Julia S.] Univ Houston, Earth &amp; Atmospher Sci Dept, Houston, TX USA</t>
  </si>
  <si>
    <t>Marine Biological Laboratory - Woods Hole; Texas A&amp;M University System; Texas A&amp;M University College Station; University of Houston System; University of Houston</t>
  </si>
  <si>
    <t>Ducklow, H (corresponding author), Marine Biol Lab, Ecosyst Ctr, Woods Hole, MA 02543 USA.</t>
  </si>
  <si>
    <t>hducklow@mbl.edu</t>
  </si>
  <si>
    <t>10.5670/oceanog.2012.68</t>
  </si>
  <si>
    <t>WOS:000308774600004</t>
  </si>
  <si>
    <t>Takahashi, T; Sweeney, C; Hales, B; Chipman, DW; Newberger, T; Goddard, JG; Iannuzzi, RA; Sutherland, SC</t>
  </si>
  <si>
    <t>Takahashi, Taro; Sweeney, Colm; Hales, Burke; Chipman, David W.; Newberger, Timothy; Goddard, John G.; Iannuzzi, Richard A.; Sutherland, Stewart C.</t>
  </si>
  <si>
    <t>THE CHANGING CARBON CYCLE IN THE SOUTHERN OCEAN</t>
  </si>
  <si>
    <t>ANTHROPOGENIC CO2 UPTAKE; SURFACE WATERS; ROSS SEA; EXCHANGE; DIOXIDE; TRANSPORT; SINK</t>
  </si>
  <si>
    <t>Various human activities, including fossil fuel combustion and forest clearing, emit about eight petagrams (or billion tons) of carbon in the form of CO2 into the atmosphere annually. The global ocean absorbs about two petagrams of CO2, and about a half of that amount is absorbed by the Southern Ocean south of 30 S, thus slowing the rapid accumulation of CO2 in the atmosphere. Partial pressure of CO, (pCO(2)) is a measure of the chemical driving force for the CO2 exchange between the ocean and the atmosphere. This paper discusses its space and time distribution over the Southern Ocean. The major sink zone for atmospheric CO2 is located in a latitude belt between 30 S and 50 S, where the biological utilization of CO2 and cooling of warm subtropical waters flowing southward produce low seawater pCO(2). Strong winds in this zone also enhance the ocean's uptake. Although the source-sink conditions vary over a wide range through the seasons in the areas south of 50 S, this zone is a small sink on an annual average. Winter observations show that surface water pCO(2) values in the source region for Antarctic Intermediate Water have increased at a rate faster than the atmospheric increase rate, suggesting that the ocean CO2 sink intensity has been weakening for several decades and has changed from a net sink to a net source since 2005. The results of ocean general circulation-biogeochemistry model studies are found to be consistent with the observations.</t>
  </si>
  <si>
    <t>[Takahashi, Taro; Chipman, David W.; Goddard, John G.; Iannuzzi, Richard A.; Sutherland, Stewart C.] Columbia Univ, Lamont Doherty Earth Observ, Palisades, NY USA; [Sweeney, Colm] Univ Colorado, Cooperat Res Inst Environm Sci CIRES, Boulder, CO 80309 USA; [Hales, Burke] Oregon State Univ, Coll Ocean &amp; Atmospher Sci, Corvallis, OR 97331 USA; [Newberger, Timothy] Univ Colorado, CIRES, Boulder, CO 80309 USA</t>
  </si>
  <si>
    <t>Columbia University; University of Colorado System; University of Colorado Boulder; Oregon State University; University of Colorado System; University of Colorado Boulder</t>
  </si>
  <si>
    <t>Takahashi, T (corresponding author), Columbia Univ, Lamont Doherty Earth Observ, Palisades, NY USA.</t>
  </si>
  <si>
    <t>taka@ldeo.columbia.edu</t>
  </si>
  <si>
    <t>Newberger, Timothy/AAR-7103-2020; Sweeney, Colm/AAE-9291-2019</t>
  </si>
  <si>
    <t>Sweeney, Colm/0000-0002-4517-0797</t>
  </si>
  <si>
    <t>NOAA [NA080AR4320754]; NSF [ANT06-36879]; Office of Polar Programs (OPP); Directorate For Geosciences [0944761] Funding Source: National Science Foundation</t>
  </si>
  <si>
    <t>NOAA(National Oceanic Atmospheric Admin (NOAA) - USA); NSF(National Science Foundation (NSF)); Office of Polar Programs (OPP); Directorate For Geosciences(National Science Foundation (NSF)NSF - Directorate for Geosciences (GEO))</t>
  </si>
  <si>
    <t>This study was supported by grants from NOAA (NA080AR4320754) and NSF (ANT06-36879). We benefited greatly from advice offered by Douglas Martinson, Stanley Jacobs, and Arnold L. Gordon of Lamont-Doherty Earth Observatory. We gratefully acknowledge the dedicated operational assistance provided by the ships' captains and crews aboard the research vessels Nathaniel B. Palmer, Laurence M. Gould, Akademik Ioffe, Marion-Dufresne, and other ships, who helped us to make observations. We are particularly grateful for valuable technical assistance provided by Raytheon Antarctic Services.</t>
  </si>
  <si>
    <t>10.5670/oceanog.2012.71</t>
  </si>
  <si>
    <t>WOS:000308774600007</t>
  </si>
  <si>
    <t>Vernet, M; Smith, KL; Cefarelli, AO; Helly, JJ; Kaufmann, RS; Lin, H; Long, DG; Murray, AE; Robison, BH; Ruhl, HA; Shaw, TJ; Sherman, AD; Sprintall, J; Stephenson, GR; Stuart, KM; Twining, BS</t>
  </si>
  <si>
    <t>Vernet, Maria; Smith, Kenneth L., Jr.; Cefarelli, Adrian O.; Helly, John J.; Kaufmann, Ronald S.; Lin, Hai; Long, David G.; Murray, Alison E.; Robison, Bruce H.; Ruhl, Henry A.; Shaw, Timothy J.; Sherman, Alana D.; Sprintall, Janet; Stephenson, Gordon R., Jr.; Stuart, Keith M.; Twining, Benjamin S.</t>
  </si>
  <si>
    <t>Islands of Ice: Influence of Free-Drifting Antarctic Icebergs on Pelagic Marine Ecosystems</t>
  </si>
  <si>
    <t>[Vernet, Maria; Sprintall, Janet; Stephenson, Gordon R., Jr.] Univ Calif San Diego, Scripps Inst Oceanog, La Jolla, CA 92093 USA; [Smith, Kenneth L., Jr.; Robison, Bruce H.; Sherman, Alana D.] Monterey Bay Aquarium Res Inst, Moss Landing, CA USA; [Cefarelli, Adrian O.] Natl Univ La Plata, RA-1900 La Plata, Argentina; [Helly, John J.] Univ Calif San Diego, San Diego Supercomp Ctr, Lab Earth &amp; Environm Sci, La Jolla, CA 92093 USA; [Kaufmann, Ronald S.] Univ San Diego, San Diego, CA 92110 USA; [Lin, Hai; Shaw, Timothy J.] Univ S Carolina, Columbia, SC 29208 USA; [Long, David G.; Stuart, Keith M.] Brigham Young Univ, Provo, UT 84602 USA; [Murray, Alison E.] Univ Nevada, Desert Res Inst, Reno, NV 89506 USA; [Ruhl, Henry A.] Natl Oceanog Ctr, Southampton, Hants, England; [Twining, Benjamin S.] Bigelow Lab Ocean Sci, Boothbay Harbor, ME 04575 USA</t>
  </si>
  <si>
    <t>University of California System; University of California San Diego; Scripps Institution of Oceanography; Monterey Bay Aquarium Research Institute; National University of La Plata; University of California System; University of California San Diego; University of San Diego; University of South Carolina System; University of South Carolina Columbia; Brigham Young University; Nevada System of Higher Education (NSHE); University of Nevada Reno; Desert Research Institute NSHE; NERC National Oceanography Centre; Bigelow Laboratory for Ocean Sciences</t>
  </si>
  <si>
    <t>Vernet, M (corresponding author), Univ Calif San Diego, Scripps Inst Oceanog, La Jolla, CA 92093 USA.</t>
  </si>
  <si>
    <t>mvernet@ucsd.edu</t>
  </si>
  <si>
    <t>Sherman, Alana/O-3262-2013; Long, David G./K-4908-2015</t>
  </si>
  <si>
    <t>Long, David G./0000-0002-1852-3972; Shaw, Timothy/0000-0002-0032-457X; Twining, Benjamin/0000-0002-1365-9192</t>
  </si>
  <si>
    <t>NERC [noc010009] Funding Source: UKRI; Natural Environment Research Council [noc010009] Funding Source: researchfish</t>
  </si>
  <si>
    <t>10.5670/oceanog.2012.72</t>
  </si>
  <si>
    <t>WOS:000308774600008</t>
  </si>
  <si>
    <t>Yager, PL; Sherrell, RM; Stammerjohn, SE; Alderkamp, AC; Schofield, O; Abrahamsen, EP; Arrigo, KR; Bertilsson, S; Garay, DL; Guerrero, R; Lowry, KE; Moksnes, PO; Ndungu, K; Post, AF; Randall-Goodwin, E; Riemann, L; Severmann, S; Thatje, S; van Dijken, GL; Wilson, S</t>
  </si>
  <si>
    <t>Yager, Patricia L.; Sherrell, Robert M.; Stammerjohn, Sharon E.; Alderkamp, Anne-Carlijn; Schofield, Oscar; Abrahamsen, E. Povl; Arrigo, Kevin R.; Bertilsson, Stefan; Garay, D. Lollie; Guerrero, Raul; Lowry, Kate E.; Moksnes, Per-Olav; Ndungu, Kuria; Post, Anton F.; Randall-Goodwin, Evan; Riemann, Lasse; Severmann, Silke; Thatje, Sven; van Dijken, Gert L.; Wilson, Stephanie</t>
  </si>
  <si>
    <t>ASPIRE The Amundsen Sea Polynya International Research Expedition</t>
  </si>
  <si>
    <t>MELTING GLACIERS FUELS; PINE ISLAND GLACIER; PHYTOPLANKTON BLOOMS; ANTARCTIC PENINSULA; ROSS SEA; OCEAN; IRON; CARBON; EXPORT; WATER</t>
  </si>
  <si>
    <t>In search of an explanation for some of the greenest waters ever seen in coastal Antarctica and their possible link to some of the fastest melting glaciers and declining summer sea ice, the Amundsen Sea Polynya International Research Expedition (ASPIRE) challenged the capabilities of the US Antarctic Program and RVIB Nathaniel B. Palmer during Austral summer 2010-2011. We were well rewarded by both an extraordinary research platform and a truly remarkable oceanic setting. Here we provide further insights into the key questions that motivated our sampling approach during ASPIRE and present some preliminary findings, while highlighting the value of the Palmer for accomplishing complex, multifaceted oceanographic research in such a challenging environment.</t>
  </si>
  <si>
    <t>[Yager, Patricia L.] Univ Georgia, Dept Marine Sci, Athens, GA 30602 USA; [Sherrell, Robert M.; Schofield, Oscar; Severmann, Silke] Rutgers State Univ, Inst Marine &amp; Coastal Sci, New Brunswick, NJ 08903 USA; [Sherrell, Robert M.] Rutgers State Univ, Dept Earth &amp; Planetary Sci, New Brunswick, NJ 08903 USA; [Stammerjohn, Sharon E.] Univ Colorado, Inst Arctic &amp; Alpine Res, Boulder, CO 80309 USA; [Alderkamp, Anne-Carlijn] Stanford Univ, Dept Environm Earth Syst Sci EESS, Stanford, CA 94305 USA; [Abrahamsen, E. Povl] British Antarctic Survey, Cambridge CB3 0ET, England; [Arrigo, Kevin R.; Lowry, Kate E.; van Dijken, Gert L.] Stanford Univ, EESS, Stanford, CA 94305 USA; [Bertilsson, Stefan] Uppsala Univ, Evolutionary Biol Ctr, Uppsala, Sweden; [Garay, D. Lollie] Redd Sch, Houston, TX USA; [Guerrero, Raul] Inst Natl Invest Desarrollo Pesquero, Phys Oceanog Program, Mar Del Plata, Argentina; [Moksnes, Per-Olav] Univ Gothenburg, Dept Biol &amp; Environm Sci, Gothenburg, Sweden; [Ndungu, Kuria] Univ Stockholm, Dept Appl Environm Sci, S-10691 Stockholm, Sweden; [Post, Anton F.] Marine Biol Lab, Woods Hole, MA 02543 USA; [Randall-Goodwin, Evan] Univ Calif Santa Cruz, Dept Ocean Sci, Santa Cruz, CA 95064 USA; [Riemann, Lasse] Univ Copenhagen, Dept Biol, DK-1168 Copenhagen, Denmark; [Thatje, Sven] Natl Oceanog Ctr, Southampton, Hants, England; [Wilson, Stephanie] Bangor Univ, Sch Ocean Sci, Anglesey, Wales</t>
  </si>
  <si>
    <t>University System of Georgia; University of Georgia; Rutgers University System; Rutgers University New Brunswick; Rutgers University System; Rutgers University New Brunswick; University of Colorado System; University of Colorado Boulder; Stanford University; UK Research &amp; Innovation (UKRI); Natural Environment Research Council (NERC); NERC British Antarctic Survey; Stanford University; Uppsala University; National Fisheries Research &amp; Development Institute (INIDEP); University of Gothenburg; Stockholm University; Marine Biological Laboratory - Woods Hole; University of California System; University of California Santa Cruz; University of Copenhagen; NERC National Oceanography Centre; Bangor University</t>
  </si>
  <si>
    <t>Yager, PL (corresponding author), Univ Georgia, Dept Marine Sci, Athens, GA 30602 USA.</t>
  </si>
  <si>
    <t>pyager@uga.edu</t>
  </si>
  <si>
    <t>ndungu, kuria/A-1639-2010; Lowry, Kate E/J-9449-2019; Abrahamsen, Povl/B-2140-2008; Van Dijken, Gert L/C-5276-2011; Schofield, Oscar/H-4169-2018; Riemann, Lasse/J-7091-2014; Yager, Patricia/K-8020-2014</t>
  </si>
  <si>
    <t>Lowry, Kate E/0000-0002-1604-5428; Abrahamsen, Povl/0000-0001-5924-5350; Schofield, Oscar/0000-0003-2359-4131; Riemann, Lasse/0000-0001-9207-2543; Wilson, Stephanie/0000-0002-1280-5506; Yager, Patricia/0000-0002-8462-6427; Van Dijken, Gert/0000-0002-9587-6317; Severmann, Silke/0000-0002-6578-2993; STAMMERJOHN, SHARON/0000-0002-1697-8244; Arrigo, Kevin/0000-0002-7364-876X</t>
  </si>
  <si>
    <t>National Science Foundation Office of Polar Programs, Antarctic Organisms and Ecosystems [ANT-0839069, ANT-0838995, ANT-0838975, ANT-0944727, ANT-0839012]; Swedish Research Council [2008-6430]; NERC [bas0100028] Funding Source: UKRI; Natural Environment Research Council [bas0100028] Funding Source: researchfish; Office of Polar Programs (OPP); Directorate For Geosciences [0838975, 0944727, 0839069, 0838995] Funding Source: National Science Foundation</t>
  </si>
  <si>
    <t>National Science Foundation Office of Polar Programs, Antarctic Organisms and Ecosystems(National Science Foundation (NSF)NSF - Directorate for Geosciences (GEO)); Swedish Research Council(Swedish Research Council);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</si>
  <si>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This project was funded by the National Science Foundation Office of Polar Programs, Antarctic Organisms and Ecosystems (ANT-0839069 to PY, ANT-0838995 to RS, ANT-0838975 to SS, ANT-0838995 to OS, ANT-0944727 to KA, and ANT-0839012 to Hugh Ducklow), and the Swedish Research Council (Grant 2008-6430 to SB and LR), with logistic support from the Swedish Polar Research Secretariat and Raytheon Polar Services. The often hectic, 24-hour multitasking operation of ASPIRE was only possible because of the efficient oceanographic platform offered by the Palmer and the superb teamwork among Captain Maghrabi and crew, the Raytheon support team, and the science party. Thanks to all, including the support teams back home. The underway pCO2 system onboard the Palmer is operated by the Carbon Dioxide Research Group of the Lamont-Doherty Earth Observatory at Columbia University. Jay B. Bauer created Figure 5. Thanks to those who contributed to the website (http://AntarcticASPIRE.org), which had over 16,000 hits from around the world during our expedition. ASPIRE's educational outreach efforts continue to develop as we build on the science story of our expeditions and bring those experiences into classrooms all over the world.</t>
  </si>
  <si>
    <t>10.5670/oceanog.2012.73</t>
  </si>
  <si>
    <t>gold, Green Accepted, Green Published</t>
  </si>
  <si>
    <t>WOS:000308774600009</t>
  </si>
  <si>
    <t>Rintoul, SR; Meredith, MP; Schofield, O; Newman, L</t>
  </si>
  <si>
    <t>Rintoul, Stephen R.; Meredith, Michael P.; Schofield, Oscar; Newman, Louise</t>
  </si>
  <si>
    <t>The Southern Ocean Observing System</t>
  </si>
  <si>
    <t>CO2</t>
  </si>
  <si>
    <t>[Rintoul, Stephen R.] Antarctic Climate &amp; Ecosyst Cooperat Res Ctr, CSIRO Marine &amp; Atmospher Res, Hobart, Tas, Australia; [Meredith, Michael P.] British Antarctic Survey, Polar Oceans Programme, Cambridge CB3 0ET, England; [Schofield, Oscar] Rutgers State Univ, New Brunswick, NJ 08903 USA; [Newman, Louise] Univ Tasmania, Inst Marine &amp; Antarctic Studies, Hobart, Tas, Australia</t>
  </si>
  <si>
    <t>Commonwealth Scientific &amp; Industrial Research Organisation (CSIRO); Antarctic Climate &amp; Ecosystems Cooperative Research Centre (ACE CRC); UK Research &amp; Innovation (UKRI); Natural Environment Research Council (NERC); NERC British Antarctic Survey; Rutgers University System; Rutgers University New Brunswick; University of Tasmania</t>
  </si>
  <si>
    <t>Rintoul, SR (corresponding author), Antarctic Climate &amp; Ecosyst Cooperat Res Ctr, CSIRO Marine &amp; Atmospher Res, Hobart, Tas, Australia.</t>
  </si>
  <si>
    <t>steve.rintoul@csiro.au</t>
  </si>
  <si>
    <t>Newman, Louise/Q-8592-2019; Newman, Louise/HNI-7544-2023; Rintoul, Stephen R/A-1471-2012; Schofield, Oscar/H-4169-2018</t>
  </si>
  <si>
    <t>Newman, Louise/0000-0001-9523-8713; Rintoul, Stephen R/0000-0002-7055-9876; Schofield, Oscar/0000-0003-2359-4131; Meredith, Michael/0000-0002-7342-7756</t>
  </si>
  <si>
    <t>Natural Environment Research Council [bas0100028] Funding Source: researchfish; NERC [bas0100028] Funding Source: UKRI</t>
  </si>
  <si>
    <t>10.5670/oceanog.2012.76</t>
  </si>
  <si>
    <t>Green Published, Green Accepted, gold</t>
  </si>
  <si>
    <t>WOS:000308774600012</t>
  </si>
  <si>
    <t>Measures, CI; Hatta, M; Grand, MM</t>
  </si>
  <si>
    <t>Measures, Christopher I.; Hatta, Mariko; Grand, Maxime M.</t>
  </si>
  <si>
    <t>Bioactive Trace Metal Distributions and Biogeochemical Controls in the Southern Ocean</t>
  </si>
  <si>
    <t>ANTARCTIC CIRCUMPOLAR CURRENT; LIMITS PHYTOPLANKTON GROWTH; DISSOLVED IRON; ROSS SEA; ATLANTIC SECTOR; AUSTRALIAN SECTOR; RADIUM ISOTOPES; ROSETTE SYSTEM; ZINC; MANGANESE</t>
  </si>
  <si>
    <t>Extensive sampling in many regions of the Southern Ocean has demonstrated that surface water concentrations of dissolved Fe are low enough to limit phytoplankton growth. In contrast, there is currently no evidence that other bioactive elements (e.g., Mn, Zn, Co) are similarly limiting. Although atmospheric input of dissolved Fe to Southern Ocean surface waters appears to be low, resuspension of sediments from shallow regions around islands and the Antarctic coastline can inject significant amounts of Fe into the surrounding waters, stimulating primary production and providing a natural laboratory for studying the response of biological systems to natural Fe fertilization processes. Future work using a multitracer approach across seasonal transitions would be particularly beneficial to quantifying input processes and fluxes. However, it would require the design of new sampling platforms that can accommodate trace metal sampling under extreme weather conditions.</t>
  </si>
  <si>
    <t>[Measures, Christopher I.; Hatta, Mariko; Grand, Maxime M.] Univ Hawaii, Dept Oceanog, Honolulu, HI 96822 USA</t>
  </si>
  <si>
    <t>University of Hawaii System</t>
  </si>
  <si>
    <t>Measures, CI (corresponding author), Univ Hawaii, Dept Oceanog, Honolulu, HI 96822 USA.</t>
  </si>
  <si>
    <t>chrism@soest.hawaii.edu</t>
  </si>
  <si>
    <t>Grand, Maxime/S-1898-2019</t>
  </si>
  <si>
    <t>Grand, Maxime/0000-0001-9338-694X; Hatta, Mariko/0000-0002-4892-7708; Measures, Chris/0000-0001-7129-6257</t>
  </si>
  <si>
    <t>NSF [OCE 0223397, 0649584, 0962393, OCE 9530961, OPP 0230445, 0443403, 0948357]; Directorate For Geosciences [0443403] Funding Source: National Science Foundation; Division Of Ocean Sciences; Directorate For Geosciences [0649584, 0962393] Funding Source: National Science Foundation; Office of Polar Programs (OPP) [0443403] Funding Source: National Science Foundation; Office of Polar Programs (OPP); Directorate For Geosciences [0948357] Funding Source: National Science Foundation</t>
  </si>
  <si>
    <t>NSF(National Science Foundation (NSF)); Directorate For Geosciences(National Science Foundation (NSF)NSF - Directorate for Geosciences (GEO)); Division Of Ocean Sciences;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</si>
  <si>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Thanks to Reiner Schlitzer, Alfred Wegener Institute, for producing the novel Ocean Data View (ODV) graphics in Figures 1, 3, and 4 (see ODV, http://odv.awi.de); to Chris Linder for the photos on the opening spread; and to two reviewers for their helpful comments. CIM thanks NSF for support through grants OCE 0223397, 0649584, and 0962393 for the CLIVAR data, OCE 9530961 for the JGOFS data in Figure 3, and OPP 0230445, 0443403, and 0948357 for the data in Figure 4. This is contribution #8688 of the School of Ocean and Earth Science and Technology, University of Hawaii.</t>
  </si>
  <si>
    <t>10.5670/oceanog.2012.85</t>
  </si>
  <si>
    <t>WOS:000308774600021</t>
  </si>
  <si>
    <t>Chereskin, TK; Donohue, KA; Watts, R</t>
  </si>
  <si>
    <t>Chereskin, Teresa K.; Donohue, Kathleen A.; Watts, Randolph</t>
  </si>
  <si>
    <t>cDrake: Dynamics and Transport of the Antarctic Circumpolar Current in Drake Passage</t>
  </si>
  <si>
    <t>[Chereskin, Teresa K.] Univ Calif San Diego, Scripps Inst Oceanog, San Diego, CA 92103 USA; [Donohue, Kathleen A.; Watts, Randolph] Univ Rhode Isl, Grad Sch Oceanog, Narragansett, RI 02882 USA</t>
  </si>
  <si>
    <t>University of California System; University of California San Diego; Scripps Institution of Oceanography; University of Rhode Island</t>
  </si>
  <si>
    <t>Chereskin, TK (corresponding author), Univ Calif San Diego, Scripps Inst Oceanog, San Diego, CA 92103 USA.</t>
  </si>
  <si>
    <t>tchereskin@ucsd.edu</t>
  </si>
  <si>
    <t>Chereskin, Teresa/0000-0003-1214-0978</t>
  </si>
  <si>
    <t>10.5670/oceanog.2012.86</t>
  </si>
  <si>
    <t>WOS:000308774600022</t>
  </si>
  <si>
    <t>Jacobs, S; Jenkins, A; Hellmer, H; Giulivi, C; Nitsche, F; Huber, B; Guerrero, R</t>
  </si>
  <si>
    <t>Jacobs, Stan; Jenkins, Adrian; Hellmer, Hartmut; Giulivi, Claudia; Nitsche, Frank; Huber, Bruce; Guerrero, Raul</t>
  </si>
  <si>
    <t>THE AMUNDSEN SEA AND THE ANTARCTIC ICE SHEET</t>
  </si>
  <si>
    <t>PINE ISLAND GLACIER; CIRCUMPOLAR DEEP-WATER; OCEAN CIRCULATION; WEST ANTARCTICA; SHELF CAVITY; MELT RATES; BENEATH; VARIABILITY; BAY; EMBAYMENT</t>
  </si>
  <si>
    <t>A few decades ago, Antarctic ice sheets were expected to grow as the atmosphere warmed and increasing poleward moisture transport added snowfall to regions that would remain below freezing year-round. Concerns about their sensitivity to climate change were centered on air temperature and on glacially paced ice dynamics. Southern Ocean roles were relegated to iceberg transport, a mix of melting and freezing under ice shelves buffered by the frigid shelf waters generated by sea ice production, and slow sea level rise by other forcing. At that time, observations were lacking in the remote Amundsen Sea, where difficult ice conditions have vexed explorers for more than 200 years. Mapping of its ocean structure and circulation began in 1994, revealing that warm Circumpolar Deep Water has access to its continental shelf. Glacially scoured troughs in the seafloor provide conduits for that seawater to melt regional ice shelves far more rapidly near their deep grounding lines. Coincident satellite data showed the ice shelves were thinning, in turn leading to accelerated glacier flow and loss of grounded ice to the sea. Repeated measurements and modeling suggest ocean changes that could impact the stability of the marine-based West Antarctic Ice Sheet.</t>
  </si>
  <si>
    <t>[Jacobs, Stan; Giulivi, Claudia; Nitsche, Frank; Huber, Bruce] Columbia Univ, Lamont Doherty Earth Observ, Palisades, NY USA; [Jenkins, Adrian] British Antarctic Survey, Cambridge CB3 0ET, England; [Hellmer, Hartmut] Alfred Wegener Inst, Bremerhaven, Germany; [Guerrero, Raul] Inst Natl Invest Desarrollo Pesquero, Phys Oceanog Program, Mar Del Plata, Buenos Aires, Argentina</t>
  </si>
  <si>
    <t>Columbia University; UK Research &amp; Innovation (UKRI); Natural Environment Research Council (NERC); NERC British Antarctic Survey; Helmholtz Association; Alfred Wegener Institute, Helmholtz Centre for Polar &amp; Marine Research; National Fisheries Research &amp; Development Institute (INIDEP)</t>
  </si>
  <si>
    <t>Jacobs, S (corresponding author), Columbia Univ, Lamont Doherty Earth Observ, Palisades, NY USA.</t>
  </si>
  <si>
    <t>sjacobs@ldeo.columbia.edu</t>
  </si>
  <si>
    <t>Jenkins, Adrian/IUN-2406-2023; Nitsche, Frank O/A-9343-2009</t>
  </si>
  <si>
    <t>Nitsche, Frank O/0000-0002-4137-547X; Huber, Bruce/0000-0001-6413-1614; Hellmer, Hartmut/0000-0002-9357-9853; Jenkins, Adrian/0000-0002-9117-0616</t>
  </si>
  <si>
    <t>US National Science Foundation; Office of Polar Programs; UK Natural Environment Research Council; Helmholtz Association of German Research Centres; US National Oceanic and Atmospheric Administration; NERC [bas0100028] Funding Source: UKRI; Natural Environment Research Council [bas0100028] Funding Source: researchfish</t>
  </si>
  <si>
    <t>US National Science Foundation(National Science Foundation (NSF)); Office of Polar Programs(National Science Foundation (NSF)NSF - Directorate for Geosciences (GEO)); UK Natural Environment Research Council(UK Research &amp; Innovation (UKRI)Natural Environment Research Council (NERC)); Helmholtz Association of German Research Centres(Helmholtz Association); US National Oceanic and Atmospheric Administration(National Oceanic Atmospheric Admin (NOAA) - USA); NERC(UK Research &amp; Innovation (UKRI)Natural Environment Research Council (NERC)); Natural Environment Research Council(UK Research &amp; Innovation (UKRI)Natural Environment Research Council (NERC))</t>
  </si>
  <si>
    <t>The work described here has been supported by the US National Science Foundation, in particular B. Lettau and the Office of Polar Programs, the UK Natural Environment Research Council, and Helmholtz Association of German Research Centres (HGF), with additional support from the US National Oceanic and Atmospheric Administration and other institutions. Our studies have benefited from the assistance of many individuals who spent long months at sea, edited our manuscripts, helped with calculations and administrative chores, and paid the taxes that enable scientific work in the polar regions.</t>
  </si>
  <si>
    <t>10.5670/oceanog.2012.90</t>
  </si>
  <si>
    <t>WOS:000308774600026</t>
  </si>
  <si>
    <t>Jenkins, A; Dutrieux, P; Jacobs, S; McPhail, S; Perrett, J; Webb, A; White, D</t>
  </si>
  <si>
    <t>Jenkins, Adrian; Dutrieux, Pierre; Jacobs, Stan; McPhail, Steve; Perrett, James; Webb, Andy; White, Dave</t>
  </si>
  <si>
    <t>Autonomous Underwater Vehicle Exploration of the Ocean Cavity Beneath an Antarctic Ice Shelf</t>
  </si>
  <si>
    <t>PINE ISLAND GLACIER</t>
  </si>
  <si>
    <t>[Jenkins, Adrian; Dutrieux, Pierre] British Antarctic Survey, Natl Environm Res Council, Cambridge CB3 0ET, England; [Jacobs, Stan] Columbia Univ, Lamont Doherty Earth Observ, Palisades, NY USA; [McPhail, Steve; Perrett, James; Webb, Andy; White, Dave] Natl Oceanog Ctr, Southampton, Hants, England</t>
  </si>
  <si>
    <t>UK Research &amp; Innovation (UKRI); Natural Environment Research Council (NERC); NERC British Antarctic Survey; Columbia University; NERC National Oceanography Centre</t>
  </si>
  <si>
    <t>Jenkins, A (corresponding author), British Antarctic Survey, Natl Environm Res Council, Cambridge CB3 0ET, England.</t>
  </si>
  <si>
    <t>ajen@bas.ac.uk</t>
  </si>
  <si>
    <t>Dutrieux, Pierre/GVS-2890-2022; Jenkins, Adrian/IUN-2406-2023</t>
  </si>
  <si>
    <t>Dutrieux, Pierre/0000-0002-8066-934X; Jenkins, Adrian/0000-0002-9117-0616</t>
  </si>
  <si>
    <t>Natural Environment Research Council [noc010003, noc010013, bas0100028, NE/G001367/1] Funding Source: researchfish; NERC [noc010003, NE/G001367/1, noc010013, bas0100028] Funding Source: UKRI</t>
  </si>
  <si>
    <t>10.5670/oceanog.2012.95</t>
  </si>
  <si>
    <t>gold, Green Accepted</t>
  </si>
  <si>
    <t>WOS:000308774600031</t>
  </si>
  <si>
    <t>Smith, PJ; Steinke, D; Dettai, A; McMillan, P; Welsford, D; Stewart, A; Ward, RD</t>
  </si>
  <si>
    <t>Smith, P. J.; Steinke, D.; Dettai, A.; McMillan, P.; Welsford, D.; Stewart, A.; Ward, R. D.</t>
  </si>
  <si>
    <t>DNA barcodes and species identifications in Ross Sea and Southern Ocean fishes</t>
  </si>
  <si>
    <t>DNA barcode; Southern Ocean; Fishes; Species identification</t>
  </si>
  <si>
    <t>ANTARCTIC NOTOTHENIOID FISHES; TREMATOMUS NOTOTHENIOIDEI; POPULATION-STRUCTURE; MITOCHONDRIAL-DNA; GENETIC DIVERSITY; POLAR FRONT; TOOTHFISH; PHYLOGENY; BARRIERS; ODONTASTERIDAE</t>
  </si>
  <si>
    <t>The Southern Ocean occupies about 10 % of the world's oceans but has low species richness with only similar to 1.5 % of the marine fishes. Within the Southern Ocean, the Ross Sea region is one of the least exploited sea areas in the world, but is subject to commercial fishing. The fauna are not well known, and preliminary IPY molecular studies have indicated that species diversity has been underestimated in this region. DNA barcodes of fishes from the Ross Sea region were compared with barcodes of fishes from the Atlantic and Indian Ocean sectors of the Southern Ocean. Barcoding resolved 87.5 % of 112 species that typically exhibited high inter-specific divergences. Intra-specific divergence was usually low with shared haplotypes among regions. The Zoarcid Ophthalmolycus amberensis showed shallow divergences (0.1 %) within the Ross Sea and Australian Antarctic Territory but high inter-region divergence (2 %), indicative of cryptic species. Other potential cryptic species with high intra-specific divergences were found in Notolepis coatsi and Gymnoscopelus bolini. In contrast, several taxa showed low inter-specific divergences and shared haplotypes among morphological species. COI provided limited phylogenetic resolution of the genera Pogonophryne and Bathydraco. Trematomus loennbergii and T. lepidorhinus shared COI haplotypes, as previously noted in other regions, as did Cryodraco antarcticus and C. atkinsoni. There was a marked lack of congruence between morphological descriptions and COI divergences among the Ross Sea liparids with shallow or zero divergences among recently described species. Barcodes for the Ross Sea fishes highlighted several initial misidentifications that were corrected when specimens were re-examined.</t>
  </si>
  <si>
    <t>[Smith, P. J.] Natl Museum Victoria, Melbourne, Vic 3001, Australia; [Steinke, D.] Univ Guelph, Canadian Ctr DNA Barcoding, Biodivers Inst Ontario, Guelph, ON N1G 2W1, Canada; [Dettai, A.] Museum Natl Hist Nat, Dept Systemat &amp; Evolut, UMR 7138, CP 26, F-75231 Paris 05, France; [McMillan, P.] Natl Inst Water &amp; Atmospher Res Ltd, Wellington, New Zealand; [Welsford, D.] Australian Antarctic Div, Kingston, Tas 7050, Australia; [Stewart, A.] Museum New Zealand Te Papa Tongarewa, Wellington, New Zealand; [Ward, R. D.] CSIRO Marine &amp; Atmospher Res, Wealth Oceans Flagship, Hobart, Tas 7001, Australia</t>
  </si>
  <si>
    <t>Melbourne Genomics Health Alliance; Museum Victoria; University of Guelph; Museum National d'Histoire Naturelle (MNHN); Sorbonne Universite; National Institute of Water &amp; Atmospheric Research (NIWA) - New Zealand; Australian Antarctic Division; Commonwealth Scientific &amp; Industrial Research Organisation (CSIRO)</t>
  </si>
  <si>
    <t>Smith, PJ (corresponding author), Natl Museum Victoria, GPO Box 666, Melbourne, Vic 3001, Australia.</t>
  </si>
  <si>
    <t>h.p.smithnz@gmail.com</t>
  </si>
  <si>
    <t>Steinke, Dirk/D-4700-2009; Stewart, Andrew/HGC-0709-2022; Dettai, Agnes/Q-6743-2019; Ward, Robert D/A-2319-2012</t>
  </si>
  <si>
    <t>Welsford, Dirk/0000-0001-5379-5052; Stewart, Andrew/0000-0001-8354-3032; Steinke, Dirk/0000-0002-8992-575X</t>
  </si>
  <si>
    <t>New Zealand Government; National Institute of Water and Atmospheric Research Ltd.; Alfred P. Sloan Foundation; Government of Canada through Genome Canada, through the Ontario Genomics Institute [2008-0GI-ICI-03]; Australian Antarctic Division; TRV Umitaka Maru (IPY) [53]; Japanese Science Foundation; French polar institute IPEV (ICOTA and REVOLTA programs); CNRS; MNHN; ANR [07-BLAN-0213-01]; Ministry of Fisheries Science Team and Ocean Survey; Land Information New Zealand; Antarctica New Zealand; Ministry of Foreign Affairs and Trade</t>
  </si>
  <si>
    <t>New Zealand Government; National Institute of Water and Atmospheric Research Ltd.; Alfred P. Sloan Foundation(Alfred P. Sloan Foundation); Government of Canada through Genome Canada, through the Ontario Genomics Institute; Australian Antarctic Division; TRV Umitaka Maru (IPY); Japanese Science Foundation; French polar institute IPEV (ICOTA and REVOLTA programs); CNRS(Centre National de la Recherche Scientifique (CNRS)); MNHN; ANR(Agence Nationale de la Recherche (ANR)); Ministry of Fisheries Science Team and Ocean Survey; Land Information New Zealand; Antarctica New Zealand; Ministry of Foreign Affairs and Trade</t>
  </si>
  <si>
    <t>We are grateful to the New Zealand Ministry of Fisheries and CCAMLR Scientific Observers, and to the Australian Fisheries Management Authority observers for the collection of specimens in the commercial fisheries in the Ross Sea region, the Australian Antarctic Territory, and the Indian Ocean. Additional Ross Sea IPY specimens were collected and identified by Peter McMillan and Andrew Stewart aboard the NIWA Research vessel Tangaroa. Peter Smith, Peter McMillan, and Andrew Stewart were supported by the New Zealand Government under the NZ International Polar Year-Census of Antarctic Marine Life Project and acknowledge the Ministry of Fisheries Science Team and Ocean Survey 20/20 CAML Advisory Group (Land Information New Zealand, Ministry of Fisheries, Antarctica New Zealand, Ministry of Foreign Affairs and Trade, and National Institute of Water and Atmospheric Research Ltd.). D. Steinke and laboratory analyses of sequences generated at the Canadian Centre for DNA Barcoding (CCDB) were supported by funding of the Alfred P. Sloan Foundation to MarBOL and by the Government of Canada through Genome Canada, through the Ontario Genomics Institute (2008-0GI-ICI-03). Preservation and storage costs for voucher specimens from the Ross Sea registered into the Museum of New Zealand Te Papa Tongarewa were provided by the Te Papa Collection Development programme. The collection and study of the East Antarctic specimens from the CAML-CEAMARC cruises of the RSV Aurora Australis and the TRV Umitaka Maru (IPY project no. 53) were supported by the Australian Antarctic Division, the Japanese Science Foundation, the French polar institute IPEV (ICOTA and REVOLTA programs), the CNRS, the MNHN, and the ANR (White Project ANTFLOCKs USAR no. 07-BLAN-0213-01 directed by Guillaume Lecointre). We are grateful to Anton Van de Putte (Leuven, Belgium), Olly Berry, and Sharon Appleyard (Hobart, Australia), and two anonymous referees for constructive comments on the manuscript.</t>
  </si>
  <si>
    <t>10.1007/s00300-012-1173-8</t>
  </si>
  <si>
    <t>WOS:000306848300002</t>
  </si>
  <si>
    <t>Moya, F; Saucède, T; Manjón-Cabeza, ME</t>
  </si>
  <si>
    <t>Moya, Francina; Saucede, Thomas; Eugenia Manjon-Cabeza, M.</t>
  </si>
  <si>
    <t>Environmental control on the structure of echinoid assemblages in the Bellingshausen Sea (Antarctica)</t>
  </si>
  <si>
    <t>Abiotic factors; Antarctic; Bellingshausen Sea; Benthos; Diversity; Echinodermata; Echinoidea</t>
  </si>
  <si>
    <t>SOUTH SHETLAND ISLANDS; ADELAIDE ISLAND; WEST ANTARCTICA; BIODIVERSITY; COMMUNITIES; SCALE; DIVERSITY; CRUSTACEA; ABUNDANCE; DECAPODA</t>
  </si>
  <si>
    <t>The Bellingshausen Sea is one of the most remote and least surveyed seas of the Southern Ocean, so that little was known about benthic communities and those factors that determine community structuring until recently. The present work aims at characterizing the structure and spatial distribution of echinoid assemblages in the Bellingshausen Sea, as well as identifying the environmental factors that determine assemblage structuring. Echinoids were collected at 32 stations using an Agassiz trawl, at depths of 86-3,304 m, during BENTART oceanographic expeditions led in 2003 and 2006. Sediment and bottom water properties were analysed using an USNEL-type box corer and a Neil Brown Instrument System Mark III CTD, respectively. Echinoids were found at all stations, except Peter I Island. Seventeen species were identified, representing 22 % of the echinoid species present in the Southern Ocean and increasing twofold the number of species recorded in the Bellingshausen Sea so far. The echinoid fauna is dominated by the very abundant species Sterechinus antarcticus. Depth is the key factor that determines the nature of echinoid assemblages, which are mainly divided into the continental shelf, the slope and the deep-sea basin. In addition, sediment properties, namely redox values, organic matter and mud content, best match species dispersion on the shelf. Sediment properties affect echinoid distribution depending on species food range and feeding strategy. As it might be expected, sediment properties more strongly influence specialist feeders (Schizasteridae and Cidaridae) than generalists (Echinidae).</t>
  </si>
  <si>
    <t>[Eugenia Manjon-Cabeza, M.] Univ Malaga, Fac Sci, Dept Anim Biol, E-29071 Malaga, Spain; [Moya, Francina] Spanish Oceanog Inst, Ctr Malaga, Malaga 29640, Spain; [Saucede, Thomas] Univ Bourgogne, CNRS, UFR Sci Vie Terre &amp; Environm, UMR Biogeosci 5561, F-21000 Dijon, France</t>
  </si>
  <si>
    <t>Universidad de Malaga; Universite de Bourgogne; Centre National de la Recherche Scientifique (CNRS)</t>
  </si>
  <si>
    <t>Manjón-Cabeza, ME (corresponding author), Univ Malaga, Fac Sci, Dept Anim Biol, Campus Teatinos S-N, E-29071 Malaga, Spain.</t>
  </si>
  <si>
    <t>mecloute@uma.es</t>
  </si>
  <si>
    <t>Manjón-Cabeza, M. Eugenia/L-1761-2014; Ruiz, Francina Moya/ABG-7764-2020</t>
  </si>
  <si>
    <t>Manjón-Cabeza, M. Eugenia/0000-0002-4014-6763;</t>
  </si>
  <si>
    <t>Spanish MCYT funds [REN2003-01881/ANT, REN2001-1074/ANT, GLC2004-01856/ANT, CGL2004-04684/ANT]; Spanish Government [CGL2004-21066-E]; Belgian Science Policy (PADDII projects); Agence Nationale de la Recherche project ANTFLOCKS [ANR-07-BLAN-0213]; Agence Nationale de la Recherche (ANR) [ANR-07-BLAN-0213] Funding Source: Agence Nationale de la Recherche (ANR)</t>
  </si>
  <si>
    <t>Spanish MCYT funds(Spanish Government); Spanish Government(Spanish Government); Belgian Science Policy (PADDII projects); Agence Nationale de la Recherche project ANTFLOCKS(Agence Nationale de la Recherche (ANR)); Agence Nationale de la Recherche (ANR)(Agence Nationale de la Recherche (ANR))</t>
  </si>
  <si>
    <t>The 'BENTART-03' cruise was included within the Project REN2003-01881/ANT supported by the Spanish MCYT funds. The 'BENTART-06' cruise was funded by the Antarctic Program CGL2004-21066-E of the Spanish Government. TS was granted by the BIANZO I and II projects supported by the Belgian Science Policy (PADDII projects), and his work contributes to the Agence Nationale de la Recherche project ANTFLOCKS (grant ANR-07-BLAN-0213). The faunal studies were supported by the Spanish MCYT funds coming from the projects: REN2001-1074/ANT, REN2003-01881/ANT, GLC2004-01856/ANT and CGL2004-04684/ANT. We would like to express our thanks to the crew and UTM technicians of the RV 'Hesperides' for their help in collecting samples and to Sanjay Giany, native English teacher for the revision of the manuscript. Authors are greatly indebted to D. Pawson, B. Bluhm and J. Gutt for significantly improving the quality of the manuscript.</t>
  </si>
  <si>
    <t>10.1007/s00300-012-1176-5</t>
  </si>
  <si>
    <t>WOS:000306848300005</t>
  </si>
  <si>
    <t>Ameneiro, J; Mouriño-Carballido, B; Parapar, J; Vázquez, E</t>
  </si>
  <si>
    <t>Ameneiro, J.; Mourino-Carballido, B.; Parapar, J.; Vazquez, E.</t>
  </si>
  <si>
    <t>Abundance and distribution of invertebrate larvae in the Bellingshausen Sea (West Antarctica)</t>
  </si>
  <si>
    <t>Bellingshausen Sea; Antarctica; Invertebrate larvae; Distribution; Diversity</t>
  </si>
  <si>
    <t>BENTHIC MARINE-INVERTEBRATES; KRILL EUPHAUSIA-SUPERBA; MARGINAL ICE-ZONE; ROSS SEA; COMMUNITY STRUCTURE; PELAGIC LARVAE; MEROPLANKTON COMMUNITY; ZOOPLANKTON BIOMASS; VERTICAL MIGRATION; SEASONAL-VARIATION</t>
  </si>
  <si>
    <t>The central part of the Bellingshausen Sea has been poorly studied, partly because of the presence of ice during most of the year. The main aim of this study was to analyse the abundance and distribution of meroplankton, and the influence of oceanographic properties were investigated in the Bellingshausen Sea (West Antarctica) during the BENTART-06 cruise carried out in January-February 2006. Zooplankton samples were collected with a 80-mu m mesh plankton net hauled vertically from a depth of 200 m to the surface at fifteen stations across the Bellingshausen Sea. Fifteen types of larval benthic invertebrates were found, with echinospira and nudibranch veligers being the most abundant. Hierarchical analysis and non-metric multidimensional scaling revealed a high degree of spatial variability in both larval abundance and larval types across the Bellingshausen Sea. The variability was significantly correlated with total chlorophyll-a and the contribution of large (&gt; 5 mu m) phytoplankton to total chlorophyll, indicating the availability of food as an important factor determining the larval distribution observed. Nudibranch veligers, nemertean pilidia, echinoderm and planula larvae were more abundant at stations in the central Bellingshausen Sea, which was characterized by low phytoplankton biomass and production. Higher abundances of echinospira veligers and polychaete larvae were found at the more productive stations close to Peter I Island and the Antarctic Peninsula. The abundance and diversity of larval types found in the Bellingshausen Sea during the BENTART-06 cruise support the hypothesis that indirect development through larval swimming stages plays a key role in benthic recruitment in polar areas.</t>
  </si>
  <si>
    <t>[Ameneiro, J.; Mourino-Carballido, B.; Vazquez, E.] Univ Vigo, Fac Ciencias Mar, Dpt Ecoloxia &amp; Bioloxia Anim, Vigo 36200, Spain; [Parapar, J.] Univ A Coruna, Fac Ciencias, Dpt Bioloxia Anim Bioloxia Vexetal &amp; Ecoloxia, La Coruna 15008, Spain</t>
  </si>
  <si>
    <t>Universidade de Vigo; Universidade da Coruna</t>
  </si>
  <si>
    <t>Ameneiro, J (corresponding author), Univ Vigo, Fac Ciencias Mar, Dpt Ecoloxia &amp; Bioloxia Anim, Campus As Lagoas Marcosende, Vigo 36200, Spain.</t>
  </si>
  <si>
    <t>julia.ameneiro@uvigo.es</t>
  </si>
  <si>
    <t>Vázquez, Elsa/D-7082-2013; Mourino, Beatriz/E-8635-2016; Parapar, Julio/J-4150-2014</t>
  </si>
  <si>
    <t>Vazquez, Elsa/0000-0003-0782-4734; Parapar, Julio/0000-0001-7585-6995; Mourino-Carballido, Beatriz/0000-0001-7961-1477</t>
  </si>
  <si>
    <t>Spanish BENTART Project; Spanish Ministry of Science and Technology [CGL2004/01856]; MEC [CTM2008-06343-C02]; MICINN-RYC</t>
  </si>
  <si>
    <t>Spanish BENTART Project; Spanish Ministry of Science and Technology(Spanish Government); MEC; MICINN-RYC</t>
  </si>
  <si>
    <t>The authors thank A. Ramos, leader of the Spanish BENTART Project, for support for this study during the expedition, and J. Troncoso (Univ. Vigo), F. Garcia (Univ. Pablo de Olavide, Sevilla), Ma Eugenia Manjon (Univ. Malaga), Jordi Corbera, Francina Moya (Instituto Espanol de Oceanografia, Malaga) and Pilar Rios for their help in collecting the samples. We extend our thanks to all the scientists participating in the BENTART-06 cruise, officers, crew and UTM technicians of the RV Hesperides for their invaluable help. The authors also thank J. Pearse and another two anonymous reviewers whose comments helped us to improve the final paper. The study is a result of the BENTART Project sponsored by the Spanish Ministry of Science and Technology (CGL2004/01856). J. Ameneiro was in receipt of a grant from the MEC (Project CTM2008-06343-C02), and B. Mourino-Carballido was financially supported by the MICINN-RYC program.</t>
  </si>
  <si>
    <t>10.1007/s00300-012-1177-4</t>
  </si>
  <si>
    <t>WOS:000306848300006</t>
  </si>
  <si>
    <t>Bilyk, KT; Evans, CW; DeVries, AL</t>
  </si>
  <si>
    <t>Bilyk, Kevin T.; Evans, Clive W.; DeVries, Arthur L.</t>
  </si>
  <si>
    <t>Heat hardening in Antarctic notothenioid fishes</t>
  </si>
  <si>
    <t>Heat hardening; Antarctica; Heat tolerance; Antarctic fish; CTMax; Critical thermal maximum</t>
  </si>
  <si>
    <t>CRITICAL THERMAL MAXIMUM; PAGOTHENIA-BORCHGREVINKI; SHOCK PROTEINS; TOLERANCE; TEMPERATURE; ACCLIMATION; THERMOTOLERANCE; SALAMANDERS; ADAPTATION; EXPRESSION</t>
  </si>
  <si>
    <t>Many ectotherms rapidly acquire a short-lived increase in heat tolerance following a heat shock. This capacity to heat harden has been noted in a number of temperate fishes, but it is unknown whether it can also be found among the stenothermal Antarctic notothenioid fishes. To investigate, specimens of six notothenioid species were first brought to their critical thermal maxima (CTMax), and then following a recovery period of 4-24 h, a second CTMax was determined for each species to test for an increase in heat tolerance. All six species showed a significant increase over their initial CTMaxs, providing evidence for the existence of heat hardening in notothenioids. The magnitude of this increase ranged from 0.6 +/- A 0.29 to 1.8 A degrees C +/- A 0.45, comparable to previously reported values from several temperate fishes and amphibians. This suggests that the heat hardening of Antarctic notothenioids remains undiminished despite their limited heat tolerance and provides further evidence that these fishes retain plasticity in their responses to heat despite their historical residence in a constant cold environment.</t>
  </si>
  <si>
    <t>[Bilyk, Kevin T.; DeVries, Arthur L.] Univ Illinois, Dept Anim Biol, Urbana, IL 61801 USA; [Evans, Clive W.] Univ Auckland, Sch Biol Sci, Auckland 1, New Zealand</t>
  </si>
  <si>
    <t>University of Illinois System; University of Illinois Urbana-Champaign; University of Auckland</t>
  </si>
  <si>
    <t>Bilyk, KT (corresponding author), Univ Illinois, Dept Anim Biol, 515 Morrill Hall,505 S Goodwin Ave, Urbana, IL 61801 USA.</t>
  </si>
  <si>
    <t>kbilyk@life.uiuc.edu</t>
  </si>
  <si>
    <t>Evans, Clive/AAZ-4699-2021</t>
  </si>
  <si>
    <t>Evans, Clive/0000-0003-2888-842X; Bilyk, Kevin/0000-0002-2262-2703</t>
  </si>
  <si>
    <t>NSF Office of Polar Programs [OPP-Ant-0231006]</t>
  </si>
  <si>
    <t>The authors would like to thank the crew of R/V L.M. Gould, the contractors and employees of the Raytheon Polar Services Corporation, and staff and colleagues at Scott Base. Additional thanks go to Lauren G. Fields for determining CTMaxs in G. acuticeps. Funding for this work was provided by NSF Office of Polar Programs grant OPP-Ant-0231006 to A.L. DeVries and C-HC Cheng.</t>
  </si>
  <si>
    <t>10.1007/s00300-012-1189-0</t>
  </si>
  <si>
    <t>WOS:000306848300013</t>
  </si>
  <si>
    <t>Barbosa, A; Benzal, J; De León, A; Moreno, J</t>
  </si>
  <si>
    <t>Barbosa, A.; Benzal, J.; De Leon, A.; Moreno, J.</t>
  </si>
  <si>
    <t>Population decline of chinstrap penguins (Pygoscelis antarctica) on Deception Island, South Shetlands, Antarctica</t>
  </si>
  <si>
    <t>Antarctica; Breeding success; Climate change; Chinstrap penguin; Human impact; Krill reduction; Pygoscelis antarctica; Population decline; South Shetlands</t>
  </si>
  <si>
    <t>PENINSULA; VARIABILITY; SURFACE; SIZE</t>
  </si>
  <si>
    <t>Population changes of top predators can provide key indications of environmental quality. In the Antarctic ecosystem, population dynamics of top predators like penguins may yield important information about how the environment is changing. From 1991-1992 to 2008-2009 censuses of the chinstrap penguin (Pygoscelis antarctica), breeding population of Vapour Col in Deception Island (South Shetlands Islands) were carried out. Censuses were conducted on 19 sub-colonies, mainly in December around the time of peak hatching. Nest counts were taken from photographs that were recorded from a standard location. Some censuses were also made in mid-January in 1999, 2006, 2007 and 2008. Our results reveal that the population has declined by 36 % when comparing data from 1991 with those from 2008. The strongest decline occurred since 2000. No temporal trends were detected in reproductive success. Declines of Chinstrap penguin populations constitute a general pattern in the South Shetlands, and it has been suggested to be related to climate change through effects of reduction in sea-ice extent during winter and a consequent decline in the abundance of krill.</t>
  </si>
  <si>
    <t>[Barbosa, A.; De Leon, A.; Moreno, J.] CSIC, Museo Nacl Ciencias Nat, Dept Ecol Evolut, E-28006 Madrid, Spain; [Benzal, J.] CSIC, Estn Expt Zonas Aridas, Dept Ecol Func &amp; Evolut, La Canada De San Urbano 04120, Almeria, Spain</t>
  </si>
  <si>
    <t>Consejo Superior de Investigaciones Cientificas (CSIC); CSIC - Museo Nacional de Ciencias Naturales (MNCN); Consejo Superior de Investigaciones Cientificas (CSIC); CSIC - Estacion Experimental de Zonas Aridas (EEZA)</t>
  </si>
  <si>
    <t>Barbosa, A (corresponding author), CSIC, Museo Nacl Ciencias Nat, Dept Ecol Evolut, C Jose Gutierrez Abascal 2, E-28006 Madrid, Spain.</t>
  </si>
  <si>
    <t>barbosa@mncn.csic.es</t>
  </si>
  <si>
    <t>Benzal, Jesús/T-4555-2017; Moreno, Juan/AAB-1307-2019; Barbosa, Andrés/C-3208-2008</t>
  </si>
  <si>
    <t>Moreno, Juan/0000-0003-1508-7295; Barbosa, Andrés/0000-0001-8434-3649</t>
  </si>
  <si>
    <t>Spanish Ministry [ANT90-1079-E, ANT91-1264, ANT94-0036, ANT97-1906-E, ANT98-1443-E, CGL2004-01348, CGL2007-60369]; Spanish Polar Committee</t>
  </si>
  <si>
    <t>Spanish Ministry(Spanish Government); Spanish Polar Committee</t>
  </si>
  <si>
    <t>Procedures used in this study comply with the current laws for working in Antarctica. Permission to work in the study area and for penguin handling was granted by the Spanish Polar Committee. This study has been supported by the projects ANT90-1079-E, ANT91-1264, ANT94-0036, ANT97-1906-E, ANT98-1443-E, CGL2004-01348 and CGL2007-60369 of Spanish Ministry responsible for Science during two decades.</t>
  </si>
  <si>
    <t>10.1007/s00300-012-1196-1</t>
  </si>
  <si>
    <t>WOS:000306848300014</t>
  </si>
  <si>
    <t>Pardo, PC; Pérez, FF; Velo, A; Gilcoto, M</t>
  </si>
  <si>
    <t>Pardo, Paula C.; Perez, Fiz F.; Velo, Anton; Gilcoto, Miguel</t>
  </si>
  <si>
    <t>Water masses distribution in the Southern Ocean: Improvement of an extended OMP (eOMP) analysis</t>
  </si>
  <si>
    <t>BOTTOM WATER; THERMOCLINE CIRCULATION; ANTHROPOGENIC CO2; WILKES-LAND; DEEP-OCEAN; INTERMEDIATE; RADIOCARBON; VENTILATION; ATLANTIC; SECTION</t>
  </si>
  <si>
    <t>The Southern Ocean (SO) is a major part of the global ocean circulation. The formation and mixing of water masses in the SO cause changes in the northward flow of the Meridional Overturning Circulation and as a consequence, in the Earth's climate. There have been numerous studies of the SO but a full understanding is difficult to achieve due to the complexity of the processes of formation and mixing of the different water masses. This work aims to clarify some of these aspects through an extended Optimum Multiparametric analysis, using data downloaded from the GLODAP and CARINA databases. A total of 11 source water masses were selected accurately describe the physical and biochemical properties of the SO. Shelf surface waters were included in order to accommodate the complex shelf processes involved in the formation of Antarctic bottom Waters. The methodology here developed takes into account the remineralisation of organic matter and as an improvement; the variability of data related to the processes of dissolution of CaCO3 and opal. The results from this analysis are accurate and reliable and led to very informative conclusions. Thus, a volumetric census is presented, which confirms Circumpolar Deep Water (CDW; 53 +/- 3% of the SO volume) as the most volumetrically important water mass in the SO; followed by Antarctic Bottom Water (AABW; 17 +/- 0.9%) and North Atlantic Deep Water (NADW; 13 +/- 0.8%). AABW properties are the result of the predefined combination of its three major types, i.e., 77% Weddell Sea Bottom Water, 20% Ross Sea Bottom Water and 3% Adelie Bottom Water. CDW comprises 65% AABW, 30% NADW and 5% Antarctic Intermediate Water, according to the relationship between their conservative properties (potential temperature and salinity). Therefore, the volume occupied by AABW and NADW in the SO rises to 51 +/- 2% and 28 +/- 0.8%, respectively. The ratio between AABW and NADW is 1.79 +/- 0.03, which is inside the expected range of 1-3. Considering the Atlantic sector of the SO (70 degrees W-80 degrees E), which is the more relevant in terms of AABW production (AABW represents 60 +/- 0.2% of the volume of the sector), the estimated ventilation time is approximately 250 years, the same period as for the whole SO. This demonstrates the very important role of shelf processes in the quantity of AABW formed in the SO and its crucial role in terms of global climate. (C) 2012 Elsevier Ltd. All rights reserved.</t>
  </si>
  <si>
    <t>[Pardo, Paula C.; Perez, Fiz F.; Velo, Anton; Gilcoto, Miguel] CSIC, IIM, Vigo, Spain</t>
  </si>
  <si>
    <t>Consejo Superior de Investigaciones Cientificas (CSIC); CSIC - Instituto de Investigaciones Marinas (IIM)</t>
  </si>
  <si>
    <t>Pardo, PC (corresponding author), CSIC, IIM, Vigo, Spain.</t>
  </si>
  <si>
    <t>pconde@iim.csic.es</t>
  </si>
  <si>
    <t>Fernandez Perez, Fiz/B-9001-2011; C. Pardo, Paula/A-8217-2019; Velo, Anton/B-4172-2019; Gil Coto, Miguel/B-4120-2015</t>
  </si>
  <si>
    <t>Fernandez Perez, Fiz/0000-0003-4836-8974; C. Pardo, Paula/0000-0001-6348-2332; Velo, Anton/0000-0002-7598-5700; Gil Coto, Miguel/0000-0003-3025-4258</t>
  </si>
  <si>
    <t>EU [C_ENVIR/0869]; Spanish Ministry of Education and Sciences [CTM2010-17141/MAR]</t>
  </si>
  <si>
    <t>EU(European Union (EU)); Spanish Ministry of Education and Sciences(Spanish Government)</t>
  </si>
  <si>
    <t>We would extend our gratitude to the scientists and crew from the ships participating in the different cruises and collecting data for CARINA and GLODAP databases. This study was funded by the 7th Framework Programme (EU FP CARBOCHANGE, C_ENVIR/0869) and by the Spanish Ministry of Education and Sciences through the Projects CATARINA (CTM2010-17141/MAR).</t>
  </si>
  <si>
    <t>10.1016/j.pocean.2012.06.002</t>
  </si>
  <si>
    <t>WOS:000308453300006</t>
  </si>
  <si>
    <t>Murphy, EJ; Cavanagh, RD; Hofmann, EE; Hill, SL; Constable, AJ; Costa, DP; Pinkerton, MH; Johnston, NM; Trathan, PN; Klinck, JM; Wolf-Gladrow, DA; Daly, KL; Maury, O; Doney, SC</t>
  </si>
  <si>
    <t>Murphy, E. J.; Cavanagh, R. D.; Hofmann, E. E.; Hill, S. L.; Constable, A. J.; Costa, D. P.; Pinkerton, M. H.; Johnston, N. M.; Trathan, P. N.; Klinck, J. M.; Wolf-Gladrow, D. A.; Daly, K. L.; Maury, O.; Doney, S. C.</t>
  </si>
  <si>
    <t>Developing integrated models of Southern Ocean food webs: Including ecological complexity, accounting for uncertainty and the importance of scale</t>
  </si>
  <si>
    <t>KRILL EUPHAUSIA-SUPERBA; MARGINAL ICE-ZONE; END-TO-END; SIZE-FRACTIONATED PHYTOPLANKTON; WEST ANTARCTIC PENINSULA; NATURAL GROWTH-RATES; SCOTIA SEA; POPULATION-DYNAMICS; CLIMATE-CHANGE; ROSS SEA</t>
  </si>
  <si>
    <t>The Southern Ocean supports diverse and unique ecosystems that have been impacted by more than two centuries of exploitation and are now experiencing rapid changes in ocean temperature and seasonal ice cover due to climate warming. Understanding and projecting responses of Southern Ocean marine ecosystems to changing climate conditions and direct human impacts, such as fisheries, requires integrated ecosystem analyses at scales previously unexplored. Here we consider the main ecological and modelling challenges in predicting the responses of Southern Ocean ecosystems to change, and propose three inter-linked focus areas that will advance the development of integrated models for Southern Ocean ecosystems. The first focus area is development of fundamental understanding of the factors that determine the structure and function of the food webs at multiple scales. Ecological research in the Southern Ocean is often centred on key species or localised systems, a tendency which is reflected in existing food web and ecosystem models. To build on this, a systematic analysis of regional food web structure and function is required. The second focus area is development of a range of mechanistic models that vary in their resolution of ecological processes, and consider links across physical scales, biogeochemical cycles and feedbacks, and the central role of zooplankton. These two focus areas underlie the third, which is development of methodologies for scenario testing across a range of trophic levels of the effects of past and future changes, which will facilitate consideration of the underlying complexity of interactions and the associated uncertainty. The complex nature of interactions determining Southern Ocean ecosystem structure and function will require new approaches, which we propose should be developed within a scale-based framework that emphasises both physical and ecological aspects. (C) 2012 Elsevier Ltd. All rights reserved.</t>
  </si>
  <si>
    <t>[Murphy, E. J.; Cavanagh, R. D.; Hill, S. L.; Johnston, N. M.; Trathan, P. N.] British Antarctic Survey, Cambridge CB3 0ET, England; [Hofmann, E. E.; Klinck, J. M.] Old Dominion Univ, Ctr Coastal &amp; Phys Oceanog, Norfolk, VA USA; [Constable, A. J.] Australian Antarctic Div, Kingston, Tas 7050, Australia; [Costa, D. P.] Univ Calif Santa Cruz, Dept Ecol &amp; Evolutionary Biol, Santa Cruz, CA 95064 USA; [Pinkerton, M. H.] Natl Inst Water &amp; Atmospher Res, Wellington, New Zealand; [Wolf-Gladrow, D. A.] Alfred Wegener Inst Polar &amp; Marine Res, D-27570 Bremerhaven, Germany; [Daly, K. L.] Univ S Florida, Coll Marine Sci, St Petersburg, FL 33701 USA; [Maury, O.] Ctr Rech Halieut Mediterraneennes &amp; Trop, Inst Rech Dev, F-34203 Sete, France; [Doney, S. C.] Woods Hole Oceanog Inst, Woods Hole, MA 02543 USA</t>
  </si>
  <si>
    <t>UK Research &amp; Innovation (UKRI); Natural Environment Research Council (NERC); NERC British Antarctic Survey; Old Dominion University; Australian Antarctic Division; University of California System; University of California Santa Cruz; National Institute of Water &amp; Atmospheric Research (NIWA) - New Zealand; Helmholtz Association; Alfred Wegener Institute, Helmholtz Centre for Polar &amp; Marine Research; State University System of Florida; University of South Florida; Institut de Recherche pour le Developpement (IRD); Woods Hole Oceanographic Institution</t>
  </si>
  <si>
    <t>Murphy, EJ (corresponding author), British Antarctic Survey, Madingley Rd, Cambridge CB3 0ET, England.</t>
  </si>
  <si>
    <t>e.murphy@bas.ac.uk</t>
  </si>
  <si>
    <t>Carlos, Universidade Federal de São/W-8832-2019; murphy, eugene/GZL-1620-2022; Doney, Scott/F-9247-2010; Maury, Olivier/I-4513-2013; Simeon, Hill L/B-2307-2008; Costa, Daniel Paul/E-2616-2013</t>
  </si>
  <si>
    <t>Carlos, Universidade Federal de São/0000-0002-0334-3899; Doney, Scott/0000-0002-3683-2437; Maury, Olivier/0000-0002-7999-9982; Johnston, Nadine M/0000-0003-2211-1492; Klinck, John/0000-0003-4312-5201; Costa, Daniel Paul/0000-0002-0233-5782; Wolf-Gladrow, Dieter/0000-0001-9531-8668</t>
  </si>
  <si>
    <t>EUR-OCEANS Consortium; Integrated Marine Biogeochemistry and Ecosystem Research (IMBER); Global Ocean Ecosystem Dynamics (GLOBEC); Scientific Committee on Antarctic Research (SCAR) Evolution and Biodiversity in the Antarctic (EBA) programme; British Antarctic Survey (BAS); Old Dominion University's Center for Coastal Physical Oceanography; NOAA [A1000656]; U.S. NSF Office of Polar Programs; NERC [NE/I029943/1, bas0100025] Funding Source: UKRI; Natural Environment Research Council [bas0100025, NE/I029943/1] Funding Source: researchfish; Directorate For Geosciences [0838937] Funding Source: National Science Foundation; Division Of Ocean Sciences; Directorate For Geosciences [0814584, 0814405] Funding Source: National Science Foundation; Office of Polar Programs (OPP) [0838937] Funding Source: National Science Foundation</t>
  </si>
  <si>
    <t>EUR-OCEANS Consortium; Integrated Marine Biogeochemistry and Ecosystem Research (IMBER); Global Ocean Ecosystem Dynamics (GLOBEC); Scientific Committee on Antarctic Research (SCAR) Evolution and Biodiversity in the Antarctic (EBA) programme; British Antarctic Survey (BAS); Old Dominion University's Center for Coastal Physical Oceanography; NOAA(National Oceanic Atmospheric Admin (NOAA) - USA); U.S. NSF Office of Polar Programs(National Science Foundation (NSF)); NERC(UK Research &amp; Innovation (UKRI)Natural Environment Research Council (NERC)); Natural Environment Research Council(UK Research &amp; Innovation (UKRI)Natural Environment Research Council (NERC)); Directorate For Geosciences(National Science Foundation (NSF)NSF - Directorate for Geosciences (GEO)); Division Of Ocean Sciences; Directorate For Geosciences(National Science Foundation (NSF)NSF - Directorate for Geosciences (GEO)); Office of Polar Programs (OPP)(National Science Foundation (NSF)NSF - Directorate for Geosciences (GEO))</t>
  </si>
  <si>
    <t>This contribution developed from discussions at the Integrating Climate and Ecosystem Dynamics (ICED) Southern Ocean Food Web Modelling Workshop, held at the Center for Coastal and Physical Oceanography, Old Dominion University, Virginia, USA in April 2008, and the subsequent workshop report (Murphy et al., 2010). We thank all the participants at the workshop who contributed to the discussions and the report of the meeting. The paper is also a contribution to the British Antarctic Survey Polar Science for Planet Earth - Ecosystems Programme. We also thank the following organisations and programmes for their financial and in-kind support for the modelling workshop: European Network of Excellence for Ocean Ecosystems Analysis (EUR-OCEANS, now reformed as the EUR-OCEANS Consortium), Integrated Marine Biogeochemistry and Ecosystem Research (IMBER), Global Ocean Ecosystem Dynamics (GLOBEC), the Scientific Committee on Antarctic Research (SCAR) Evolution and Biodiversity in the Antarctic (EBA) programme, the British Antarctic Survey (BAS) and Old Dominion University's Center for Coastal Physical Oceanography. In addition, we thank Woods Hole Oceanographic Institution, University of California Santa Cruz and the University of Trieste for funding the attendance of delegates from these institutions to the ICED Food Web Modelling Workshop. Aspects of the Southern Ocean ecosystem modelling approach were refined through participation in the NOAA-funded workshop on End-to-End Modeling of Marine Food Webs, held at the Woods Hole Oceanographic Institution in April 2010 as part of the Comparative Analysis of Marine Ecosystem Organization Program. Support for this workshop was provided by NOAA Grant No. A1000656. Individual authors acknowledge the support of the U.S. NSF Office of Polar Programs.</t>
  </si>
  <si>
    <t>10.1016/j.pocean.2012.03.006</t>
  </si>
  <si>
    <t>987MP</t>
  </si>
  <si>
    <t>WOS:000307421600006</t>
  </si>
  <si>
    <t>Mouginot, J; Scheuchl, B; Rignot, E</t>
  </si>
  <si>
    <t>Mouginot, Jeremie; Scheuchl, Bernd; Rignot, Eric</t>
  </si>
  <si>
    <t>Mapping of Ice Motion in Antarctica Using Synthetic-Aperture Radar Data</t>
  </si>
  <si>
    <t>Antarctica; InSAR; ice motion</t>
  </si>
  <si>
    <t>DIGITAL ELEVATION MODEL; LASER DATA; FLOW; INTERFEROMETRY; SHEET</t>
  </si>
  <si>
    <t>Ice velocity is a fundamental parameter in studying the dynamics of ice sheets. Until recently, no complete mapping of Antarctic ice motion had been available due to calibration uncertainties and lack of basic data. Here, we present a method for calibrating and mosaicking an ensemble of InSAR satellite measurements of ice motion from six sensors: the Japanese ALOS PALSAR, the European Envisat ASAR, ERS-1 and ERS-2, and the Canadian RADARSAT-1 and RADARSAT-2. Ice motion calibration is made difficult by the sparsity of in-situ reference points and the shear size of the study area. A sensor-dependent data stacking scheme is applied to reduce measurement uncertainties. The resulting ice velocity mosaic has errors in magnitude ranging from 1 m/yr in the interior regions to 17 m/yr in coastal sectors and errors in flow direction ranging from less than 0.5 degrees in areas of fast flow to unconstrained direction in sectors of slow motion. It is important to understand how these mosaics are calibrated to understand the inner characteristics of the velocity products as well as to plan future InSAR acquisitions in the Antarctic. As an example, we show that in broad sectors devoid of ice-motion control, it is critical to operate ice motion mapping on a large scale to avoid pitfalls of calibration uncertainties that would make it difficult to obtain quality products and especially construct reliable time series of ice motion needed to detect temporal changes.</t>
  </si>
  <si>
    <t>[Mouginot, Jeremie; Scheuchl, Bernd; Rignot, Eric] Univ Calif Irvine, Dept Earth Syst Sci, Irvine, CA 92697 USA; [Rignot, Eric] Caltechs Jet Prop Lab, Pasadena, CA 91109 USA</t>
  </si>
  <si>
    <t>University of California System; University of California Irvine; California Institute of Technology; National Aeronautics &amp; Space Administration (NASA); NASA Jet Propulsion Laboratory (JPL)</t>
  </si>
  <si>
    <t>Mouginot, J (corresponding author), Univ Calif Irvine, Dept Earth Syst Sci, Irvine, CA 92697 USA.</t>
  </si>
  <si>
    <t>jmougino@uci.edu; bscheuch@uci.edu; eric.j.rignot@jpl.nasa.gov</t>
  </si>
  <si>
    <t>Rignot, Eric/A-4560-2014; Mouginot, Jeremie/G-7045-2015</t>
  </si>
  <si>
    <t>Rignot, Eric/0000-0002-3366-0481; Mouginot, Jeremie/0000-0001-9155-5455</t>
  </si>
  <si>
    <t>10.3390/rs4092753</t>
  </si>
  <si>
    <t>075UX</t>
  </si>
  <si>
    <t>WOS:000313913500012</t>
  </si>
  <si>
    <t>Lee, CK; Seo, KW; Han, SC; Yu, J; Scambos, TA</t>
  </si>
  <si>
    <t>Lee, Choon-Ki; Seo, Ki-Weon; Han, Shin-Chan; Yu, Jaehyung; Scambos, Ted A.</t>
  </si>
  <si>
    <t>Ice velocity mapping of Ross Ice Shelf, Antarctica by matching surface undulations measured by ICESat laser altimetry</t>
  </si>
  <si>
    <t>REMOTE SENSING OF ENVIRONMENT</t>
  </si>
  <si>
    <t>Ice velocity; Laser altimetry; Ross Ice Shelf</t>
  </si>
  <si>
    <t>SHEET</t>
  </si>
  <si>
    <t>We present a novel method for estimating the surface horizontal velocity on ice shelves using laser altimetry data from the Ice Cloud and land Elevation Satellite (ICESat; 2003-2009). The method matches undulations measured at crossover points between successive campaigns. Elevation measurements are first relocated into a time-varying (moving) coordinate system using an initial velocity (e.g., from VELMAP), and then crossover height differences are minimized with an adjustment vector. Errors in geolocation of the ICESat tracks result in some error in the adjustment vectors, but these are small relative to the velocity adjustment for fast-moving ice shelves. We use the algorithm to estimate changes in the ice velocity of Ross Ice Shelf between an earlier mapping (from VELMAP) and the ICESat period. The new velocity field is compared with velocities from in situ measurements and satellite radar interferometry. The slowdown of 98 +/- 34 m yr(-1) (similar to 23%) is observed in the ice shelf downstream of Whillans Ice Stream, and the deceleration rate is 3.1 +/- 1.1 m yr(-2) during last three decades. The method can be expanded to the simultaneous mapping of ice horizontal velocity, ice thickness change, and surface deformation for Antarctic ice shelves as well as a more accurate mapping using future ICESat-2 measurements. (c) 2012 Elsevier Inc. All rights reserved.</t>
  </si>
  <si>
    <t>[Lee, Choon-Ki; Seo, Ki-Weon] Korea Polar Res Inst, Div Polar Earth Syst Sci, Inchon, South Korea; [Han, Shin-Chan] NASA, Goddard Space Flight Ctr, Planetary Geodynam Lab, Greenbelt, MD 20771 USA; [Han, Shin-Chan] Univ Maryland Baltimore Cty, Joint Ctr Earth Syst Technol, Baltimore, MD 21228 USA; [Yu, Jaehyung] Chungnam Natl Univ, Dept Geol &amp; Earth Environm Sci, Taejon, South Korea; [Scambos, Ted A.] Univ Colorado, CIRES, Natl Snow &amp; Ice Data Ctr, Boulder, CO 80309 USA</t>
  </si>
  <si>
    <t>Korea Institute of Ocean Science &amp; Technology (KIOST); Korea Polar Research Institute (KOPRI); National Aeronautics &amp; Space Administration (NASA); NASA Goddard Space Flight Center; University System of Maryland; University of Maryland Baltimore County; Chungnam National University; University of Colorado System; University of Colorado Boulder</t>
  </si>
  <si>
    <t>Lee, CK (corresponding author), Korea Polar Res Inst, Div Polar Earth Syst Sci, Inchon, South Korea.</t>
  </si>
  <si>
    <t>cklee92@kopri.re.kr</t>
  </si>
  <si>
    <t>Seo, Ki-weon/AAH-7729-2021; Scambos, Ted A/B-1856-2009; Han, Shin-Chan/A-2022-2009</t>
  </si>
  <si>
    <t>Seo, Ki-weon/0000-0001-5523-4996; Han, Shin-Chan/0000-0003-1810-1670; SCAMBOS, Ted A./0000-0003-4268-6322</t>
  </si>
  <si>
    <t>Korea Polar Research Institute (KOPRI) [PE12050]; NASA's Earth Surface and Interior program; NSF-OPP grant [ANT0732919]</t>
  </si>
  <si>
    <t>Korea Polar Research Institute (KOPRI); NASA's Earth Surface and Interior program; NSF-OPP grant</t>
  </si>
  <si>
    <t>The authors thank the Byrd Polar Research Center in Columbus, Ohio, for providing the InSAR velocity products and L. Padman for providing the CATS2008a ocean tide model. This work was supported by Korea Polar Research Institute (KOPRI) projects (PE12050). SCH was supported by NASA's Earth Surface and Interior program. TAS was supported by NSF-OPP grant ANT0732919.</t>
  </si>
  <si>
    <t>0034-4257</t>
  </si>
  <si>
    <t>1879-0704</t>
  </si>
  <si>
    <t>REMOTE SENS ENVIRON</t>
  </si>
  <si>
    <t>Remote Sens. Environ.</t>
  </si>
  <si>
    <t>10.1016/j.rse.2012.05.017</t>
  </si>
  <si>
    <t>Environmental Sciences; Remote Sensing; Imaging Science &amp; Photographic Technology</t>
  </si>
  <si>
    <t>Environmental Sciences &amp; Ecology; Remote Sensing; Imaging Science &amp; Photographic Technology</t>
  </si>
  <si>
    <t>039LQ</t>
  </si>
  <si>
    <t>WOS:000311247700022</t>
  </si>
  <si>
    <t>Nie, YG; Liu, XD; Sun, LG; Emslie, SD</t>
  </si>
  <si>
    <t>Nie, Yaguang; Liu, Xiaodong; Sun, Liguang; Emslie, Steven D.</t>
  </si>
  <si>
    <t>Effect of penguin and seal excrement on mercury distribution in sediments from the Ross Sea region, East Antarctica</t>
  </si>
  <si>
    <t>Hg; Penguin guano; Seal excreta; Ross Sea; Sediments; Pollution assessment</t>
  </si>
  <si>
    <t>TERRA-NOVA BAY; TRACE-ELEMENTS; ATMOSPHERIC MERCURY; QUALITY GUIDELINES; MARINE ORGANISMS; ADELIE PENGUINS; SOUTHERN-OCEAN; ISLAND; CONTAMINATION; RECORD</t>
  </si>
  <si>
    <t>Total mercury (Hg) concentration and several other geochemical parameters were determined for five sediment profiles from the Antarctic Ross Sea region. Our data exhibit significant positive correlations between Hg concentration and total organic carbon (TOC) content in all profiles, suggesting the predominant role of organic matter (OM) as a Hg carrier. The OM in the sediments originates primarily from penguin guano and algae. High Hg content in guano and a positive correlation between Hg and a guano bio-element (phosphorus, P) in the ornithogenic sediment profiles (MB6. BI and CC) indicate that Hg was strongly influenced by guano input The bottom sediments of MB6 with seal hairs contain relatively high Hg. This increase is attributed to the input of seal excrement, suggesting that sedimentary Hg may be an effective trophic-level indicator from seals to penguins. The enrichment factor (EF) for Hg was calculated and the results indicated apparent Hg enrichment in the sediment profiles from the Ross Sea region caused by bio-vectors such as penguins and seals. Compared with typical sediments from other sites in Antarctica and the SQGs (sediment quality guidelines), the total amount of Hg in our study area is still not considered to be adversely high. (C) 2012 Elsevier B.V. All rights reserved.</t>
  </si>
  <si>
    <t>[Nie, Yaguang; Liu, Xiaodong; Sun, Liguang] Univ Sci &amp; Technol China, Inst Polar Environm, Sch Earth &amp; Space Sci, Hefei 230026, Anhui, Peoples R China; [Emslie, Steven D.] Univ N Carolina, Dept Biol &amp; Marine Biol, Wilmington, NC 28403 USA</t>
  </si>
  <si>
    <t>Chinese Academy of Sciences; University of Science &amp; Technology of China, CAS; University of North Carolina; University of North Carolina Wilmington</t>
  </si>
  <si>
    <t>Liu, XD (corresponding author), Univ Sci &amp; Technol China, Inst Polar Environm, Sch Earth &amp; Space Sci, Hefei 230026, Anhui, Peoples R China.</t>
  </si>
  <si>
    <t>ycx@ustc.edu.cn; slg@ustc.edu.cn</t>
  </si>
  <si>
    <t>Arctic and Antarctic Administration of the National Oceanic Bureau of China; National Natural Science Foundation of China [41076123, 40876096]; Chinese Polar Environment Comprehensive Investigation &amp; Assessment Programmes [CHINARE2012-04-04-09]; NSF [ANT 0739575]; Directorate For Geosciences; Office of Polar Programs (OPP) [0739575] Funding Source: National Science Foundation</t>
  </si>
  <si>
    <t>Arctic and Antarctic Administration of the National Oceanic Bureau of China; National Natural Science Foundation of China(National Natural Science Foundation of China (NSFC)); Chinese Polar Environment Comprehensive Investigation &amp; Assessment Programmes; NSF(National Science Foundation (NSF)); Directorate For Geosciences; Office of Polar Programs (OPP)(National Science Foundation (NSF)NSF - Directorate for Geosciences (GEO))</t>
  </si>
  <si>
    <t>We would like to thank the Arctic and Antarctic Administration of the National Oceanic Bureau of China for project support. We also thank the United States Antarctic Program (USAP), Raytheon Polar Services, and in particular J. Smykla, E. Gruber and L Coats for their valuable assistance in the field. Special thanks to Jing Sun from Columbia University for her kind help in improving the language of the manuscript. This study was supported by the National Natural Science Foundation of China (Grant Nos. 41076123 and 40876096), Chinese Polar Environment Comprehensive Investigation &amp; Assessment Programmes (CHINARE2012-04-04-09) and NSF Grant ANT 0739575.</t>
  </si>
  <si>
    <t>10.1016/j.scitotenv.2012.06.022</t>
  </si>
  <si>
    <t>WOS:000308787500013</t>
  </si>
  <si>
    <t>Plaza, MAS; Pelegrí, JL; Machín, FJ; Barrios, VB</t>
  </si>
  <si>
    <t>San Antolin Plaza, Miguel Angel; Pelegri, Josep L.; Jose Machin, Francisco; Benitez Barrios, Veronica</t>
  </si>
  <si>
    <t>Inter-decadal changes in stratification and double diffusion in a transatlantic section along 7.5°N</t>
  </si>
  <si>
    <t>SCIENTIA MARINA</t>
  </si>
  <si>
    <t>transatlantic section; stratification; neutral buoyancy frequency; Turner angle; inter-decadal changes; vertical diffusion</t>
  </si>
  <si>
    <t>MERIDIONAL OVERTURNING CIRCULATION; NORTH-ATLANTIC; OCEAN; VARIABILITY; HEAT; MASS; SALT</t>
  </si>
  <si>
    <t>We use three transatlantic cruises (1957, 1993 and 2010) along 7.5 degrees N to analyse inter-decadal variations of the neutral buoyancy frequency (with neutral density replacing potential density) and Turner angle. We also use Argo data from the 2003-2011 period to show that, within central and intermediate waters, the changes between the three sections are slightly greater than the seasonal and inter-annual variations, so they may be interpreted as actual inter-decadal variations. The results point to a generalized sinking of isoneutrals between 1957 and 2010, with maximum zonally-averaged values of about 100 m in the central and upper deep layers. They also reveal the occurrence of substantial changes in the intermediate and neighbouring water strata, with differential vertical sinking of isoneutrals and the transformation of their thermohaline characteristics. The neutral buoyancy frequency increased in the lower central and upper intermediate layers and decreased in the lower intermediate and upper deep layers. The distributions of Turner angle highlight a predominance of salt-fingering in the North Atlantic, except for a gravitationally doubly-stable layer located immediately below the intermediate water core; this stable layer thinned substantially between 1957 and 2010 because of the sinking of the lower intermediate isoneutrals acting together with actual water transformations from Antarctic Intermediate Waters into North Atlantic Deep Waters. We conclude that a significant portion of the water column underwent both increased vertical stratification and enhanced saltfingering, two mechanisms with opposite effects on the effective vertical diffusion.</t>
  </si>
  <si>
    <t>[San Antolin Plaza, Miguel Angel; Pelegri, Josep L.; Benitez Barrios, Veronica] CSIC, Dept Oceanog Fis, Inst Ciencias Mar, E-08003 Barcelona, Spain; [Pelegri, Josep L.] Pontificia Univ Catolica Chile, Fac Ciencias Biol, LINCGlobal, CSIC PUC, Santiago, Chile; [San Antolin Plaza, Miguel Angel; Jose Machin, Francisco] Univ Las Palmas GC, Fac Ciencias Mar, Las Palmas Gran Canaria, Spain</t>
  </si>
  <si>
    <t>Consejo Superior de Investigaciones Cientificas (CSIC); CSIC - Centro Mediterraneo de Investigaciones Marinas y Ambientales (CMIMA); CSIC - Instituto de Ciencias del Mar (ICM); Pontificia Universidad Catolica de Chile; Universidad de Las Palmas de Gran Canaria</t>
  </si>
  <si>
    <t>Plaza, MAS (corresponding author), CSIC, Dept Oceanog Fis, Inst Ciencias Mar, Passeig Maritim de la Barceloneta 37-49, E-08003 Barcelona, Spain.</t>
  </si>
  <si>
    <t>masa.plaza@icm.csic.es</t>
  </si>
  <si>
    <t>Machin, Francisco/A-9287-2009; Pelegrí, Josep L/L-5815-2014</t>
  </si>
  <si>
    <t>Machin, Francisco/0000-0002-4281-6804; Pelegrí, Josep L/0000-0003-0661-2190</t>
  </si>
  <si>
    <t>Spanish National R&amp;D Plan, in the framework of projects MOC2 [CTM2008-06438-C02-01]; TIC-MOC [CTM2011-28867]</t>
  </si>
  <si>
    <t>Spanish National R&amp;D Plan, in the framework of projects MOC2; TIC-MOC</t>
  </si>
  <si>
    <t>This research was supported by the Spanish National R&amp;D Plan, in the framework of projects MOC2 (CTM2008-06438-C02-01) and TIC-MOC (CTM2011-28867). The authors are grateful to the BIO Hesperides scientists, technicians and crew for making it possible to gather the 2010 data set. Special thanks go to the chief technician, Jose Antonio Pozo, and to Mikhail Emelianov, Eugenio Fraile, Jesus Pena, Marc Gasser and Miquel Rosell. We are also grateful to our reviewers for many useful comments and suggestions. Finally, the first author is indebted to Adrian San Antolin, Beatriz Herrero, Miguel Angel San Antolin Casado and Maria Concepcion Plaza for their continuous support.</t>
  </si>
  <si>
    <t>CONSEJO SUPERIOR INVESTIGACIONES CIENTIFICAS-CSIC</t>
  </si>
  <si>
    <t>MADRID</t>
  </si>
  <si>
    <t>VITRUVIO 8, 28006 MADRID, SPAIN</t>
  </si>
  <si>
    <t>0214-8358</t>
  </si>
  <si>
    <t>1886-8134</t>
  </si>
  <si>
    <t>SCI MAR</t>
  </si>
  <si>
    <t>Sci. Mar.</t>
  </si>
  <si>
    <t>10.3989/scimar.03616.19G</t>
  </si>
  <si>
    <t>004HY</t>
  </si>
  <si>
    <t>WOS:000308673500014</t>
  </si>
  <si>
    <t>Traversi, R; Usoskin, IG; Solanki, SK; Becagli, S; Frezzotti, M; Severi, M; Stenni, B; Udisti, R</t>
  </si>
  <si>
    <t>Traversi, R.; Usoskin, I. G.; Solanki, S. K.; Becagli, S.; Frezzotti, M.; Severi, M.; Stenni, B.; Udisti, R.</t>
  </si>
  <si>
    <t>Nitrate in Polar Ice: A New Tracer of Solar Variability</t>
  </si>
  <si>
    <t>Cosmic rays, galactic; Holocene; Ice core; Nitrate; Solar cycle</t>
  </si>
  <si>
    <t>RADIOCARBON AGE CALIBRATION; DOME-C; EAST ANTARCTICA; BERYLLIUM 10; CORE; GREENLAND; BE-10; SCALE; FIRN; SNOW</t>
  </si>
  <si>
    <t>Knowledge of the long-term variability of solar activity is of both astrophysical and geoscientific interest. Reconstructions of solar activity over multiple millennia are traditionally based on cosmogenic isotopes C-14 or Be-10 measured in natural terrestrial archives, but the two isotopes exhibit significant differences on millennial time scales, so that our knowledge of solar activity at this time scale remains somewhat uncertain. Here we present a new potential proxy of solar activity on the centennial-millennial time scale, based on a chemical tracer, viz. nitrate content in an ice core drilled at Talos Dome (Antarctica). We argue that this location is optimal for preserving the solar signal in the nitrate content during the Holocene. By using the firn core from the same location we show that the 11-year and Gleissberg cycles are present with the variability of 10 -aEuro parts per thousand 25 % in nitrate content in the pre-industrial epoch. This is consistent with the results of independent efforts of modeling HNO3 and NO (y) in Antarctic near surface air. However, meteorological noise on the interannual scale makes it impossible to resolve individual solar cycles. Based on different processes of formation and transport compared to cosmogenic isotopes, it provides new, independent insight into long-term solar activity and helps resolve the uncertainties related to cosmogenic isotopes as diagnostics of solar activity.</t>
  </si>
  <si>
    <t>[Usoskin, I. G.] Univ Oulu, Sodankyla Geophys Observ, Oulu Unit, Oulu 90014, Finland; [Traversi, R.; Becagli, S.; Severi, M.; Udisti, R.] Univ Florence, Dept Chem Ugo Schiff, I-50019 Florence, Italy; [Usoskin, I. G.] Univ Oulu, Dept Phys, Oulu 90014, Finland; [Solanki, S. K.] Max Planck Inst Solar Syst Res, D-37191 Katlenburg Lindau, Germany; [Solanki, S. K.] Kyung Hee Univ, Sch Space Res, Yongin 446701, Gyeonggi, South Korea; [Frezzotti, M.] CR Casaccia, ENEA, I-00123 Rome, Italy; [Stenni, B.] Univ Trieste, Dept Math &amp; Geosci, I-34127 Trieste, Italy</t>
  </si>
  <si>
    <t>University of Oulu; University of Florence; University of Oulu; Max Planck Society; Kyung Hee University; Italian National Agency New Technical Energy &amp; Sustainable Economics Development; University of Trieste</t>
  </si>
  <si>
    <t>Usoskin, IG (corresponding author), Univ Oulu, Sodankyla Geophys Observ, Oulu Unit, Oulu 90014, Finland.</t>
  </si>
  <si>
    <t>Ilya.Usoskin@oulu.fi</t>
  </si>
  <si>
    <t>Udisti, Roberto/M-7966-2015; Becagli, Silvia/GNW-2665-2022; Solanki, Sami K/E-2487-2013; FREZZOTTI, Massimo/AAK-7275-2020; Severi, Mirko/J-2508-2012; Traversi, Rita/M-7586-2015; Usoskin, Ilya/E-5089-2014</t>
  </si>
  <si>
    <t>Udisti, Roberto/0000-0003-4440-8238; Solanki, Sami K/0000-0002-3418-8449; FREZZOTTI, Massimo/0000-0002-2461-2883; Severi, Mirko/0000-0003-1511-6762; Traversi, Rita/0000-0002-9790-2195; Becagli, Silvia/0000-0003-3633-4849; Stenni, Barbara/0000-0003-4950-3664; Usoskin, Ilya/0000-0001-8227-9081</t>
  </si>
  <si>
    <t>WCU of the Korean Ministry of Education, Science and Technology [R31-10016]</t>
  </si>
  <si>
    <t>WCU of the Korean Ministry of Education, Science and Technology</t>
  </si>
  <si>
    <t>This work is a contribution to the TALDICE and HOLOCLIP projects. TALDICE (Talos Dome Ice Core Project) is a joint European programme, funded by national contributions from Italy, France, Germany, Switzerland and the United Kingdom. Primary logistic support was provided by PNRA at Talos Dome. HOLOCLIP is a joint research project of ESF PolarCLIMATE programme, funded by national contributions from Italy, France, Germany, Spain, Netherlands, Belgium, and the United Kingdom. This is TALDICE publication n. 21. This is HOLOCLIP publication No. 10. This work has been partly supported by WCU grant No. R31-10016 of the Korean Ministry of Education, Science and Technology.</t>
  </si>
  <si>
    <t>1573-093X</t>
  </si>
  <si>
    <t>10.1007/s11207-012-0060-3</t>
  </si>
  <si>
    <t>986OR</t>
  </si>
  <si>
    <t>WOS:000307352700016</t>
  </si>
  <si>
    <t>Allcock, AL; Strugnell, JM</t>
  </si>
  <si>
    <t>Allcock, A. Louise; Strugnell, Jan M.</t>
  </si>
  <si>
    <t>Southern Ocean diversity: new paradigms from molecular ecology</t>
  </si>
  <si>
    <t>TRENDS IN ECOLOGY &amp; EVOLUTION</t>
  </si>
  <si>
    <t>ANTARCTIC ICE-SHEET; LAST GLACIAL MAXIMUM; MITOCHONDRIAL LINEAGES; PROMACHOCRINUS-KERGUELENSIS; GENETIC-STRUCTURE; SPECIES FLOCK; DNA TAXONOMY; SEA; BIODIVERSITY; SPECIATION</t>
  </si>
  <si>
    <t>Southern Ocean biodiversity reflects past climate, oceanographic, and tectonic changes. Molecular data from contemporary populations carry signatures of these processes. Here, we review new molecular studies on Southern Ocean benthic fauna. Many of these studies focus on species with extensive geographic or bathymetric distributions, and resolve taxonomic questions. Reviewing all available data, we show that, in addition to reflecting life-history characteristics, the molecular signals found in these studies provide an insight into how species survived the last glacial maximum (LGM). We identify molecular signatures that are characteristic of surviving glacial cycles in small refugia on the continental shelf and distinguish them from molecular signatures that are indicative of surviving glacial cycles in the deep sea.</t>
  </si>
  <si>
    <t>[Allcock, A. Louise] Natl Univ Ireland Galway, Dept Zool, Galway, Ireland; [Allcock, A. Louise] Natl Univ Ireland Galway, Ryan Inst, Galway, Ireland; [Strugnell, Jan M.] La Trobe Univ, Dept Genet, La Trobe Inst Mol Sci, Bundoora, Vic 3086, Australia</t>
  </si>
  <si>
    <t>Ollscoil na Gaillimhe-University of Galway; Ollscoil na Gaillimhe-University of Galway; La Trobe University</t>
  </si>
  <si>
    <t>Allcock, AL (corresponding author), Natl Univ Ireland Galway, Dept Zool, Univ Rd, Galway, Ireland.</t>
  </si>
  <si>
    <t>louise.allcock@gmail.com</t>
  </si>
  <si>
    <t>Strugnell, Jan M/P-9921-2016; Allcock, Louise/A-7359-2012</t>
  </si>
  <si>
    <t>Allcock, Louise/0000-0002-4806-0040; Strugnell, Jan/0000-0003-2994-637X</t>
  </si>
  <si>
    <t>ELSEVIER SCIENCE LONDON</t>
  </si>
  <si>
    <t>84 THEOBALDS RD, LONDON WC1X 8RR, ENGLAND</t>
  </si>
  <si>
    <t>0169-5347</t>
  </si>
  <si>
    <t>1872-8383</t>
  </si>
  <si>
    <t>TRENDS ECOL EVOL</t>
  </si>
  <si>
    <t>Trends Ecol. Evol.</t>
  </si>
  <si>
    <t>10.1016/j.tree.2012.05.009</t>
  </si>
  <si>
    <t>Ecology; Evolutionary Biology; Genetics &amp; Heredity</t>
  </si>
  <si>
    <t>Environmental Sciences &amp; Ecology; Evolutionary Biology; Genetics &amp; Heredity</t>
  </si>
  <si>
    <t>998VK</t>
  </si>
  <si>
    <t>WOS:000308268300009</t>
  </si>
  <si>
    <t>Wang, QF; Hou, YH; Ding, Y; Yan, PS</t>
  </si>
  <si>
    <t>Wang, Quanfu; Hou, Yanhua; Ding, Yu; Yan, Peisheng</t>
  </si>
  <si>
    <t>Purification and biochemical characterization of a cold-active lipase from Antarctic sea ice bacteria Pseudoalteromonas sp NJ 70</t>
  </si>
  <si>
    <t>MOLECULAR BIOLOGY REPORTS</t>
  </si>
  <si>
    <t>Purification; Antarctic; Pseudoalteromonas sp.; Sea ice; Cold-active lipase</t>
  </si>
  <si>
    <t>ADAPTED LIPASE; GENE CLONING; PSYCHROTROPHIC BACTERIUM; PSYCHROPHILIC BACTERIUM; ESCHERICHIA-COLI; EXPRESSION; ENZYME</t>
  </si>
  <si>
    <t>An extracellular cold-active lipase from Antarctic sea ice bacteria Pseudoalteromonas sp. NJ 70 was purified and characterized. The overall purification based on lipase activity was 27.5-fold with a yield of 25.4 %. The purified lipase showed as a single band on SDS-PAGE with an apparent molecular weight of 37 kDa. The optimum temperature and pH were 35 A degrees C and 7.0, respectively. The lipase activity was enhanced by Ca2+ and Mg2+, while was partially inhibited by other metals such as Cu2+, Zn2+, Ba2+, Pb2+, Fe2+ and Mn2+. The lipase had high tolerance to a wide range of NaCl concentrations (0-2 M NaCl). It exhibited high levels of activity in the presence of DTT, Thiourea, H2O2 as well as in the presence of various detergents such as Span 60, Tween-80, Triton X-100. In addition, the lipase showed a preference for long-chain p-nitrophenyl esters (C-12-C-18). These results indicated that this lipase could be a novel cold-active lipase.</t>
  </si>
  <si>
    <t>[Wang, Quanfu; Hou, Yanhua; Yan, Peisheng] Harbin Inst Technol, Sch Marine &amp; Technol, Weihai 264209, Peoples R China; [Wang, Quanfu] Harbin Inst Technol, Sch Chem Engn, Harbin 150001, Peoples R China; [Ding, Yu] Guangdong Ocean Univ, Coll Fisheries, Zhanjiang 524025, Guangdong, Peoples R China</t>
  </si>
  <si>
    <t>Harbin Institute of Technology; Harbin Institute of Technology; Guangdong Ocean University</t>
  </si>
  <si>
    <t>Hou, YH (corresponding author), Harbin Inst Technol, Sch Marine &amp; Technol, Weihai 264209, Peoples R China.</t>
  </si>
  <si>
    <t>marry7718@163.com</t>
  </si>
  <si>
    <t>wang, quan fu/K-9703-2018</t>
  </si>
  <si>
    <t>wang, quan fu/0000-0002-3885-5464</t>
  </si>
  <si>
    <t>National Natural Science Foundation of China [31100037]; Natural Science Foundation of Shandong Province [ZR2009DQ023, ZR2011CM003]; Program of Excellent Team in the Harbin Institute of Technology; China Postdoctoral Science Foundation [20090451004]; Heilongjiang Province Postdoctoral Science Foundation [LBH-Z09176]; Natural Scientific Research Innovation Foundation in Harbin Institute of Technology [HIT-NSRIF201011]</t>
  </si>
  <si>
    <t>National Natural Science Foundation of China(National Natural Science Foundation of China (NSFC)); Natural Science Foundation of Shandong Province(Natural Science Foundation of Shandong Province); Program of Excellent Team in the Harbin Institute of Technology; China Postdoctoral Science Foundation(China Postdoctoral Science Foundation); Heilongjiang Province Postdoctoral Science Foundation(China Postdoctoral Science Foundation); Natural Scientific Research Innovation Foundation in Harbin Institute of Technology(Harbin Institute of Technology)</t>
  </si>
  <si>
    <t>This study was supported by National Natural Science Foundation of China (31100037), the Natural Science Foundation of Shandong Province (ZR2009DQ023, ZR2011CM003), the Program of Excellent Team in the Harbin Institute of Technology, China Postdoctoral Science Foundation (20090451004), Heilongjiang Province Postdoctoral Science Foundation (LBH-Z09176), and Natural Scientific Research Innovation Foundation in Harbin Institute of Technology (HIT-NSRIF201011).</t>
  </si>
  <si>
    <t>0301-4851</t>
  </si>
  <si>
    <t>1573-4978</t>
  </si>
  <si>
    <t>MOL BIOL REP</t>
  </si>
  <si>
    <t>Mol. Biol. Rep.</t>
  </si>
  <si>
    <t>10.1007/s11033-012-1796-4</t>
  </si>
  <si>
    <t>979EX</t>
  </si>
  <si>
    <t>WOS:000306799700077</t>
  </si>
  <si>
    <t>Bellier, E; Monestiez, P; Certain, G; Chadoeuf, J; Bretagnolle, V</t>
  </si>
  <si>
    <t>Bellier, Edwige; Monestiez, Pascal; Certain, Gregoire; Chadoeuf, Joel; Bretagnolle, Vincent</t>
  </si>
  <si>
    <t>Decomposing the heterogeneity of species distributions into multiple scales: a hierarchical framework for large-scale count surveys</t>
  </si>
  <si>
    <t>SPATIAL-DISTRIBUTION; ANTARCTIC KRILL; AERIAL SURVEYS; ABUNDANCE; SEABIRDS; MODEL; MATRICES; AUTOCORRELATION; GEOSTATISTICS; UNCERTAINTY</t>
  </si>
  <si>
    <t>We introduce a novel spatially explicit framework for decomposing species distributions into multiple scales from count data. These kinds of data are usually positively skewed, have non-normal distributions and are spatially autocorrelated. To analyse such data, we propose a hierarchical model that takes into account the observation process and explicitly deals with spatial autocorrelation. The latent variable is the product of a positive trend representing the non-constant mean of the species distribution and of a stationary positive spatial field representing the variance of the spatial density of the species distribution. Then, the different scales of emergent structures of the distribution of the population in space are modelled from the latent density of the species distribution using multi-scale variogram models. Multi-scale kriging is used to map the spatial patterns previously identified by the multi-scale models. We show how our framework yields robust and precise estimates of the relevant scales both for spatial count data simulated from well-defined models, and in a real case-study based on seabird count data (the common guillemot Uria aalge) provided by large-scale aerial surveys of the Bay of Biscay (France) performed over a winter. Our stochastic simulation study provides guidelines on the expected uncertainties of the scales estimates. Our results indicate that the spatial structure of the common guillemot can be modelled as a three-level hierarchical system composed of a very broad-scale pattern (similar to 200 km) with a stable location over time that might be environmentally controlled, a broad-scale pattern (similar to 50 km) with a variable shape and location, that might be related to shifts in prey distribution, and a fine-scale pattern (similar to 10 km) with a rather stable shape and location, that might be controlled by behavioural processes. Our framework enables the development of robust, scale-dependent hypotheses regarding the potential ecological processes that control species distributions.</t>
  </si>
  <si>
    <t>[Bellier, Edwige; Monestiez, Pascal; Chadoeuf, Joel] INRA, Biostat &amp; Spatial Proc, FR-84914 Avignon 9, France; [Certain, Gregoire] Univ La Rochelle, Inst Littoral &amp; Environm, Ctr Rech Mammiferes Marins, FR-17000 La Rochelle, France; [Certain, Gregoire; Bretagnolle, Vincent] Ctr Natl Rech Sci, Ctr Etud Biol Chize, FR-79360 Villiers En Bois, France</t>
  </si>
  <si>
    <t>INRAE; La Rochelle Universite; Centre National de la Recherche Scientifique (CNRS)</t>
  </si>
  <si>
    <t>Bellier, E (corresponding author), Norwegian Inst Nat Res NINA, NO-7485 Trondheim, Norway.</t>
  </si>
  <si>
    <t>edwige.bellier@nina.no</t>
  </si>
  <si>
    <t>chadoeuf, joel/O-2583-2013</t>
  </si>
  <si>
    <t>Bellier, Edwige/0000-0002-1184-0668; Monestiez, Pascal/0000-0001-5851-2699</t>
  </si>
  <si>
    <t>French Government (MEDD); Univ. of La Rochelle; Communaute de Commune de La Rochelle; Provence Alpes Cotes d'Azur province; Inst. National pour la Recherche Agronomique (INRA); Norwegian Research Council (NRC)</t>
  </si>
  <si>
    <t>French Government (MEDD); Univ. of La Rochelle; Communaute de Commune de La Rochelle; Provence Alpes Cotes d'Azur province; Inst. National pour la Recherche Agronomique (INRA); Norwegian Research Council (NRC)(Research Council of Norway)</t>
  </si>
  <si>
    <t>We wish to thank the two observers, Rodolphe Bernard and Thibault Dieuleveult, for their dedicated field work via aircraft in 2001-2002. Flight schedules and logistics were organised by Sylvie Houte (CNRS). This program was funded by the French Government (MEDD). We thank Michel Metais and LPO, who led the program. GC received a grant from Univ. of La Rochelle and the Communaute de Commune de La Rochelle. EB was supported by the Provence Alpes Cotes d'Azur province and by the Inst. National pour la Recherche Agronomique (INRA) and in the final stage of the project, by the Norwegian Research Council (NRC). We are very grateful for valuable comments of several reviewers on earlier version of this manuscript and we wish to thank M. J. Anderson for her very relevant comments in the final stage of the manuscript. We thank Richard Hedger and Marianne Rambeaud for their help in proofreading the English of the manuscript in its final stage.</t>
  </si>
  <si>
    <t>10.1111/j.1600-0587.2011.06456.x</t>
  </si>
  <si>
    <t>967XP</t>
  </si>
  <si>
    <t>WOS:000305941800008</t>
  </si>
  <si>
    <t>Kearney, R; Buxton, CD; Farebrother, G</t>
  </si>
  <si>
    <t>Kearney, R.; Buxton, C. D.; Farebrother, G.</t>
  </si>
  <si>
    <t>Australia's no-take marine protected areas: Appropriate conservation or inappropriate management of fishing?</t>
  </si>
  <si>
    <t>MARINE POLICY</t>
  </si>
  <si>
    <t>Marine conservation; Fishery management; Marine protected areas</t>
  </si>
  <si>
    <t>RESERVES; ECOLOGY; SCIENCE</t>
  </si>
  <si>
    <t>The absence of properly identified mechanisms to adequately protect the marine environment remains a major shortcoming in Australia's commitment to biodiversity conservation. The current commitment to a National Representative System of Marine Protected Areas (NRSMPA) falls far short of providing adequate protection against the suite of existing and potential threats even though areas are designated as being 'protected'. In this paper it is argued that the actions taken under the NRSMPA are disproportionately concentrated on regulating fishing, including the closing of areas in so-called sanctuary zones to all types of fishing. In the absence of clearly identified threats from most forms of fishing and without assessment of how best to manage those few fishing threats that have been identified, such actions are inefficient and mostly inappropriate. Moreover, they do not provide adequate protection against the full suite of threats to marine environments. Adequate measures for the proper conservation of these areas and/or the protection of marine biodiversity more generally are not being provided and in most cases threats are not even adequately described and evaluated. (C) 2012 Elsevier Ltd. All rights reserved.</t>
  </si>
  <si>
    <t>[Kearney, R.] Univ Canberra ACT, Cronulla, NSW 2230, Australia; [Buxton, C. D.; Farebrother, G.] Univ Tasmania, Inst Marine &amp; Antarctic Studies, Fisheries Aquaculture &amp; Coasts Ctr, Hobart, Tas 7001, Australia</t>
  </si>
  <si>
    <t>University of Canberra; University of Tasmania</t>
  </si>
  <si>
    <t>Kearney, R (corresponding author), 386 Woolooware Rd, Cronulla, NSW 2230, Australia.</t>
  </si>
  <si>
    <t>bob.kearney@canberra.edu.au; colin.buxton@utas.edu.au; graham.farebrother@uqconnect.edu.au</t>
  </si>
  <si>
    <t>Buxton, Colin/AAV-3489-2021</t>
  </si>
  <si>
    <t>Buxton, Colin/0000-0002-3256-5220</t>
  </si>
  <si>
    <t>0308-597X</t>
  </si>
  <si>
    <t>1872-9460</t>
  </si>
  <si>
    <t>MAR POLICY</t>
  </si>
  <si>
    <t>Mar. Pol.</t>
  </si>
  <si>
    <t>10.1016/j.marpol.2012.02.024</t>
  </si>
  <si>
    <t>Environmental Studies; International Relations</t>
  </si>
  <si>
    <t>Environmental Sciences &amp; Ecology; International Relations</t>
  </si>
  <si>
    <t>956RC</t>
  </si>
  <si>
    <t>WOS:000305105800015</t>
  </si>
  <si>
    <t>Poore, GCB; Bruce, NL</t>
  </si>
  <si>
    <t>Poore, Gary C. B.; Bruce, Niel L.</t>
  </si>
  <si>
    <t>Global Diversity of Marine Isopods (Except Asellota and Crustacean Symbionts)</t>
  </si>
  <si>
    <t>INDIAN-OCEAN CRUSTACEA; REPRODUCTIVE STRATEGIES; CRYPTIC SPECIATION; SOCIETY-ISLANDS; PERACARIDA; SPHAEROMATIDAE; BIOGEOGRAPHY; PHYLOGENY; GENUS; ECOLOGY</t>
  </si>
  <si>
    <t>The crustacean order Isopoda (excluding Asellota, crustacean symbionts and freshwater taxa) comprise 3154 described marine species in 379 genera in 37 families according to the WoRMS catalogue. The history of taxonomic discovery over the last two centuries is reviewed. Although a well defined order with the Peracarida, their relationship to other orders is not yet resolved but systematics of the major subordinal taxa is relatively well understood. Isopods range in size from less than 1 mm to Bathynomus giganteus at 365 mm long. They inhabit all marine habitats down to 7280 m depth but with few doubtful exceptions species have restricted biogeographic and bathymetric ranges. Four feeding categories are recognised as much on the basis of anecdotal evidence as hard data: detritus feeders and browsers, carnivores, parasites, and filter feeders. Notable among these are the Cymothooidea that range from predators and scavengers to external blood-sucking micropredators and parasites. Isopods brood 10-1600 eggs depending on individual species. Strong sexual dimorphism is characteristic of several families, notably in Gnathiidae where sessile males live with a harem of females while juvenile praniza stages are ectoparasites of fish. Protandry is known in Cymothoidae and protogyny in Anthuroidea. Some Paranthuridae are neotenous. About half of all coastal, shelf and upper bathyal species have been recorded in the MEOW temperate realms, 40% in tropical regions and the remainder in polar seas. The greatest concentration of temperate species is in Australasia; more have been recorded from temperate North Pacific than the North Atlantic. Of tropical regions, the Central Indo-Pacific is home to more species any other region. Isopods are decidedly asymmetrical latitudinally with 1.35 times as many species in temperate Southern Hemisphere than the temperate North Atlantic and northern Pacific, and almost four times as many Antarctic as Arctic species. More species are known from the bathyal and abyssal Antarctic than Arctic GOODS provinces, and more from the larger Pacific than Atlantic oceans. Two areas with many species known are the New Zealand-Kermadec and the Northern North Pacific provinces. Deep hard substrates such as found on seamounts and the slopes are underrepresented in samples. This, the documented numbers of undescribed species in recent collections and probable cryptic species suggest a large as yet undocumented fauna, potentially an order of magnitude greater than presently known.</t>
  </si>
  <si>
    <t>[Poore, Gary C. B.] Museum Victoria, Melbourne, Vic, Australia; [Bruce, Niel L.] James Cook Univ, Museum Trop Queensland, Townsville, Qld 4811, Australia; [Bruce, Niel L.] James Cook Univ, Sch Marine &amp; Trop Biol, Townsville, Qld 4811, Australia; [Bruce, Niel L.] Univ Johannesburg, Dept Zool, Auckland Pk, South Africa</t>
  </si>
  <si>
    <t>Museum Victoria; James Cook University; James Cook University; University of Johannesburg</t>
  </si>
  <si>
    <t>Poore, GCB (corresponding author), Museum Victoria, Melbourne, Vic, Australia.</t>
  </si>
  <si>
    <t>gpoore@museum.vic.gov.au</t>
  </si>
  <si>
    <t>AUG 31</t>
  </si>
  <si>
    <t>e43529</t>
  </si>
  <si>
    <t>10.1371/journal.pone.0043529</t>
  </si>
  <si>
    <t>998EY</t>
  </si>
  <si>
    <t>Green Published, gold, Green Accepted, Green Submitted</t>
  </si>
  <si>
    <t>WOS:000308221300017</t>
  </si>
  <si>
    <t>Rahaman, W; Singh, SK; Shukla, AD</t>
  </si>
  <si>
    <t>Rahaman, Waliur; Singh, Sunil Kumar; Shukla, Anil Dutt</t>
  </si>
  <si>
    <t>Rhenium in Indian rivers: Sources, fluxes, and contribution to oceanic budget</t>
  </si>
  <si>
    <t>Arabian Sea and Bay of Bengal; Himalaya; anthropogenic; rhenium; weathering</t>
  </si>
  <si>
    <t>MAJOR ION CHEMISTRY; DECCAN TRAPS; SEDIMENTS; RE; OS; MOLYBDENUM; HIMALAYA; OSMIUM; GEOCHEMISTRY; BRAHMAPUTRA</t>
  </si>
  <si>
    <t>The abundance and distribution of dissolved and particulate Rhenium (Re) has been measured in several rivers draining the Himalaya and Peninsular India, from their origin to outflow into the Bay of Bengal and the Arabian Sea. The large data set resulting from this study on rivers flowing through a variety of lithologies e. g., the crystallines and sediments of the Himalaya, Deccan basalts, Vindhyan sediments and the Indian shield significantly enhances our understanding of the aqueous geochemistry of Re and also constrains its sources to rivers and fluxes to the sea. The concentration of dissolved Re in rivers of the Himalaya and the Peninsular India shows wide range; 1.4 to 72.7 pmol/kg (mean 7.8 pmol/kg) and 0.5 to 122 pmol/kg (mean 15 pmol/kg) respectively. The discharge weighted average annual flux of dissolved Re transported by the rivers from these regions are similar to 5800 and similar to 15,700 mol/year respectively. The major source of dissolved Re, as determined from inter-element associations, is black shales for the Himalayan rivers and pyrites in basalts for the east flowing Deccan rivers. In addition, there are evidences of considerable anthropogenic supply of Re to some of the rivers that have very high Re concentrations. Estimates of anthropogenic supply based on their Re/K ratios suggest that this source accounts for most of the Re in the Peninsular rivers, particularly the Godavari. The annual flux of anthropogenic Re transported by the Peninsular rivers is similar to 14,600 mol, most of which is from the Godavari. This anthropogenic flux accounts for similar to 70% of the total Re supply by the Indian rivers to the adjacent seas and 3.4% of the global riverine flux to the oceans. The global average, pre-anthropogenic (natural) concentration of dissolved Re in rivers is estimated to be similar to 3 pmol/kg based on Re-K correlation. This value is much lower than the contemporary average determined from the measured concentrations and earlier estimate of natural Re based on Re-SO4 link.</t>
  </si>
  <si>
    <t>[Rahaman, Waliur; Singh, Sunil Kumar; Shukla, Anil Dutt] Phys Res Lab, Geosci Div, Ahmadabad 380009, Gujarat, India</t>
  </si>
  <si>
    <t>Department of Space (DoS), Government of India; Physical Research Laboratory - India</t>
  </si>
  <si>
    <t>Rahaman, W (corresponding author), Natl Ctr Antarctic &amp; Ocean Res, Vasco Da Gama 402803, India.</t>
  </si>
  <si>
    <t>waliur@ncaor.org</t>
  </si>
  <si>
    <t>Rahaman, Waliur/V-7742-2019; Shukla, Anil D/L-7858-2016</t>
  </si>
  <si>
    <t>Rahaman, Waliur/0000-0001-6439-4529</t>
  </si>
  <si>
    <t>AUG 30</t>
  </si>
  <si>
    <t>Q08019</t>
  </si>
  <si>
    <t>10.1029/2012GC004083</t>
  </si>
  <si>
    <t>999JR</t>
  </si>
  <si>
    <t>WOS:000308307900001</t>
  </si>
  <si>
    <t>Pälike, H; Lyle, MW; Nishi, H; Raffi, I; Ridgwell, A; Gamage, K; Klaus, A; Acton, G; Anderson, L; Backman, J; Baldauf, J; Beltran, C; Bohaty, SM; Bown, P; Busch, W; Channell, JET; Chun, COJ; Delaney, M; Dewangan, P; Dunkley Jones, T; Edgar, KM; Evans, H; Fitch, P; Foster, GL; Gussone, N; Hasegawa, H; Hathorne, EC; Hayashi, H; Herrle, JO; Holbourn, A; Hovan, S; Hyeong, K; Iijima, K; Ito, T; Kamikuri, S; Kimoto, K; Kuroda, J; Leon-Rodriguez, L; Malinverno, A; Moore, TC; Murphy, BH; Murphy, DP; Nakamura, H; Ogane, K; Ohneiser, C; Richter, C; Robinson, R; Rohling, EJ; Romero, O; Sawada, K; Scher, H; Schneider, L; Sluijs, A; Takata, H; Tian, J; Tsujimoto, A; Wade, BS; Westerhold, T; Wilkens, R; Williams, T; Wilson, PA; Yamamoto, Y; Yamamoto, S; Yamazaki, T; Zeebe, RE</t>
  </si>
  <si>
    <t>Paelike, Heiko; Lyle, Mitchell W.; Nishi, Hiroshi; Raffi, Isabella; Ridgwell, Andy; Gamage, Kusali; Klaus, Adam; Acton, Gary; Anderson, Louise; Backman, Jan; Baldauf, Jack; Beltran, Catherine; Bohaty, Steven M.; Bown, Paul; Busch, William; Channell, Jim E. T.; Chun, Cecily O. J.; Delaney, Margaret; Dewangan, Pawan; Dunkley Jones, Tom; Edgar, Kirsty M.; Evans, Helen; Fitch, Peter; Foster, Gavin L.; Gussone, Nikolaus; Hasegawa, Hitoshi; Hathorne, Ed C.; Hayashi, Hiroki; Herrle, Jens O.; Holbourn, Ann; Hovan, Steve; Hyeong, Kiseong; Iijima, Koichi; Ito, Takashi; Kamikuri, Shin-ichi; Kimoto, Katsunori; Kuroda, Junichiro; Leon-Rodriguez, Lizette; Malinverno, Alberto; Moore, Ted C., Jr.; Murphy, Brandon H.; Murphy, Daniel P.; Nakamura, Hideto; Ogane, Kaoru; Ohneiser, Christian; Richter, Carl; Robinson, Rebecca; Rohling, Eelco J.; Romero, Oscar; Sawada, Ken; Scher, Howie; Schneider, Leah; Sluijs, Appy; Takata, Hiroyuki; Tian, Jun; Tsujimoto, Akira; Wade, Bridget S.; Westerhold, Thomas; Wilkens, Roy; Williams, Trevor; Wilson, Paul A.; Yamamoto, Yuhji; Yamamoto, Shinya; Yamazaki, Toshitsugu; Zeebe, Richard E.</t>
  </si>
  <si>
    <t>A Cenozoic record of the equatorial Pacific carbonate compensation depth</t>
  </si>
  <si>
    <t>ANTARCTIC GLACIATION; CALCITE COMPENSATION; ORGANIC-CARBON; MODEL; OCEAN; CYCLE; DIOXIDE; HISTORY; SR/CA; ONSET</t>
  </si>
  <si>
    <t>Atmospheric carbon dioxide concentrations and climate are regulated on geological timescales by the balance between carbon input from volcanic and metamorphic outgassing and its removal by weathering feedbacks; these feedbacks involve the erosion of silicate rocks and organic-carbon-bearing rocks. The integrated effect of these processes is reflected in the calcium carbonate compensation depth, which is the oceanic depth at which calcium carbonate is dissolved. Here we present a carbonate accumulation record that covers the past 53 million years from a depth transect in the equatorial Pacific Ocean. The carbonate compensation depth tracks long-term ocean cooling, deepening from 3.0-3.5 kilometres during the early Cenozoic (approximately 55 million years ago) to 4.6 kilometres at present, consistent with an overall Cenozoic increase in weathering. We find large superimposed fluctuations in carbonate compensation depth during the middle and late Eocene. Using Earth system models, we identify changes in weathering and the mode of organic-carbon delivery as two key processes to explain these large-scale Eocene fluctuations of the carbonate compensation depth.</t>
  </si>
  <si>
    <t>[Paelike, Heiko; Bohaty, Steven M.; Chun, Cecily O. J.; Edgar, Kirsty M.; Foster, Gavin L.; Murphy, Daniel P.; Rohling, Eelco J.; Wilson, Paul A.] Univ Southampton, Natl Oceanog Ctr Southampton, Southampton SO14 3ZH, Hants, England; [Lyle, Mitchell W.; Baldauf, Jack; Murphy, Daniel P.] Texas A&amp;M Univ, Dept Oceanog, College Stn, TX 77840 USA; [Nishi, Hiroshi] Tohoku Univ, Tohoku Univ Museum, Ctr Acad Resources &amp; Arch, Aoba Ku, Sendai, Miyagi 9808578, Japan; [Raffi, Isabella] Univ G DAnnunzio, DiGAT CeRS Geo, Dipartimento Geotecnol Ambiente &amp; Terr, Chieti, Italy; [Ridgwell, Andy] Univ Bristol, Sch Geog Sci, Bristol BS8 1SS, Avon, England; [Gamage, Kusali; Klaus, Adam] Texas A&amp;M Univ, Integrated Ocean Drilling Program, College Stn, TX 77845 USA; [Acton, Gary] Univ Calif Davis, Dept Geol, Davis, CA 95616 USA; [Anderson, Louise] Univ Leicester, Dept Geol, Leicester LE1 7RH, Leics, England; [Backman, Jan] Stockholm Univ, Dept Geol Sci, SE-10691 Stockholm, Sweden; [Beltran, Catherine] Univ Paris 06, ISTeP, UMR 7193, F-75252 Paris 05, France; [Bown, Paul] UCL, London WC1E 6BT, England; [Busch, William] Univ New Orleans, New Orleans, LA 70148 USA; [Channell, Jim E. T.] Univ Florida, Dept Geol Sci, Gainesville, FL 32611 USA; [Chun, Cecily O. J.; Herrle, Jens O.] Goethe Univ Frankfurt, Inst Geosci, D-60438 Frankfurt, Germany; [Chun, Cecily O. J.; Herrle, Jens O.] Biodivers &amp; Climate Res Ctr BIK F, D-60325 Frankfurt, Germany; [Chun, Cecily O. J.; Herrle, Jens O.] Senckenberg Gesell Nat Forsch, D-60325 Frankfurt, Germany; [Delaney, Margaret; Murphy, Brandon H.] Univ Calif Santa Cruz, Santa Cruz, CA 95064 USA; [Dewangan, Pawan] Natl Inst Oceanog, Panaji 403004, Goa, India; [Dunkley Jones, Tom; Fitch, Peter] Univ London Imperial Coll Sci Technol &amp; Med, Dept Earth Sci &amp; Engn, London SW7 2AZ, England; [Dunkley Jones, Tom] Univ Birmingham, Sch Geog Earth &amp; Environm Sci, Birmingham B15 2TT, W Midlands, England; [Edgar, Kirsty M.] Cardiff Univ, Sch Earth &amp; Ocean Sci, Cardiff CF10 3AT, S Glam, Wales; [Evans, Helen; Malinverno, Alberto; Williams, Trevor] Columbia Univ, Lamont Doherty Earth Observ, Palisades, NY 10964 USA; [Gussone, Nikolaus] Univ Munster, Inst Mineral, D-48149 Munster, Germany; [Hasegawa, Hitoshi] Hokkaido Univ, Grad Sch Sci, Dept Nat Hist Sci, Kita Ku, Sapporo, Hokkaido 0600810, Japan; [Hathorne, Ed C.] Helmholtz Ctr Ocean Res Kiel, GEOMAR, D-24148 Kiel, Germany; [Hayashi, Hiroki] Shimane Univ, Interdisciplinary Fac Sci &amp; Engn, Matsue, Shimane 6908504, Japan; [Holbourn, Ann] Univ Kiel, Inst Geowissensch, D-24098 Kiel, Germany; [Hovan, Steve] Indiana Univ Penn, Dept Geosci, Indiana, PA 15705 USA; [Hyeong, Kiseong] Korea Ocean Res &amp; Dev Inst, Deep Sea Resources Res Ctr, Seoul 425600, South Korea; [Iijima, Koichi] Japan Agcy Marine Earth Sci &amp; Technol, Inst Biogeosci, Yokosuka, Kanagawa 2370061, Japan; [Ito, Takashi] Ibaraki Univ, Fac Educ, Mito, Ibaraki 3108512, Japan; [Kamikuri, Shin-ichi; Nakamura, Hideto; Sawada, Ken] Hokkaido Univ, Div Nat Hist Sci, Fac Sci, Kita Ku, Sapporo, Hokkaido 0600810, Japan; [Kamikuri, Shin-ichi; Yamamoto, Yuhji] Kochi Univ, Ctr Adv Marine Core Res, Kochi 7838502, Japan; [Kimoto, Katsunori] JAMSTEC, RIGC, Yokosuka, Kanagawa 2370061, Japan; [Kuroda, Junichiro] JAMSTEC, IFREE, Yokosuka, Kanagawa 2370061, Japan; [Leon-Rodriguez, Lizette] Rice Univ, Dept Earth Sci, Houston, TX 77005 USA; [Moore, Ted C., Jr.] Univ Michigan, Dept Geol Sci, Ann Arbor, MI 48109 USA; [Ogane, Kaoru] Tohoku Univ, Inst Geol &amp; Paleontol, Aoba Ku, Sendai, Miyagi 9808578, Japan; [Ohneiser, Christian] Univ Otago, Dept Geol, Dunedin, New Zealand; [Richter, Carl] Univ Louisiana, Sch Geosci, Lafayette, LA 70504 USA; [Robinson, Rebecca] Univ Rhode Isl, Grad Sch Oceanog, Narragansett, RI 02882 USA; [Romero, Oscar] Univ Granada, Inst Andaluz Ciencias Tierra, Granada 18002, Spain; [Scher, Howie] Univ S Carolina, Dept Earth &amp; Ocean Sci, Columbia, SC 29208 USA; [Schneider, Leah] Penn State Univ, Dept Geosci, University Pk, PA 16802 USA; [Sluijs, Appy] Univ Utrecht, Palaeobot &amp; Palynol Lab, Fac Geosci, Dept Earth Sci, NL-3584 CD Utrecht, Netherlands; [Takata, Hiroyuki] Pusan Natl Univ, Div Earth Environm Syst, Coastal Environm Syst Sch BK21, Pusan 609735, South Korea; [Tian, Jun] Tongji Univ, State Key Lab Marine Geol, Shanghai 200092, Peoples R China; [Tsujimoto, Akira] Shimane Univ, Fac Educ, Matsue, Shimane 6908504, Japan; [Wade, Bridget S.] Texas A&amp;M Univ, Dept Geol &amp; Geophys, College Stn, TX 77843 USA; [Wade, Bridget S.] Univ Leeds, Sch Earth &amp; Environm, Leeds LS2 9JT, W Yorkshire, England; [Westerhold, Thomas] Univ Bremen, Ctr Marine Environm Sci MARUM, D-28359 Bremen, Germany; [Wilkens, Roy] Univ Hawaii Manoa, Hawaii Inst Geophys &amp; Planetol, Honolulu, HI 96822 USA; [Yamamoto, Shinya] Yamanashi Inst Environm Sci, Fujiyoshida, Yamanashi 4030005, Japan; [Yamazaki, Toshitsugu] AIST, Geol Survey Japan, Tsukuba, Ibaraki 3058567, Japan; [Zeebe, Richard E.] Univ Hawaii Manoa, Dept Oceanog, Sch Ocean &amp; Earth Sci &amp; Technol, Honolulu, HI 96822 USA</t>
  </si>
  <si>
    <t>NERC National Oceanography Centre; University of Southampton; Texas A&amp;M University System; Texas A&amp;M University College Station; Tohoku University; G d'Annunzio University of Chieti-Pescara; University of Bristol; Texas A&amp;M University System; Texas A&amp;M University College Station; University of California System; University of California Davis; University of Leicester; Stockholm University; Sorbonne Universite; Centre National de la Recherche Scientifique (CNRS); CNRS - National Institute for Earth Sciences &amp; Astronomy (INSU); University of London; University College London; University of Louisiana System; University of New Orleans; State University System of Florida; University of Florida; Goethe University Frankfurt; Senckenberg Gesellschaft fur Naturforschung (SGN); Senckenberg Biodiversitat &amp; Klima- Forschungszentrum (BiK-F); Senckenberg Gesellschaft fur Naturforschung (SGN); University of California System; University of California Santa Cruz; Council of Scientific &amp; Industrial Research (CSIR) - India; CSIR - National Institute of Oceanography (NIO); Imperial College London; University of Birmingham; Cardiff University; Columbia University; University of Munster; Hokkaido University; Helmholtz Association; GEOMAR Helmholtz Center for Ocean Research Kiel; Shimane University; University of Kiel; Pennsylvania State System of Higher Education (PASSHE); Indiana University of Pennsylvania; Korea Institute of Ocean Science &amp; Technology (KIOST); Japan Agency for Marine-Earth Science &amp; Technology (JAMSTEC); Ibaraki University; Hokkaido University; Kochi University; Japan Agency for Marine-Earth Science &amp; Technology (JAMSTEC); Japan Agency for Marine-Earth Science &amp; Technology (JAMSTEC); Rice University; University of Michigan System; University of Michigan; Tohoku University; University of Otago; University of Louisiana Lafayette; University of Rhode Island; Consejo Superior de Investigaciones Cientificas (CSIC); CSIC - Instituto Andaluz de Ciencias de la Tierra (IACT); University of Granada; University of South Carolina System; University of South Carolina Columbia; Pennsylvania Commonwealth System of Higher Education (PCSHE); Pennsylvania State University; Pennsylvania State University - University Park; Utrecht University; Pusan National University; Tongji University; Shimane University; Texas A&amp;M University System; Texas A&amp;M University College Station; University of Leeds; University of Bremen; University of Hawaii System; University of Hawaii Manoa; National Institute of Advanced Industrial Science &amp; Technology (AIST); University of Hawaii System; University of Hawaii Manoa</t>
  </si>
  <si>
    <t>Pälike, H (corresponding author), Univ Southampton, Natl Oceanog Ctr Southampton, Waterfront Campus,European Way, Southampton SO14 3ZH, Hants, England.</t>
  </si>
  <si>
    <t>hpaelike@marum.de</t>
  </si>
  <si>
    <t>Ridgwell, Andy/AAD-9487-2021; Yamamoto, Shinya/C-5134-2011; Westerhold, Thomas/D-4581-2011; Hathorne, Ed/AAC-6315-2020; Williams, Trevor/L-7670-2014; Scher, Howie/C-4927-2013; Herrle, Jens O/B-9088-2008; Acton, Gary D/B-6108-2016; Foster, Gavin/W-5968-2019; Raffi, Isabella/AAY-5505-2020; Ohneiser, Christian/B-5797-2018; Rohling, Eelco J/B-9736-2008; Wade, Bridget S/F-4987-2014; Pälike, Heiko/A-6560-2008; Moore, Theodore/N-8848-2014; Edgar, Kirsty/AAR-9052-2021; Murphy, Daniel P/B-3156-2012; Gamage, Kusali/ABE-8426-2021; Foster, Gavin/CAF-4654-2022; Sawada, Ken/AAL-2645-2021; Nakamura, Hideto/J-8400-2012; Kuroda, Junichiro/A-3007-2016; Sluijs, Appy/B-3726-2009; Dunkley Jones, Tom/A-8441-2008; Bown, Paul/C-5235-2011</t>
  </si>
  <si>
    <t>Ridgwell, Andy/0000-0003-2333-0128; Yamamoto, Shinya/0000-0001-7938-1106; Westerhold, Thomas/0000-0001-8151-4684; Hathorne, Ed/0000-0002-7813-2455; Raffi, Isabella/0000-0002-5192-7477; Rohling, Eelco J/0000-0001-5349-2158; Wade, Bridget S/0000-0002-7245-8614; Pälike, Heiko/0000-0003-3386-0923; Moore, Theodore/0000-0003-4121-1325; Edgar, Kirsty/0000-0001-7587-9951; Gamage, Kusali/0000-0002-9259-5165; Foster, Gavin/0000-0003-3688-9668; Sawada, Ken/0000-0003-3298-5716; Nakamura, Hideto/0000-0002-4450-2411; Kuroda, Junichiro/0000-0002-2218-4854; Sluijs, Appy/0000-0003-2382-0215; Malinverno, Alberto/0000-0003-4442-9055; Dunkley Jones, Tom/0000-0002-9518-8143; Bown, Paul/0000-0001-6777-4463; , Nikolaus/0000-0002-3390-1118; Robinson, Rebecca/0000-0002-8072-1603; Yamamoto, Yuhji/0000-0001-9163-0339; Holbourn, Ann/0000-0002-3167-0862; Hayashi, Hiroki/0000-0002-7080-0885; Ohneiser, Christian/0000-0002-2781-2522; Acton, Gary/0000-0002-3285-4022; Iijima, Koichi/0000-0001-9285-9143; Wilson, Paul/0000-0001-6425-8906; Zeebe, Richard/0000-0003-0806-8387</t>
  </si>
  <si>
    <t>Philip Leverhulme Prize; BIK-F; NERC [NE/H000089/1, NE/H020136/1, NE/G003270/1, NE/F003641/1, NE/H022554/1, NE/I006168/1]; Grants-in-Aid for Scientific Research [23740377, 23740387, 22403015, 23540542] Funding Source: KAKEN; NERC [NE/G014817/1, NE/H016457/1, NE/G003270/1, NE/H023852/1, NE/H022554/1, NE/H000089/1, NE/F003641/1, NE/I006168/1, NE/H020136/1, NE/I000011/1, NE/I005595/1, NE/H001298/1] Funding Source: UKRI; STFC [PP/D002176/1] Funding Source: UKRI; Directorate For Geosciences [0961412] Funding Source: National Science Foundation; Directorate For Geosciences; Division Of Ocean Sciences [0960999, 0962184] Funding Source: National Science Foundation; Division Of Ocean Sciences [0961412] Funding Source: National Science Foundation; Natural Environment Research Council [NE/I000011/1, NE/G003270/1, NE/G014817/1, NE/I005595/1, NE/H001298/1, NE/H000089/1, NE/H023852/1, NE/I006168/1, NE/H020136/1, NE/F003641/1, NE/H022554/1, NE/H016457/1] Funding Source: researchfish; Science and Technology Facilities Council [PP/D002176/1] Funding Source: researchfish</t>
  </si>
  <si>
    <t>Philip Leverhulme Prize(Leverhulme Trust); BIK-F; NERC(UK Research &amp; Innovation (UKRI)Natural Environment Research Council (NERC)); Grants-in-Aid for Scientific Research(Ministry of Education, Culture, Sports, Science and Technology, Japan (MEXT)Japan Society for the Promotion of ScienceGrants-in-Aid for Scientific Research (KAKENHI)); NERC(UK Research &amp; Innovation (UKRI)Natural Environment Research Council (NERC)); STFC(UK Research &amp; Innovation (UKRI)Science &amp; Technology Facilities Council (STFC)); Directorate For Geosciences(National Science Foundation (NSF)NSF - Directorate for Geosciences (GEO)); Directorate For Geosciences; Division Of Ocean Sciences(National Science Foundation (NSF)NSF - Directorate for Geosciences (GEO)); Division Of Ocean Sciences(National Science Foundation (NSF)NSF - Directorate for Geosciences (GEO)); Natural Environment Research Council(UK Research &amp; Innovation (UKRI)Natural Environment Research Council (NERC)); Science and Technology Facilities Council(UK Research &amp; Innovation (UKRI)Science &amp; Technology Facilities Council (STFC))</t>
  </si>
  <si>
    <t>This research used samples and data provided by IODP. We thank the masters and crew of IODP Expeditions 320 and 321. H. P. acknowledges support from the Philip Leverhulme Prize, the BIK-F, and NERC grants NE/H000089/1, NE/H020136/1, NE/G003270/1, NE/F003641/1, NE/H022554/1 and NE/I006168/1. We acknowledge the use of the IRIDIS High Performance Computing Facility, and associated support services at the University of Southampton, in the completion of this work. We thank M. Palmer and D. Teagle for discussions. E.J.R. is a Visiting Fellow at the Research School of Earth Sciences, The Australian National University.</t>
  </si>
  <si>
    <t>10.1038/nature11360</t>
  </si>
  <si>
    <t>996NC</t>
  </si>
  <si>
    <t>WOS:000308095100047</t>
  </si>
  <si>
    <t>Wadham, JL; Arndt, S; Tulaczyk, S; Stibal, M; Tranter, M; Telling, J; Lis, GP; Lawson, E; Ridgwell, A; Dubnick, A; Sharp, MJ; Anesio, AM; Butler, CEH</t>
  </si>
  <si>
    <t>Wadham, J. L.; Arndt, S.; Tulaczyk, S.; Stibal, M.; Tranter, M.; Telling, J.; Lis, G. P.; Lawson, E.; Ridgwell, A.; Dubnick, A.; Sharp, M. J.; Anesio, A. M.; Butler, C. E. H.</t>
  </si>
  <si>
    <t>Potential methane reservoirs beneath Antarctica</t>
  </si>
  <si>
    <t>GAS-HYDRATE; PRODUCTION-RATES; CASCADIA MARGIN; ICE-SHEET; SEDIMENTS; DEEP; LAKE; GEOCHEMISTRY; POPULATIONS; DIAGENESIS</t>
  </si>
  <si>
    <t>Once thought to be devoid of life, the ice-covered parts of Antarctica are now known to be a reservoir of metabolically active microbial cells and organic carbon(1). The potential for methanogenic archaea to support the degradation of organic carbon to methane beneath the ice, however, has not yet been evaluated. Large sedimentary basins containing marine sequences up to 14 kilometres thick(2) and an estimated 21,000 petagrams (1 Pg equals 10(15) g) of organic carbon are buried beneath the Antarctic Ice Sheet. No data exist for rates of methanogenesis in sub-Antarctic marine sediments. Here we present experimental data from other subglacial environments that demonstrate the potential for overridden organic matter beneath glacial systems to produce methane. We also numerically simulate the accumulation of methane in Antarctic sedimentary basins using an established one-dimensional hydrate model(3) and show that pressure/temperature conditions favour methane hydrate formation down to sediment depths of about 300 metres in West Antarctica and 700 metres in East Antarctica. Our results demonstrate the potential for methane hydrate accumulation in Antarctic sedimentary basins, where the total inventory depends on rates of organic carbon degradation and conditions at the ice-sheet bed. We calculate that the sub-Antarctic hydrate inventory could be of the same order of magnitude as that of recent estimates made for Arctic permafrost. Our findings suggest that the Antarctic Ice Sheet may be a neglected but important component of the global methane budget, with the potential to act as a positive feedback on climate warming during ice-sheet wastage.</t>
  </si>
  <si>
    <t>[Wadham, J. L.; Arndt, S.; Stibal, M.; Tranter, M.; Telling, J.; Lis, G. P.; Lawson, E.; Ridgwell, A.; Anesio, A. M.; Butler, C. E. H.] Univ Bristol, Sch Geog Sci, Bristol BS8 1SS, Avon, England; [Arndt, S.] Univ Utrecht, Dept Earth Sci Geochem, NL-3508 Utrecht, Netherlands; [Tulaczyk, S.; Sharp, M. J.] Univ Calif Santa Cruz, Dept Earth &amp; Planetary Sci, Santa Cruz, CA 95064 USA; [Dubnick, A.] Univ Alberta, Dept Earth &amp; Atmospher Sci, Edmonton, AB T6G 2E3, Canada</t>
  </si>
  <si>
    <t>University of Bristol; Utrecht University; University of California System; University of California Santa Cruz; University of Alberta</t>
  </si>
  <si>
    <t>Wadham, JL (corresponding author), Univ Bristol, Sch Geog Sci, Bristol BS8 1SS, Avon, England.</t>
  </si>
  <si>
    <t>j.l.wadham@bris.ac.uk</t>
  </si>
  <si>
    <t>Wadham, Jemma L/G-3138-2014; Anesio, Alexandre/A-7597-2008; Telling, Jon/M-7643-2013; Stibal, Marek/I-3852-2016; Wadham, Jemma L/A-8352-2012; Ridgwell, Andy/AAD-9487-2021; Tranter, Martyn/E-3722-2010; Arndt, Sandra/E-7639-2017; Tulaczyk, Slawek/O-7375-2018</t>
  </si>
  <si>
    <t>Anesio, Alexandre/0000-0003-2990-4014; Ridgwell, Andy/0000-0003-2333-0128; Lis, Grzegorz/0000-0001-5796-7798; Tranter, Martyn/0000-0003-2071-3094; Arndt, Sandra/0000-0002-0235-8124; Stibal, Marek/0000-0002-9998-5086; Tulaczyk, Slawek/0000-0002-9711-4332; Telling, Jon/0000-0002-8180-0979; O'Donnell, Emily/0000-0003-4303-4705</t>
  </si>
  <si>
    <t>Natural Environment Research Council (UK-NERC) [NE/E004016/1]; National Science Foundation WISSARD project [NSF-AISS 0839142]; Leverhulme Trust via a Phillip Leverhulme award; Netherlands Organisation for Scientific Research (NWO); NSERC; Antarctica New Zealand; Polar Continental Shelf Project; NSERC Undergraduate Student Research Award; US National Science Foundation; Directorate For Geosciences [0839142] Funding Source: National Science Foundation; Directorate For Geosciences; Office of Polar Programs (OPP) [0838947] Funding Source: National Science Foundation; Office of Polar Programs (OPP) [0839142] Funding Source: National Science Foundation; Natural Environment Research Council [NE/I021322/1, NE/E004016/1] Funding Source: researchfish; NERC [NE/E004016/1, NE/I021322/1] Funding Source: UKRI</t>
  </si>
  <si>
    <t>Natural Environment Research Council (UK-NERC)(UK Research &amp; Innovation (UKRI)Natural Environment Research Council (NERC)); National Science Foundation WISSARD project; Leverhulme Trust via a Phillip Leverhulme award(Leverhulme Trust); Netherlands Organisation for Scientific Research (NWO)(Netherlands Organization for Scientific Research (NWO)); NSERC(Natural Sciences and Engineering Research Council of Canada (NSERC)); Antarctica New Zealand; Polar Continental Shelf Project(Natural Resources Canada); NSERC Undergraduate Student Research Award(Natural Sciences and Engineering Research Council of Canada (NSERC)); US National Science Foundation(National Science Foundation (NSF));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</si>
  <si>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This research was funded by the Natural Environment Research Council (UK-NERC grant NE/E004016/1) and the National Science Foundation WISSARD project (NSF-AISS 0839142). Support to J.L.W. was also provided by the Leverhulme Trust via a Phillip Leverhulme award and to S. A. by the Netherlands Organisation for Scientific Research (NWO). We acknowledge NSERC and Antarctica New Zealand for financial and logistic support for sampling in Antarctica and the Polar Continental Shelf Project for financial and logistic support for sampling in Arctic Canada. We thank S. Fitzsimons for assistance with sampling in Antarctica. A. D. was funded by an NSERC Undergraduate Student Research Award. This research used data provided by the Ocean Drilling Program. The Ocean Drilling Program is sponsored by the US National Science Foundation and participating countries under the management of the Joint Oceanographic Institutions, Inc. We thank C. Ruppel for comments on this manuscript.</t>
  </si>
  <si>
    <t>10.1038/nature11374</t>
  </si>
  <si>
    <t>WOS:000308095100051</t>
  </si>
  <si>
    <t>Pilato, G; Mcinnes, SJ; Lisi, O</t>
  </si>
  <si>
    <t>Pilato, Giovanni; Mcinnes, Sandra J.; Lisi, Oscar</t>
  </si>
  <si>
    <t>Hebesuncus mollispinus (Eutardigrada, Hypsibiidae), a new species from maritime Antarctica</t>
  </si>
  <si>
    <t>Tardigrada; Hypsibiidae; Antarctic</t>
  </si>
  <si>
    <t>TARDIGRADES; NUNATAKS; ISLAND; LAND</t>
  </si>
  <si>
    <t>A new species of eutardigrade, Hebesuncus mollispinus sp. nov. is described from Charcot Island, maritime Antarctica. The three known species of Hebesuncus are either widespread with questionable reports from the Antarctic (H. conjungens) or endemic to maritime and continental Antarctica (H. ryani and H. schusteri). Hebesuncus mollispinus sp. nov. differs from its congeners in terms of egg morphology and is further differentiated from H. ryani via a longer bucco-pharyngeal tube, claw shape and length; and from H. schusteri via a narrower bucco-pharyngeal tube and shorter claws.</t>
  </si>
  <si>
    <t>[Pilato, Giovanni; Lisi, Oscar] Univ Catania, Dept Anim Biol Marcello La Greca, I-95124 Catania, Italy; [Mcinnes, Sandra J.] British Antarctic Survey, Nat Environm Res Council, Cambridge CB3 0ET, England</t>
  </si>
  <si>
    <t>University of Catania; UK Research &amp; Innovation (UKRI); Natural Environment Research Council (NERC); NERC British Antarctic Survey</t>
  </si>
  <si>
    <t>Pilato, G (corresponding author), Univ Catania, Dept Anim Biol Marcello La Greca, Via Androne 81, I-95124 Catania, Italy.</t>
  </si>
  <si>
    <t>pilato@unict.it</t>
  </si>
  <si>
    <t>Lisi, Oscar Paolo Vincenzo/AFT-1512-2022; McInnes, Sandra/AAN-4773-2020</t>
  </si>
  <si>
    <t>McInnes, Sandra/0000-0003-3403-9379; Lisi, Oscar Paolo Vincenzo/0000-0001-5495-2742</t>
  </si>
  <si>
    <t>003HQ</t>
  </si>
  <si>
    <t>WOS:000308601300004</t>
  </si>
  <si>
    <t>McGrath, D; Steffen, K; Rajaram, H; Scambos, T; Abdalati, W; Rignot, E</t>
  </si>
  <si>
    <t>McGrath, Daniel; Steffen, Konrad; Rajaram, Harihar; Scambos, Ted; Abdalati, Waleed; Rignot, Eric</t>
  </si>
  <si>
    <t>Basal crevasses on the Larsen C Ice Shelf, Antarctica: Implications for meltwater ponding and hydrofracture</t>
  </si>
  <si>
    <t>BREAK-UP; PENINSULA; COLLAPSE; STABILITY; CLIMATE; GLACIERS; DISINTEGRATION; CAPSIZE; SHEET</t>
  </si>
  <si>
    <t>A key mechanism for the rapid collapse of both the Larsen A and B Ice Shelves was meltwater-driven crevasse propagation. Basal crevasses, large-scale structural features within ice shelves, may have contributed to this mechanism in three important ways: i) the shelf surface deforms due to modified buoyancy and gravitational forces above the basal crevasse, creating &gt;10 m deep compressional surface depressions where meltwater can collect, ii) bending stresses from the modified shape drive surface crevassing, with crevasses reaching 40 m in width, on the flanks of the basal-crevasse-induced trough and iii) the ice thickness is substantially reduced, thereby minimizing the propagation distance before a full-thickness rift is created. We examine a basal crevasse (4.5 km in length, similar to 230 m in height), and the corresponding surface features, in the Cabinet Inlet sector of the Larsen C Ice Shelf using a combination of high-resolution (0.5 m) satellite imagery, kinematic GPS and in situ ground penetrating radar. We discuss how basal crevasses may have contributed to the breakup of the Larsen B Ice Shelf by directly controlling the location of meltwater ponding and highlight the presence of similar features on the Amery and Getz Ice Shelves with high-resolution imagery. Citation: McGrath, D., K. Steffen, H. Rajaram, T. Scambos, W. Abdalati, and E. Rignot (2012), Basal crevasses on the Larsen C Ice Shelf, Antarctica: Implications for meltwater ponding and hydrofracture, Geophys. Res. Lett., 39, L16504, doi:10.1029/2012GL052413.</t>
  </si>
  <si>
    <t>[McGrath, Daniel; Steffen, Konrad; Abdalati, Waleed] Univ Colorado, Cooperat Inst Res Environm Sci, Boulder, CO 80309 USA; [Rajaram, Harihar] Univ Colorado, Dept Civil Engn, Boulder, CO 80309 USA; [Scambos, Ted] Univ Colorado, Natl Snow &amp; Ice Data Ctr CIRES, Boulder, CO 80309 USA; [Abdalati, Waleed] NASA Headquarters, Washington, DC USA; [Rignot, Eric] Univ Calif Irvine, Dept Earth Syst Sci, Irvine, CA USA; [Rignot, Eric] CALTECH, Jet Prop Lab, Pasadena, CA USA</t>
  </si>
  <si>
    <t>University of Colorado System; University of Colorado Boulder; University of Colorado System; University of Colorado Boulder; University of Colorado System; University of Colorado Boulder; National Aeronautics &amp; Space Administration (NASA); Mary W. Jackson NASA Headquarters; University of California System; University of California Irvine; California Institute of Technology; National Aeronautics &amp; Space Administration (NASA); NASA Jet Propulsion Laboratory (JPL)</t>
  </si>
  <si>
    <t>McGrath, D (corresponding author), Univ Colorado, Cooperat Inst Res Environm Sci, Boulder, CO 80309 USA.</t>
  </si>
  <si>
    <t>daniel.mcgrath@colorado.edu</t>
  </si>
  <si>
    <t>Steffen, Konrad/C-6027-2013; Scambos, Ted A/B-1856-2009; Rignot, Eric/A-4560-2014</t>
  </si>
  <si>
    <t>Rignot, Eric/0000-0002-3366-0481; MCGRATH, DANIEL/0000-0002-9462-6842; SCAMBOS, Ted A./0000-0003-4268-6322</t>
  </si>
  <si>
    <t>NSF OPP research grant [0732946]; Polar Geospatial Center under NSF OPP [ANT-1043681]</t>
  </si>
  <si>
    <t>NSF OPP research grant; Polar Geospatial Center under NSF OPP</t>
  </si>
  <si>
    <t>This work is funded by NSF OPP research grant 0732946. The British Antarctic Survey and field assistant, Tom Weston, provided exceptional field support, without which this work would not have been possible. Geospatial support for this work was supported by the Polar Geospatial Center under NSF OPP agreement ANT-1043681. Careful reviews by Jeremy Bassis and two anonymous reviewers significantly improved the manuscript.</t>
  </si>
  <si>
    <t>AUG 29</t>
  </si>
  <si>
    <t>L16504</t>
  </si>
  <si>
    <t>10.1029/2012GL052413</t>
  </si>
  <si>
    <t>999JZ</t>
  </si>
  <si>
    <t>WOS:000308308800001</t>
  </si>
  <si>
    <t>Li, BF; Chen, YN; Shi, X</t>
  </si>
  <si>
    <t>Li, Baofu; Chen, Yaning; Shi, Xun</t>
  </si>
  <si>
    <t>Why does the temperature rise faster in the arid region of northwest China?</t>
  </si>
  <si>
    <t>CLIMATE-CHANGE; ANTARCTIC OSCILLATION; UNCERTAINTY; CIRCULATION; FREQUENCY; FUTURE; IMPACT</t>
  </si>
  <si>
    <t>During 1960-2010, the air temperature in the arid region of northwest China had a significant rising trend (P &lt; 0.001), at a rate of 0.343 degrees C/decade, higher than the average of China (0.25 degrees C/decade) and that of the entire globe (0.13 degrees C/decade) for the same period. Based on the analysis of the data from 74 meteorological stations in the region for 1960-2010, we found that among the four seasons the temperature change of winter has been playing the most important role in the yearly change in this region. We also found that the winter temperature in this region has a strong association with the Siberian High (correlation coefficient: R = -0.715) and the greenhouse gas emission (R = 0.51), and between the two the former is stronger. We thus suggest that the weakening of the Siberian High during the 1980s to 1990s on top of the steady increasing of the greenhouse emission is the main reason for the higher rate of the temperature rise in the arid region of the northwest China.</t>
  </si>
  <si>
    <t>[Li, Baofu; Chen, Yaning] Chinese Acad Sci, State Key Lab Desert &amp; Oasis Ecol, Xinjiang Inst Ecol &amp; Geog, Urumqi 830011, Peoples R China; [Li, Baofu] Chinese Acad Sci, Grad Univ, Beijing, Peoples R China; [Shi, Xun] Dartmouth Coll, Dept Geog, Hanover, NH 03755 USA</t>
  </si>
  <si>
    <t>Chinese Academy of Sciences; Xinjiang Institute of Ecology &amp; Geography, CAS; Chinese Academy of Sciences; University of Chinese Academy of Sciences, CAS; Dartmouth College</t>
  </si>
  <si>
    <t>Chen, YN (corresponding author), Chinese Acad Sci, State Key Lab Desert &amp; Oasis Ecol, Xinjiang Inst Ecol &amp; Geog, Urumqi 830011, Peoples R China.</t>
  </si>
  <si>
    <t>chenyn@ms.xjb.ac.cn</t>
  </si>
  <si>
    <t>Li, Baofu/ABC-7194-2021; Chen, Yaning/A-2338-2019; chen, yaning/D-4047-2013; chen, yaning/AAN-8170-2020</t>
  </si>
  <si>
    <t>Li, Baofu/0000-0001-6986-135X</t>
  </si>
  <si>
    <t>National Basic Research Program of China (or 973 Program) [2010CB951003]</t>
  </si>
  <si>
    <t>National Basic Research Program of China (or 973 Program)(National Basic Research Program of China)</t>
  </si>
  <si>
    <t>This paper was sponsored by the National Basic Research Program of China (or 973 Program) (grant 2010CB951003). Thanks are given to Daoyi Gong and Ziyin Zhang for their assistance in providing the Siberian High data and computing related indices. We are grateful to Sara C. Pryor and anonymous reviewers for their helpful comments on improving the manuscript.</t>
  </si>
  <si>
    <t>D16115</t>
  </si>
  <si>
    <t>10.1029/2012JD017953</t>
  </si>
  <si>
    <t>999NI</t>
  </si>
  <si>
    <t>WOS:000308320100003</t>
  </si>
  <si>
    <t>Kunduri, BSR; Baker, JBH; Ruohoniemi, JM; Clausen, LBN; Grocott, A; Thomas, EG; Freeman, MP; Talaat, ER</t>
  </si>
  <si>
    <t>Kunduri, B. S. R.; Baker, J. B. H.; Ruohoniemi, J. M.; Clausen, L. B. N.; Grocott, A.; Thomas, E. G.; Freeman, M. P.; Talaat, E. R.</t>
  </si>
  <si>
    <t>An examination of inter-hemispheric conjugacy in a subauroral polarization stream</t>
  </si>
  <si>
    <t>FIELD-ALIGNED CURRENTS; FLOW CHANNEL AWFC; MAGNETIC-FIELD; ION DRIFTS; CONVECTION PATTERNS; INNER MAGNETOSPHERE; ART.; SUBSTORM; LOCATION; SPACECRAFT</t>
  </si>
  <si>
    <t>During geomagnetically disturbed conditions the midlatitude ionosphere is subject to intense poleward directed electric fields in the dusk-midnight sector. These electric fields lead to the generation of a latitudinally narrow westward directed flow channel in the subauroral region called a subauroral polarization stream (SAPS). If the magnetic field lines are treated as equipotentials, electrodynamic events such as SAPS are expected to occur simultaneously at magnetically conjugate locations with similar features. In this paper we present simultaneous observations of a SAPS event in both hemispheres made by midlatitude SuperDARN radars with conjugate fields-of-view. We analyze the relation between the geomagnetic conditions and the characteristics of the channels such as latitudinal location, electric field, total potential variations across the channels, and Pedersen current. The results suggest a strong correlation between the strength of the ring current and the latitudinal location of the channel. An inter-hemispheric comparison of the characteristics of the channel indicates that the potential variations across the channels are similar while the electric fields, Pedersen currents and latitudinal widths of the channel exhibit differences that are consistent with equal potential variations. We attribute these differences to seasonal differences in ionospheric conductivity between the hemispheres and magnetic distortion effects in the inner magnetosphere.</t>
  </si>
  <si>
    <t>[Kunduri, B. S. R.; Baker, J. B. H.; Ruohoniemi, J. M.; Thomas, E. G.] Virginia Polytech Inst &amp; State Univ, Bradley Dept Elect &amp; Comp Engn, Blacksburg, VA 24061 USA; [Clausen, L. B. N.] Inst Geophys &amp; Extraterr Phys, Braunschweig, Germany; [Grocott, A.] Univ Leicester, Dept Phys &amp; Astron, Leicester LE1 7RH, Leics, England; [Freeman, M. P.] British Antarctic Survey, Cambridge CB3 0ET, England; [Talaat, E. R.] Johns Hopkins Univ, Appl Phys Lab, Laurel, MD USA</t>
  </si>
  <si>
    <t>Virginia Polytechnic Institute &amp; State University; University of Leicester; UK Research &amp; Innovation (UKRI); Natural Environment Research Council (NERC); NERC British Antarctic Survey; Johns Hopkins University; Johns Hopkins University Applied Physics Laboratory</t>
  </si>
  <si>
    <t>Kunduri, BSR (corresponding author), 1991 Kraft Dr,Ste 2019, Blacksburg, VA 24060 USA.</t>
  </si>
  <si>
    <t>bharatr@vt.edu</t>
  </si>
  <si>
    <t>Grocott, Adrian/A-9576-2011; Kunduri, Bharat/T-5470-2019; Thomas, Evan/B-3921-2017; Freeman, Mervyn/E-5687-2019</t>
  </si>
  <si>
    <t>Kunduri, Bharat/0000-0002-7406-7641; Thomas, Evan/0000-0001-8036-8793; Freeman, Mervyn/0000-0002-8653-8279; Baker, Joseph/0000-0001-6255-3039; Grocott, Adrian/0000-0002-6489-095X; Clausen, Lasse Boy Novock/0000-0003-0746-1646</t>
  </si>
  <si>
    <t>National Science Foundation [ATM-0849031, ATM-0946900, AGS-1150789]; UK Natural Environment Research Council [NE/G019665/1, NE/G018707/1]; NERC [NE/G019665/1, bas0100026, NE/G018707/1] Funding Source: UKRI; STFC [ST/H002480/1] Funding Source: UKRI; Natural Environment Research Council [NE/G018707/1, bas0100026, NE/G019665/1] Funding Source: researchfish; Science and Technology Facilities Council [ST/H002480/1] Funding Source: researchfish; Directorate For Geosciences; Div Atmospheric &amp; Geospace Sciences [0946900] Funding Source: National Science Foundation; Directorate For Geosciences; Div Atmospheric &amp; Geospace Sciences [0946902, 1150789] Funding Source: National Science Foundation</t>
  </si>
  <si>
    <t>National Science Foundation(National Science Foundation (NSF)); UK Natural Environment Research Council(UK Research &amp; Innovation (UKRI)Natural Environment Research Council (NERC));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 Directorate For Geosciences; Div Atmospheric &amp; Geospace Sciences(National Science Foundation (NSF)NSF - Directorate for Geosciences (GEO)); Directorate For Geosciences; Div Atmospheric &amp; Geospace Sciences(National Science Foundation (NSF)NSF - Directorate for Geosciences (GEO))</t>
  </si>
  <si>
    <t>The authors thank the National Science Foundation for support under grants ATM-0849031, ATM-0946900 and AGS-1150789. The Blackstone SuperDARN radar was built with funds provided by NSF and with contributions from University of Leicester (UK) and Virginia Tech. The Falkland Islands SuperDARN radar was supported by the UK Natural Environment Research Council grants NE/G019665/1 and NE/G018707/1. The DMSP particle detectors were designed by Dave Hardy of AFRL and data obtained from JHU/APL. DMSP SSIES ion drift meter data is collected by the US Airforce weather agency and processed by NOAA's National Geophysical Data Center. Kp, Sym-H and Asym-H indices were obtained from the World Data Center in Kyoto. The OMNI data were obtained from the GSFC/SPDF OMNIWeb interface at http://omniweb.gsfc.nasa.gov.</t>
  </si>
  <si>
    <t>AUG 28</t>
  </si>
  <si>
    <t>A08225</t>
  </si>
  <si>
    <t>10.1029/2012JA017784</t>
  </si>
  <si>
    <t>999JN</t>
  </si>
  <si>
    <t>WOS:000308307400004</t>
  </si>
  <si>
    <t>Wainer, I; Goes, M; Murphy, LN; Brady, E</t>
  </si>
  <si>
    <t>Wainer, I.; Goes, M.; Murphy, L. N.; Brady, E.</t>
  </si>
  <si>
    <t>Changes in the intermediate water mass formation rates in the global ocean for the Last Glacial Maximum, mid-Holocene and pre-industrial climates</t>
  </si>
  <si>
    <t>SUB-ANTARCTIC MODE; PMIP2 COUPLED SIMULATIONS; SOUTHERN-OCEAN; ATMOSPHERIC CO2; THERMOHALINE CIRCULATION; ATLANTIC-OCEAN; THERMOCLINE WATERS; NORTH; DEEP; SURFACE</t>
  </si>
  <si>
    <t>The paleoclimate version of the National Center for Atmospheric Research Community Climate System Model version 3 (NCAR-CCSM3) is used to analyze changes in the water formation rates in the Atlantic, Pacific, and Indian Oceans for the Last Glacial Maximum (LGM), mid-Holocene (MH) and pre-industrial (PI) control climate. During the MH, CCSM3 exhibits a north-south asymmetric response of intermediate water subduction changes in the Atlantic Ocean, with a reduction of 2 Sv in the North Atlantic and an increase of 2 Sv in the South Atlantic relative to PI. During the LGM, there is increased formation of intermediate water and a more stagnant deep ocean in the North Pacific. The production of North Atlantic Deep Water (NADW) is significantly weakened. The NADW is replaced in large extent by enhanced Antarctic Intermediate Water (AAIW), Glacial North Atlantic Intermediate Water (GNAIW), and also by an intensified of Antarctic Bottom Water (AABW), with the latter being a response to the enhanced salinity and ice formation around Antarctica. Most of the LGM intermediate/mode water is formed at 27.4 &lt; sigma(theta) &lt; 29.0 kg/m(3), while for the MH and PI most of the subduction transport occurs at 26.5 &lt; sigma(theta) &lt; 27.4 kg/m(3). The simulated LGM Southern Hemisphere winds are more intense by 0.2-0.4 dyne/cm(2). Consequently, increased Ekman transport drives the production of intermediate water (low salinity) at a larger rate and at higher densities when compared to the other climatic periods.</t>
  </si>
  <si>
    <t>[Wainer, I.] Univ Sao Paulo, Dept Oceanog Fis, BR-05508120 Sao Paulo, Brazil; [Goes, M.] Univ Miami, CIMAS, Miami, FL USA; [Goes, M.] NOAA, Atlantic Oceanog &amp; Meteorol Lab, Miami, FL 33149 USA; [Murphy, L. N.] Univ Calif Berkeley, Lawrence Berkeley Natl Lab, Berkeley, CA 94720 USA; [Brady, E.] Natl Ctr Atmospher Res, Boulder, CO 80307 USA</t>
  </si>
  <si>
    <t>Universidade de Sao Paulo; University of Miami; National Oceanic Atmospheric Admin (NOAA) - USA; Atlantic Oceanographic &amp; Meteorological Laboratory (AOML); United States Department of Energy (DOE); Lawrence Berkeley National Laboratory; University of California System; University of California Berkeley; National Center Atmospheric Research (NCAR) - USA</t>
  </si>
  <si>
    <t>Wainer, I (corresponding author), Univ Sao Paulo, Dept Oceanog Fis, Praca Oceanog 191, BR-05508120 Sao Paulo, Brazil.</t>
  </si>
  <si>
    <t>wainer@usp.br</t>
  </si>
  <si>
    <t>Criosfera, Inct/J-8639-2013; Goes, Marlos/B-4273-2011; WAINER, ILANA/B-4540-2011; Murphy, Lisa/B-8547-2013</t>
  </si>
  <si>
    <t>Goes, Marlos/0000-0001-5874-8079; WAINER, ILANA/0000-0003-3784-623X; Murphy, Lisa/0000-0003-4343-8005</t>
  </si>
  <si>
    <t>FAPESP; CAPES; CNPq-MCT-INCT-Criosfera; Cooperative Institute for Marine and Atmospheric Studies (CIMAS), a cooperative institute of the University of Miami; National Oceanic and Atmospheric Administration [NA17RJ1226]; [CNPq-300223/93-5]</t>
  </si>
  <si>
    <t>FAPESP(Fundacao de Amparo a Pesquisa do Estado de Sao Paulo (FAPESP)); CAPES(Coordenacao de Aperfeicoamento de Pessoal de Nivel Superior (CAPES)); CNPq-MCT-INCT-Criosfera; Cooperative Institute for Marine and Atmospheric Studies (CIMAS), a cooperative institute of the University of Miami; National Oceanic and Atmospheric Administration(National Oceanic Atmospheric Admin (NOAA) - USA);</t>
  </si>
  <si>
    <t>This work was supported in part by grants from FAPESP, CAPES, CNPq-300223/93-5 and CNPq-MCT-INCT-Criosfera. Marlos Goes carried out this research under the auspices of the Cooperative Institute for Marine and Atmospheric Studies (CIMAS), a cooperative institute of the University of Miami and the National Oceanic and Atmospheric Administration, cooperative agreement NA17RJ1226.</t>
  </si>
  <si>
    <t>PA3101</t>
  </si>
  <si>
    <t>10.1029/2012PA002290</t>
  </si>
  <si>
    <t>999KE</t>
  </si>
  <si>
    <t>WOS:000308309500001</t>
  </si>
  <si>
    <t>Xie, RFC; Marcantonio, F; Schmidt, MW</t>
  </si>
  <si>
    <t>Xie, Ruifang C.; Marcantonio, Franco; Schmidt, Matthew W.</t>
  </si>
  <si>
    <t>Deglacial variability of Antarctic Intermediate Water penetration into the North Atlantic from authigenic neodymium isotope ratios</t>
  </si>
  <si>
    <t>LAST GLACIAL MAXIMUM; DEEP-WATER; THERMOHALINE CIRCULATION; CLIMATE-CHANGE; TRANSPORT; RECORD; SEA; ND; RADIOCARBON; CONSTRAINTS</t>
  </si>
  <si>
    <t>Understanding intermediate water circulation across the last deglacial is critical in assessing the role of oceanic heat transport associated with Atlantic Meridional Overturning Circulation variability across abrupt climate events. However, the links between intermediate water circulation and abrupt climate events such as the Younger Dryas (YD) and Heinrich Event 1 (H1) are still poorly constrained. Here, we reconstruct changes in Antarctic Intermediate Water (AAIW) circulation in the subtropical North Atlantic over the past 25 kyr by measuring authigenic neodymium isotope ratios in sediments from two sites in the Florida Straits. Our authigenic Nd isotope records suggest that there was little to no penetration of AAIW into the subtropical North Atlantic during the YD and H1. Variations in the northward penetration of AAIW into the Florida Straits documented in our authigenic Nd isotope record are synchronous with multiple climatic archives, including the Greenland ice core delta O-18 record, the Cariaco Basin atmosphere Delta C-14 reconstruction, the Bermuda Rise sedimentary Pa/Th record, and nutrient and stable isotope data from the tropical North Atlantic. The synchroneity of our Nd records with multiple climatic archives suggests a tight connection between AAIW variability and high-latitude North Atlantic climate change.</t>
  </si>
  <si>
    <t>[Xie, Ruifang C.; Marcantonio, Franco] Texas A&amp;M Univ, Dept Geol &amp; Geophys, College Stn, TX 77843 USA; [Schmidt, Matthew W.] Texas A&amp;M Univ, Dept Oceanog, College Stn, TX 77843 USA</t>
  </si>
  <si>
    <t>Texas A&amp;M University System; Texas A&amp;M University College Station; Texas A&amp;M University System; Texas A&amp;M University College Station</t>
  </si>
  <si>
    <t>Xie, RFC (corresponding author), Texas A&amp;M Univ, Dept Geol &amp; Geophys, College Stn, TX 77843 USA.</t>
  </si>
  <si>
    <t>xie_1984@neo.tamu.edu</t>
  </si>
  <si>
    <t>Xie, Ruifang/JMD-0243-2023</t>
  </si>
  <si>
    <t>Xie, Ruifang/0000-0002-6628-9236</t>
  </si>
  <si>
    <t>Radiogenic Isotope Geochemistry Laboratory at Texas AM University; NSF [OCE-11031587]</t>
  </si>
  <si>
    <t>Radiogenic Isotope Geochemistry Laboratory at Texas AM University; NSF(National Science Foundation (NSF))</t>
  </si>
  <si>
    <t>We thank Ken and Jane Williams for their generous funding of the Radiogenic Isotope Geochemistry Laboratory at Texas A&amp;M University. F. M. thanks NSF for funding (OCE-11031587). We are grateful to three anonymous reviewers and the editor for their constructive comments.</t>
  </si>
  <si>
    <t>PA3221</t>
  </si>
  <si>
    <t>10.1029/2012PA002337</t>
  </si>
  <si>
    <t>WOS:000308309500003</t>
  </si>
  <si>
    <t>Singh, RKB</t>
  </si>
  <si>
    <t>Singh, R. K. Bikramaditya</t>
  </si>
  <si>
    <t>Discovery of hornfels from the Arunachal Lesser Himalaya: evidence for the pre-Himalayan contact metamorphism in the Himalaya</t>
  </si>
  <si>
    <t>Arunachal Himalaya; contact metamorphism; granitoids; hornfels</t>
  </si>
  <si>
    <t>ALMORA NAPPE; TECTONICS; STABILITY; EVOLUTION; QUARTZ; ROCKS</t>
  </si>
  <si>
    <t>Hornfelses have been discovered from the Arunachal Lesser Himalaya in Subansiri District, Arunachal Pradesh. Field observations and petrographic study with electron microprobe analysis have confirmed the presence of hornfels associated with granitoids. These rocks are grey to dark grey in colour and fine to medium-grained. Three types of hornfels having different mineral assemblages are recognized and are referred to as Type-I (andalusite-bearing hornfels), Type-II (andalusite-garnet-bearing hornfels) and Type-III (garnet-sillimanite +/- andalusite-bearing hornfels). They have different bulk rock composition that supports the presence of different mineral assemblages and high FeO/MgO ratio ranging from 1.21 to 4.12 is responsible for the absence of cordierite in aureole rocks. Abundance of hornfels records from the Arunachal Lesser Himalaya confirms the pre-Himalayan contact metamorphism and suggests that the Lesser Himalayan Granitoids are intrusives as these were intruded as granite into the Lesser Himalayan rocks during the Palaeoproterozoic and later deformed into gneisses during the Himalayan orogeny.</t>
  </si>
  <si>
    <t>[Singh, R. K. Bikramaditya] Wadia Inst Himalayan Geol, Dehra Dun 248001, India</t>
  </si>
  <si>
    <t>Department of Science &amp; Technology (India); Wadia Institute of Himalayan Geology (WIHG)</t>
  </si>
  <si>
    <t>Singh, RKB (corresponding author), Natl Ctr Antarctic &amp; Ocean Res, Vasco Da Gama 403804, Goa, India.</t>
  </si>
  <si>
    <t>rkaditya17@rediffmail.com</t>
  </si>
  <si>
    <t>Department of Science and Technology, New Delhi</t>
  </si>
  <si>
    <t>Department of Science and Technology, New Delhi(Department of Science &amp; Technology (India))</t>
  </si>
  <si>
    <t>I thank Prof. A. K. Gupta, Director, WIHG, Dehradun for permission to publish this paper and for constant encouragement; Dr N. S. Gururajan and Dr A. K. Singh of WIHG for their guidance and suggestion during the preparation of the manuscript; the anonymous reviewers for their critical comments that helped improve the manuscript and Drs N. K. Saini, D. R. Rao and S. S. Thakur, WIHG for help in the generation of analytical data. I also thank the Department of Science and Technology, New Delhi for financial support.</t>
  </si>
  <si>
    <t>AUG 25</t>
  </si>
  <si>
    <t>002IL</t>
  </si>
  <si>
    <t>WOS:000308525200020</t>
  </si>
  <si>
    <t>Rimaud, J; Speich, S; Blanke, B; Grima, N</t>
  </si>
  <si>
    <t>Rimaud, Julie; Speich, Sabrina; Blanke, Bruno; Grima, Nicolas</t>
  </si>
  <si>
    <t>The exchange of Intermediate Water in the southeast Atlantic: Water mass transformations diagnosed from the Lagrangian analysis of a regional ocean model</t>
  </si>
  <si>
    <t>ANTARCTIC CIRCUMPOLAR CURRENT; INTEROCEAN EXCHANGE; CIRCULATION; THERMOCLINE; QUANTIFICATION; FRONTS; VARIABILITY; TOPOGRAPHY; TRANSPORT; DYNAMICS</t>
  </si>
  <si>
    <t>Results from a regional ocean model and numerical Lagrangian analyses are compared with in situ measurements to describe the properties and dynamics of Antarctic Intermediate Water (AAIW) in the region of the Cape Basin. The AAIW that originates in the South Atlantic (A-AAIW) at 8 degrees W follows two branches. A southern branch, flowing mostly south of 40 degrees S, is blocked by topography and is deflected westward without significant changes in its physical properties. A northern branch crosses the Cape Basin with strong modification of its physical properties. The AAIW that originates in the Indian Ocean (I-AAIW) flows into the Atlantic Ocean via the Agulhas Current and undergoes small physical changes in the Cape Basin. In the model, the salinity ranges of A-AAIW and I-AAIW cores that reach the southeast Atlantic are 34.2-34.5 and 34.5-34.6, respectively. The modeled AAIW distribution and behavior compare well with observations, despite a bias of +0.2 in salinity. To investigate the dynamical processes involved in the interocean exchanges of these AAIW varieties, we use diagnoses based on the Okubo-Weiss parameter and the directional variations of trajectories of particles transported by the model velocity field. Our results suggest that I-AAIW flows into the Cape Basin more within eddies, and particularly within cyclones, than A-AAIW. Once the mixing of both varieties operates, physical and behavioral differences fade and the resulting AAIW flows over the Walvis Ridge in a less turbulent way as part of the Benguela Current, with salinity between 34.55 and 34.6.</t>
  </si>
  <si>
    <t>[Rimaud, Julie; Speich, Sabrina; Blanke, Bruno; Grima, Nicolas] CNRS Ifremer IRD UBO, UMR 6523, Lab Phys Oceans, FR-29238 Brest 3, France</t>
  </si>
  <si>
    <t>Centre National de la Recherche Scientifique (CNRS); Ifremer; Institut de Recherche pour le Developpement (IRD)</t>
  </si>
  <si>
    <t>Rimaud, J (corresponding author), CNRS Ifremer IRD UBO, UMR 6523, Lab Phys Oceans, 6 Av Le Gorgeu,CS 93837, FR-29238 Brest 3, France.</t>
  </si>
  <si>
    <t>julie.rimaud@univ-brest.fr</t>
  </si>
  <si>
    <t>Grima, Nicolas NG/N-3252-2014; Speich, Sabrina/L-3780-2014; Blanke, Bruno/H-4280-2015</t>
  </si>
  <si>
    <t>Grima, Nicolas NG/0000-0002-1607-8975; Speich, Sabrina/0000-0002-5452-8287; Blanke, Bruno/0000-0002-1309-0952</t>
  </si>
  <si>
    <t>C08034</t>
  </si>
  <si>
    <t>10.1029/2012JC008059</t>
  </si>
  <si>
    <t>995QP</t>
  </si>
  <si>
    <t>WOS:000308027200005</t>
  </si>
  <si>
    <t>Screen, JA; Simmonds, I</t>
  </si>
  <si>
    <t>Screen, James A.; Simmonds, Ian</t>
  </si>
  <si>
    <t>Half-century air temperature change above Antarctica: Observed trends and spatial reconstructions</t>
  </si>
  <si>
    <t>HEMISPHERE ANNULAR MODE; CLIMATE-CHANGE; RADIOSONDE; SURFACE; VARIABILITY; IMPACT</t>
  </si>
  <si>
    <t>This study provides a comprehensive analysis of observed 50-year (1961-2010) seasonal air temperature trends from radiosonde ascents above Antarctica. Comparisons between multiple radiosonde data sets (homogenized in different ways) at each of eight Antarctic stations reveals substantial differences in the upper-air temperature trend magnitudes and their statistical significance between data sets. However, when considering the average of these data sets at each station, or averaging across all stations, a robust vertical profile of half-century temperature change emerges, characterized by mid-tropospheric warming and stratospheric cooling. Statistically significant Multistation-mean 500 hPa warming (0.1 to 0.2 degrees C decade(-1)) is found in all seasons, whereas the lower stratospheric cooling has been manifest primarily in austral spring and summer, but with larger magnitudes (-1.0 to -2.0 degrees C decade(-1)). We undertake the first spatial reconstructions of pan-Antarctic upper-air temperature trends. They strongly suggest that both the year-round mid-tropospheric warming and spring and summer lower stratospheric cooling have occurred above the entire continent, although their magnitudes and significance vary regionally. The reconstructed 500 hPa warming trends in winter and spring are largest over West Antarctica, the Ross Ice shelf, Victoria Land and Oates Land, and show close resemblance to those found in previously published surface temperature trend reconstructions, suggesting coupling between the surface and trends aloft. We speculate that the winter and spring mid-tropospheric warming may, in part, be driven by tropical ocean warming, analogous to proposed mechanisms for the co-located surface warming. The spring and summer lower stratospheric cooling is entirely consistent with the temperature response to ozone depletion.</t>
  </si>
  <si>
    <t>[Screen, James A.; Simmonds, Ian] Univ Melbourne, Sch Earth Sci, Melbourne, Vic 3010, Australia</t>
  </si>
  <si>
    <t>University of Melbourne; Melbourne Bioinformatics</t>
  </si>
  <si>
    <t>Screen, JA (corresponding author), Univ Melbourne, Sch Earth Sci, Melbourne, Vic 3010, Australia.</t>
  </si>
  <si>
    <t>screenj@unimelb.edu.au</t>
  </si>
  <si>
    <t>Screen, James A/D-7588-2013</t>
  </si>
  <si>
    <t>Screen, James/0000-0003-1728-783X; Simmonds, Ian/0000-0002-4479-3255</t>
  </si>
  <si>
    <t>Australian Antarctic Science Advisory Committee; Australian Research Council</t>
  </si>
  <si>
    <t>Australian Antarctic Science Advisory Committee; Australian Research Council(Australian Research Council)</t>
  </si>
  <si>
    <t>This work would not have been possible without the extensive data collation and quality-control undertaken by the SCAR READER project, and meteorological data provided by the international Antarctic science programs. We also thank the following institutes/individuals for providing web access to data sets: British Antarctic Survey, NASA, NCEP, ECWMF, UKMO Hadley Centre, University of Vienna, Steve Sherwood and Gareth Marshall. Parts of this research were funded by the Australian Antarctic Science Advisory Committee and the Australian Research Council. We thank three anonymous reviewers for their insightful comments which significantly improved the manuscript.</t>
  </si>
  <si>
    <t>D16108</t>
  </si>
  <si>
    <t>10.1029/2012JD017885</t>
  </si>
  <si>
    <t>996GE</t>
  </si>
  <si>
    <t>WOS:000308072100007</t>
  </si>
  <si>
    <t>Hughes, C; Johnson, M; von Glasow, R; Chance, R; Atkinson, H; Souster, T; Lee, GA; Clarke, A; Meredith, M; Venables, HJ; Turner, SM; Malin, G; Liss, PS</t>
  </si>
  <si>
    <t>Hughes, Claire; Johnson, Martin; von Glasow, Roland; Chance, Rosie; Atkinson, Helen; Souster, Terri; Lee, Gareth A.; Clarke, Andrew; Meredith, Michael; Venables, Hugh J.; Turner, Suzanne M.; Malin, Gill; Liss, Peter S.</t>
  </si>
  <si>
    <t>Climate-induced change in biogenic bromine emissions from the Antarctic marine biosphere</t>
  </si>
  <si>
    <t>GLOBAL BIOGEOCHEMICAL CYCLES</t>
  </si>
  <si>
    <t>BOUNDARY-LAYER; CHEMISTRY; OZONE; TEMPERATURE; VARIABILITY; HALOGENS; IMPACT; INPUT; MODEL; ICE</t>
  </si>
  <si>
    <t>Climate change and human activities are expected to have a major impact on the structure and functioning of marine ecosystems and the biogeochemical cycles they mediate in the coming years. Here we describe time series measurements of biogenic bromocarbons (CHBr3 and CH2Br2) collected in coastal waters of the western Antarctic Peninsula which is one of the world's most rapidly changing marine environments. Our measurements spanned a period of changing sea-ice dynamics and phytoplankton community structure driven by climatic forcing. Specifically, the occurrence of high chlorophyll a concentrations (&gt;= 5 mu g L-1) and dominance of the largest phytoplankton size fraction (&gt;= 20 mu m) indicating diatom bloom conditions was reduced following winter periods with a relatively short winter sea-ice duration (&lt;50 days). While large inter-annual variability in seawater CHBr3 concentrations was observed alongside these changes the same was not found for CH2Br2 which is surprising given their proposed common source. Seawater CHBr3 concentrations were found to be significantly higher (122 [14.7-580] pmol L-1, P &lt; 0.0001, Mann-Whitney) in samples collected in diatom bloom compared to non-bloom waters (42.9 [12.0-126] pmol L-1). A comparison of sea-to-air flux rates suggests that a switch from diatom bloom to non-bloom conditions results in a factor of 3-4 decrease in average CHBr3 sea-to-air emission rates which will reduce the supply of biogenic bromine to the atmosphere. Our calculations suggest that this will drive a decrease in inorganic bromine levels in the troposphere by a factor of 2-3 outside of ozone depletion events with potentially important implications for ozone cycling and dimethyl sulphide oxidation. This work has captured and crucially quantified the impact of a climate-induced change in a marine ecosystem on ocean-atmosphere biogeochemistry.</t>
  </si>
  <si>
    <t>[Hughes, Claire; Johnson, Martin; von Glasow, Roland; Chance, Rosie; Atkinson, Helen; Lee, Gareth A.; Clarke, Andrew; Turner, Suzanne M.; Malin, Gill; Liss, Peter S.] Univ E Anglia, Sch Environm Sci, Lab Global Marine &amp; Atmospher Chem, Norwich NR4 7TJ, Norfolk, England; [Atkinson, Helen; Souster, Terri; Clarke, Andrew; Meredith, Michael; Venables, Hugh J.] British Antarctic Survey, Cambridge CB3 0ET, England</t>
  </si>
  <si>
    <t>University of East Anglia; UK Research &amp; Innovation (UKRI); Natural Environment Research Council (NERC); NERC British Antarctic Survey</t>
  </si>
  <si>
    <t>Hughes, C (corresponding author), Univ York, Dept Environm, York Y010 5DD, N Yorkshire, England.</t>
  </si>
  <si>
    <t>c.hughes@york.ac.uk</t>
  </si>
  <si>
    <t>LISS, Peter S./A-8219-2013; von Glasow, Roland/E-2125-2011; Souster, Terri/HJY-6034-2023; Malin, Gill/C-6985-2009; Johnson, Martin/C-1066-2008</t>
  </si>
  <si>
    <t>von Glasow, Roland/0000-0002-3944-2784; Souster, Terri/0000-0002-7585-1999; Johnson, Martin/0000-0002-4706-8294; Meredith, Michael/0000-0002-7342-7756; Chance, Rosie/0000-0002-5906-176X; Lee, Gareth/0000-0003-4640-5487; Malin, Gill/0000-0002-3639-9215</t>
  </si>
  <si>
    <t>UK Natural Environmental Research Council (NERC) Antarctic Funding Initiative (AFI) [NE/E013287/1]; NERC [bas0100025, bas0100028, NE/E013287/1, NE/E013430/1] Funding Source: UKRI; Natural Environment Research Council [bas0100028, NE/E013430/1, NE/E013287/1, NE/B501039/1, bas0100025] Funding Source: researchfish</t>
  </si>
  <si>
    <t>UK Natural Environmental Research Council (NERC) Antarctic Funding Initiative (AFI); NERC(UK Research &amp; Innovation (UKRI)Natural Environment Research Council (NERC)); Natural Environment Research Council(UK Research &amp; Innovation (UKRI)Natural Environment Research Council (NERC))</t>
  </si>
  <si>
    <t>This work was funded by a UK Natural Environmental Research Council (NERC) Antarctic Funding Initiative (AFI) project NE/E013287/1. The authors acknowledge the help and support of British Antarctic Survey personnel in Cambridge and those based at the Rothera Research Station during our sampling periods (2005-2010). We also thank Martin Miller and Kathy Salisbury in the AFI office for their assistance in planning the project and field campaigns. We also acknowledge the helpful comments from the anonymous reviewer.</t>
  </si>
  <si>
    <t>0886-6236</t>
  </si>
  <si>
    <t>1944-9224</t>
  </si>
  <si>
    <t>GLOBAL BIOGEOCHEM CY</t>
  </si>
  <si>
    <t>Glob. Biogeochem. Cycle</t>
  </si>
  <si>
    <t>GB3019</t>
  </si>
  <si>
    <t>10.1029/2012GB004295</t>
  </si>
  <si>
    <t>Environmental Sciences; Geosciences, Multidisciplinary; Meteorology &amp; Atmospheric Sciences</t>
  </si>
  <si>
    <t>Environmental Sciences &amp; Ecology; Geology; Meteorology &amp; Atmospheric Sciences</t>
  </si>
  <si>
    <t>995KG</t>
  </si>
  <si>
    <t>WOS:000308006300001</t>
  </si>
  <si>
    <t>Wanarska, M; Kur, J</t>
  </si>
  <si>
    <t>Wanarska, Marta; Kur, Jozef</t>
  </si>
  <si>
    <t>A method for the production of D-tagatose using a recombinant Pichia pastoris strain secreting β-D-galactosidase from Arthrobacter chlorophenolicus and a recombinant L-arabinose isomerase from Arthrobacter sp 22c</t>
  </si>
  <si>
    <t>MICROBIAL CELL FACTORIES</t>
  </si>
  <si>
    <t>ESCHERICHIA-COLI; D-GALACTITOL; D-PSICOSE; D-FRUCTOSE; BIOCONVERSION; PURIFICATION; EXPRESSION; CLONING; BIOCATALYST</t>
  </si>
  <si>
    <t>Background: D-Tagatose is a natural monosaccharide which can be used as a low-calorie sugar substitute in food, beverages and pharmaceutical products. It is also currently being tested as an anti-diabetic and obesity control drug. D-Tagatose is a rare sugar, but it can be manufactured by the chemical or enzymatic isomerization of D-galactose obtained by a beta-D-galactosidase-catalyzed hydrolysis of milk sugar lactose and the separation of D-glucose and D-galactose. L-Arabinose isomerases catalyze in vitro the conversion of D-galactose to D-tagatose and are the most promising enzymes for the large-scale production of D-tagatose. Results: In this study, the araA gene from psychrotolerant Antarctic bacterium Arthrobacter sp. 22c was isolated, cloned and expressed in Escherichia coli. The active form of recombinant Arthrobacter sp. 22c L-arabinose isomerase consists of six subunits with a combined molecular weight of approximately 335 kDa. The maximum activity of this enzyme towards D-galactose was determined as occurring at 52 degrees C; however, it exhibited over 60% of maximum activity at 30 degrees C. The recombinant Arthrobacter sp. 22c L-arabinose isomerase was optimally active at a broad pH range of 5 to 9. This enzyme is not dependent on divalent metal ions, since it was only marginally activated by Mg2+, Mn2+ or Ca2+ and slightly inhibited by Co2+ or Ni2+. The bioconversion yield of D-galactose to D-tagatose by the purified L-arabinose isomerase reached 30% after 36 h at 50 degrees C. In this study, a recombinant Pichia pastoris yeast strain secreting beta-D-galactosidase Arthrobacter chlorophenolicus was also constructed. During cultivation of this strain in a whey permeate, lactose was hydrolyzed and D-glucose was metabolized, whereas D-galactose was accumulated in the medium. Moreover, cultivation of the P. pastoris strain secreting beta-D-galactosidase in a whey permeate supplemented with Arthrobacter sp. 22c L-arabinose isomerase resulted in a 90% yield of lactose hydrolysis, the complete utilization of D-glucose and a 30% conversion of D-galactose to D-tagatose. Conclusions: The method developed for the simultaneous hydrolysis of lactose, utilization of D-glucose and isomerization of D-galactose using a P. pastoris strain secreting beta-D-galactosidase and recombinant L-arabinose isomerase seems to offer an interesting alternative for the production of D-tagatose from lactose-containing feedstock.</t>
  </si>
  <si>
    <t>[Wanarska, Marta; Kur, Jozef] Gdansk Univ Technol, Fac Chem, Dept Microbiol, PL-80233 Gdansk, Poland; [Wanarska, Marta; Kur, Jozef] BLIRT SA, PL-80172 Gdansk, Poland</t>
  </si>
  <si>
    <t>Fahrenheit Universities; Gdansk University of Technology</t>
  </si>
  <si>
    <t>Wanarska, M (corresponding author), Gdansk Univ Technol, Fac Chem, Dept Microbiol, Narutowicza 11-12, PL-80233 Gdansk, Poland.</t>
  </si>
  <si>
    <t>marwanar@pg.gda.pl</t>
  </si>
  <si>
    <t>Wanarska, Marta/0000-0001-5343-4302</t>
  </si>
  <si>
    <t>1475-2859</t>
  </si>
  <si>
    <t>MICROB CELL FACT</t>
  </si>
  <si>
    <t>Microb. Cell. Fact.</t>
  </si>
  <si>
    <t>AUG 23</t>
  </si>
  <si>
    <t>10.1186/1475-2859-11-113</t>
  </si>
  <si>
    <t>053EP</t>
  </si>
  <si>
    <t>WOS:000312253900001</t>
  </si>
  <si>
    <t>Narcisi, B; Petit, JR; Delmonte, B; Scarchilli, C; Stenni, B</t>
  </si>
  <si>
    <t>Narcisi, Biancamaria; Petit, Jean Robert; Delmonte, Barbara; Scarchilli, Claudio; Stenni, Barbara</t>
  </si>
  <si>
    <t>A 16,000-yr tephra framework for the Antarctic ice sheet: a contribution from the new Tabs Dome core</t>
  </si>
  <si>
    <t>Tephra layers; Ice cores; East Antarctica; Climate records; Holocene</t>
  </si>
  <si>
    <t>NORTHERN VICTORIA LAND; PAST 800,000 YEARS; EAST ANTARCTICA; TALOS DOME; WEST ANTARCTICA; SOUTHERN-ANDES; SIPLE DOME; EXPLOSIVE ERUPTIONS; LAST DEGLACIATION; HUDSON VOLCANO</t>
  </si>
  <si>
    <t>A detailed tephra record for the last 16,000 years of the TALDICE ice core drilled at Tabs Dome (East Antarctica, Pacific/Ross Sea sector) is documented. Traces of 26 different explosive volcanic eruptions, dated by ice core chronology and framed within the climate (delta O-18) record for the core, have been identified. Glass major element composition and grain size data indicate that all prominent tephra layers derive from Antarctic volcanic activity and likely originated in proximal volcanoes of the Melbourne Volcanic Province (Northern Victoria Land). Two other Antarctic horizons may have originated from the more distant volcanoes of Mount Berlin (Marie Byrd Land, West Antarctica) and Mount Erebus (Ross Island, Southern Victoria Land). Moreover, based on glass-shard geochemistry and a 20-year analysis of atmospheric back trajectories suggesting ash transport from South America to the drilling site by the circumpolar westerly circulation, a few faint microtephra horizons are attributed to Andean volcanic activity. Two of these tephras are interpreted to be related to known Holocene explosive eruptions from the volcanoes of Mount Hudson and Mount Burney. Finally, by comparing compositional features in conjunction with age data, three TALDICE tephras have been successfully correlated with volcanic layers in other ice records of the Antarctic ice sheet. Altogether, our results expand the Antarctic tephrostratigraphic framework and add value to the prospects for continental-scale correlations between ice cores and Southern Hemisphere sediment archives. (C) 2012 Elsevier Ltd. All rights reserved.</t>
  </si>
  <si>
    <t>[Narcisi, Biancamaria; Scarchilli, Claudio] C R Casaccia, ENEA, I-00123 Rome, Italy; [Petit, Jean Robert] CNRS, UJF, LGGE, Grenoble, France; [Delmonte, Barbara] Univ Studi Milano Bicocca, DISAT, Milan, Italy; [Stenni, Barbara] Univ Trieste, Dept Math &amp; Geosci, Trieste, Italy</t>
  </si>
  <si>
    <t>Italian National Agency New Technical Energy &amp; Sustainable Economics Development; Centre National de la Recherche Scientifique (CNRS); Communaute Universite Grenoble Alpes; Universite Grenoble Alpes (UGA); University of Milano-Bicocca; University of Trieste</t>
  </si>
  <si>
    <t>Narcisi, B (corresponding author), C R Casaccia, ENEA, I-00123 Rome, Italy.</t>
  </si>
  <si>
    <t>biancamaria.narcisi@enea.it; petit@lgge.obs.ujf-grenoble.fr; barbara.delmonte@unimib.it; claudio.scarchilli@enea.it; stenni@units.it</t>
  </si>
  <si>
    <t>Delmonte, Barbara/L-2555-2015</t>
  </si>
  <si>
    <t>Delmonte, Barbara/0000-0002-9074-2061; Scarchilli, Claudio/0000-0002-2414-2439; Stenni, Barbara/0000-0003-4950-3664</t>
  </si>
  <si>
    <t>Italian Programma Nazionale di Ricerche in Antartide (PNRA)</t>
  </si>
  <si>
    <t>We thank the logistic and drilling TALDICE team, M. Tonelli (CIGS, Modena) and R. Carampin (CNR, Padova) for assistance during tephra microanalysis, and Siwan M. Davies and Nelia W. Dunbar for constructive comments on the manuscript. The NOAA Air Resources Laboratory (ARL) is gratefully acknowledged for the provision of the HYSPLIT transport and dispersion model used in this publication. This work is a contribution to the Tabs Dome Ice Core Project (TALDICE), a joint European programme led by Italy and funded by national contributions from Italy, France, Germany, Switzerland and the United Kingdom. This work was financially supported by the Italian Programma Nazionale di Ricerche in Antartide (PNRA) that also provided the main logistical support during ice core drilling operations at Tabs Dome. In addition, this paper contributes to the HOLOCLIP project, a joint research project of ESF PolarCLIMATE programme, funded by national contributions from Italy, France, Germany, Spain, Netherlands, Belgium and the United Kingdom. This is TALDICE publication no 25 and HOLOCLIP publication no 12.</t>
  </si>
  <si>
    <t>10.1016/j.quascirev.2012.06.011</t>
  </si>
  <si>
    <t>995YN</t>
  </si>
  <si>
    <t>WOS:000308051300004</t>
  </si>
  <si>
    <t>Stevens, MH; Deaver, LE; Hervig, ME; Russell, JM; Siskind, DE; Sheese, PE; Llewellyn, EJ; Gattinger, RL; Höffner, J; Marshall, BT</t>
  </si>
  <si>
    <t>Stevens, Michael H.; Deaver, Lance E.; Hervig, Mark E.; Russell, James M., III; Siskind, David E.; Sheese, Patrick E.; Llewellyn, Edward J.; Gattinger, Richard L.; Hoeffner, Josef; Marshall, B. T.</t>
  </si>
  <si>
    <t>Validation of upper mesospheric and lower thermospheric temperatures measured by the Solar Occultation for Ice Experiment</t>
  </si>
  <si>
    <t>SUMMER MESOSPHERE; THERMAL STRUCTURE; MESOPAUSE; MODEL; RETRIEVAL</t>
  </si>
  <si>
    <t>Temperature observations in the polar mesosphere and lower thermosphere are critical for studies of polar mesospheric cloud (PMC) formation and variability. The Solar Occultation for Ice Experiment (SOFIE) on NASA's Aeronomy of Ice in the Mesosphere (AIM) satellite has been measuring temperatures in the polar atmosphere nearly continuously since 2007. We herein present an improved SOFIE temperature data set and validate it against a variety of satellite and ground-based observations. We find that when taking all comparisons together, SOFIE temperatures are in agreement with independent observations to within reported systematic uncertainties from 15 to 88 km altitude. Between 88 and 95 km SOFIE temperatures have a warm bias that peaks between 10 and 15 K in the Arctic summer and 20-30 K in the Antarctic summer. Much of the warm bias is likely related to uncertainties in prescribed atomic oxygen densities that are required for the SOFIE temperature retrieval.</t>
  </si>
  <si>
    <t>[Stevens, Michael H.; Siskind, David E.] USN, Res Lab, Div Space Sci, Washington, DC 20375 USA; [Deaver, Lance E.; Hervig, Mark E.; Marshall, B. T.] GATS Inc, Newport News, VA USA; [Russell, James M., III] Hampton Univ, Ctr Atmospher Sci, Hampton, VA 23668 USA; [Sheese, Patrick E.] Univ Toronto, Dept Phys, Toronto, ON, Canada; [Llewellyn, Edward J.; Gattinger, Richard L.] Univ Saskatchewan, Dept Phys &amp; Engn Phys, Saskatoon, SK, Canada; [Hoeffner, Josef] Inst Atmospher Phys, Kuhlungsborn, Germany</t>
  </si>
  <si>
    <t>United States Department of Defense; United States Navy; Naval Research Laboratory; Hampton University; University of Toronto; University of Saskatchewan; Leibniz Institut fur Atmospharenphysik e.V. an der Universitat Rostock (IAP)</t>
  </si>
  <si>
    <t>Stevens, MH (corresponding author), USN, Res Lab, Div Space Sci, Code 7641,4555 Overlook Ave SW, Washington, DC 20375 USA.</t>
  </si>
  <si>
    <t>michael.stevens@nrl.navy.mil</t>
  </si>
  <si>
    <t>Siskind, David/GOK-1398-2022</t>
  </si>
  <si>
    <t>Stevens, Michael/0000-0003-1082-8955</t>
  </si>
  <si>
    <t>NASA [NAS5-03132]; Canadian Space Agency</t>
  </si>
  <si>
    <t>NASA(National Aeronautics &amp; Space Administration (NASA)); Canadian Space Agency(Canadian Space Agency)</t>
  </si>
  <si>
    <t>Funding of this research was provided by NASA's Small Explorers Program under contract NAS5-03132 that supports the implementation of the AIM mission. The Atmospheric Chemistry Experiment (ACE), also known as SCISAT, is a Canadian-led mission mainly supported by the Canadian Space Agency. We thank Andrew Kochenash for his assistance in the analysis of SABER temperatures.</t>
  </si>
  <si>
    <t>D16304</t>
  </si>
  <si>
    <t>10.1029/2012JD017689</t>
  </si>
  <si>
    <t>996GC</t>
  </si>
  <si>
    <t>WOS:000308071900002</t>
  </si>
  <si>
    <t>Bairlein, F; Norris, DR; Nagel, R; Bulte, M; Voigt, CC; Fox, JW; Hussell, DJT; Schmaljohann, H</t>
  </si>
  <si>
    <t>Bairlein, Franz; Norris, D. Ryan; Nagel, Rolf; Bulte, Marc; Voigt, Christian C.; Fox, James W.; Hussell, David J. T.; Schmaljohann, Heiko</t>
  </si>
  <si>
    <t>Cross-hemisphere migration of a 25 g songbird</t>
  </si>
  <si>
    <t>BIOLOGY LETTERS</t>
  </si>
  <si>
    <t>Africa; geolocator; northern wheatear; stable-hydrogen isotopes</t>
  </si>
  <si>
    <t>The northern wheatear (Oenanthe oenanthe) is a small (approx. 25 g), insectivorous migrant with one of the largest ranges of any songbird in the world, breeding from the eastern Canadian Arctic across Greenland, Eurasia and into Alaska (AK). However, there is no evidence that breeding populations in the New World have established overwintering sites in the Western Hemisphere. Using light-level geolocators, we demonstrate that individuals from these New World regions overwinter in northern sub-Sahara Africa, with Alaskan birds travelling approximately 14500 km each way and an eastern Canadian Arctic bird crossing a wide stretch of the North Atlantic (approx. 3500 km). These remarkable journeys, particularly for a bird of this size, last between one to three months depending on breeding location and season (autumn/spring) and result in mean overall migration speeds of up to 290 km d(-1). Stable-hydrogen isotope analysis of winter-grown feathers sampled from breeding birds generally support the notion that Alaskan birds overwinter primarily in eastern Africa and eastern Canadian Arctic birds overwinter mainly in western Africa. Our results provide the first evidence of a migratory songbird capable of linking African ecosystems of the Old World with Arctic regions of the New World.</t>
  </si>
  <si>
    <t>[Bairlein, Franz; Nagel, Rolf; Bulte, Marc; Schmaljohann, Heiko] Inst Avian Res Vogelwarte Helgoland, D-26386 Wilhelmshaven, Germany; [Norris, D. Ryan] Univ Guelph, Dept Integrat Biol, Guelph, ON N1G 2W1, Canada; [Voigt, Christian C.] Leibniz Inst Zoo &amp; Wildlife Res, D-10315 Berlin, Germany; [Fox, James W.] British Antarctic Survey, NERC, Cambridge CB3 0ET, England; [Hussell, David J. T.] Ontario Minist Nat Resources, Peterborough, ON K9J 7BS, Canada</t>
  </si>
  <si>
    <t>University of Guelph; Leibniz Institut fur Zoo und Wildtierforschung; UK Research &amp; Innovation (UKRI); Natural Environment Research Council (NERC); NERC British Antarctic Survey; Ministry of Natural Resources &amp; Forestry</t>
  </si>
  <si>
    <t>Schmaljohann, H (corresponding author), Inst Avian Res Vogelwarte Helgoland, Vogelwarte 21, D-26386 Wilhelmshaven, Germany.</t>
  </si>
  <si>
    <t>heiko.schmaljohann@ifv-vogelwarte.de</t>
  </si>
  <si>
    <t>Schmaljohann, Heiko/A-2284-2011; Norris, Ryan/F-4720-2011</t>
  </si>
  <si>
    <t>Schmaljohann, Heiko/0000-0002-0886-4319; Norris, Ryan/0000-0003-4874-1425</t>
  </si>
  <si>
    <t>Deutsche Forschungsgemeinschaft [BA 816/15-4]; Canadian Foundation for Innovation; Bird Studies CN; Natural Environment Research Council [bas010011] Funding Source: researchfish; NERC [bas010011] Funding Source: UKRI</t>
  </si>
  <si>
    <t>Deutsche Forschungsgemeinschaft(German Research Foundation (DFG)); Canadian Foundation for Innovation(Canada Foundation for Innovation); Bird Studies CN; Natural Environment Research Council(UK Research &amp; Innovation (UKRI)Natural Environment Research Council (NERC)); NERC(UK Research &amp; Innovation (UKRI)Natural Environment Research Council (NERC))</t>
  </si>
  <si>
    <t>This work was supported by a Deutsche Forschungsgemeinschaft (BA 816/15-4) grant to F.B. and H.S. and a Canadian Foundation for Innovation grant to D.R.N. We thank B. Pattinson, R. Gill, E. Paul in AK and M. Mallory, M. E. Thomas, R. Armstrong in Nunavat for advice with permits and S. Sharbaugh, K. Winker, E. Dunn, J. Hussell, and D. Strickland for support and field work. E.D., J.H., D.S. and D.J.T.H. were supported by Bird Studies CN. A. Luckner assisted with stable-isotope analysis.</t>
  </si>
  <si>
    <t>1744-9561</t>
  </si>
  <si>
    <t>1744-957X</t>
  </si>
  <si>
    <t>BIOL LETTERS</t>
  </si>
  <si>
    <t>Biol. Lett.</t>
  </si>
  <si>
    <t>10.1098/rsbl.2011.1223</t>
  </si>
  <si>
    <t>Biology; Ecology; Evolutionary Biology</t>
  </si>
  <si>
    <t>Life Sciences &amp; Biomedicine - Other Topics; Environmental Sciences &amp; Ecology; Evolutionary Biology</t>
  </si>
  <si>
    <t>973LN</t>
  </si>
  <si>
    <t>WOS:000306361700008</t>
  </si>
  <si>
    <t>García, M; Dowdeswell, JA; Ercilla, G; Jakobsson, M</t>
  </si>
  <si>
    <t>Garcia, Marga; Dowdeswell, Julian A.; Ercilla, Gemma; Jakobsson, Martin</t>
  </si>
  <si>
    <t>Recent glacially influenced sedimentary processes on the East Greenland continental slope and deep Greenland Basin</t>
  </si>
  <si>
    <t>Greenland Basin; Glacially influenced sedimentary processes; Debris flows; Turbidite systems</t>
  </si>
  <si>
    <t>NORTH-ATLANTIC MARGINS; ANTARCTIC ICE-SHEET; SEA FAN; TURBIDITY CURRENTS; SCORESBY-SUND; SEISMIC STRATIGRAPHY; SUBMARINE LANDSLIDES; DEBRIS FLOWS; MOUTH; OCEAN</t>
  </si>
  <si>
    <t>This paper presents the morpho-sedimentary characterization and interpretations of the assemblage of landforms of the East Greenland continental slope and Greenland Basin, based on swath bathymetry and sub-bottom TOPAS profiles. The interpretation of landforms reveals the glacial influence on recent sedimentary processes shaping the seafloor, including mass-wasting and turbidite flows. The timing of landform development points to a predominantly glacial origin of the sediment supplied to the continental margin, supporting the scenario of a Greenland Ice Sheet extending across the continental shelf, or even to the shelf-edge, during the Last Glacial Maximum (LGM). Major sedimentary processes along the central section of the eastern Greenland Continental Slope, the Norske margin, suggest a relatively high glacial sediment input during the LGM that, probably triggered by tectonic activity, led to the development of scarps and channels on the slope and debris flows on the continental rise. The more southerly Kejser Franz Josef margin has small-scale mass-wasting deposits and an extensive turbidite system that developed in relation to both channelised and unconfined turbidity flows which transferred sediments into the deep Greenland Basin. (C) 2012 Elsevier Ltd. All rights reserved.</t>
  </si>
  <si>
    <t>[Garcia, Marga; Dowdeswell, Julian A.] Univ Cambridge, Scott Polar Res Inst, Cambridge CB2 1ER, England; [Ercilla, Gemma] CSIC, Inst Ciencias Mar, Grp Margenes Continentales, E-08003 Barcelona, Spain; [Jakobsson, Martin] Stockholm Univ, Dept Geol Sci, S-10691 Stockholm, Sweden</t>
  </si>
  <si>
    <t>University of Cambridge; Consejo Superior de Investigaciones Cientificas (CSIC); Stockholm University</t>
  </si>
  <si>
    <t>García, M (corresponding author), Univ Granada, CSIC, Inst Andaluz Ciencias Tierra, Avda Palmeras 4, Granada 18100, Spain.</t>
  </si>
  <si>
    <t>marguita.garcia@gmail.com</t>
  </si>
  <si>
    <t>Ercilla, Gemma/G-8180-2015; Garcia, Marga/L-7410-2014; Jakobsson, Martin/JAN-6828-2023; Jakobsson, Martin/F-6214-2010</t>
  </si>
  <si>
    <t>Garcia, Marga/0000-0003-2632-6132; Jakobsson, Martin/0000-0002-9033-3559; Ercilla, Gemma/0000-0002-9709-2938; Dowdeswell, Julian/0000-0003-1369-9482</t>
  </si>
  <si>
    <t>UK NERC [GST/02/2198]; European Commission; Erskine Bequest; Swedish Research Council (VR); Bert Bolin Centre for Climate Research at Stockholm University through FORMAS</t>
  </si>
  <si>
    <t>UK NERC(UK Research &amp; Innovation (UKRI)Natural Environment Research Council (NERC)); European Commission(European Union (EU)European Commission Joint Research Centre); Erskine Bequest; Swedish Research Council (VR)(Swedish Research Council); Bert Bolin Centre for Climate Research at Stockholm University through FORMAS(Swedish Research Council Formas)</t>
  </si>
  <si>
    <t>We thank Neil Kenyon and Colm O Cofaigh for their help with data acquisition on Cruise JR51 of the RRS James Clark Ross. The cruise was funded through UK NERC Grant GST/02/2198 to Julian Dowdeswell. A Marie Curie Intra-European Fellowship (7th Framework Programme, European Commission) has supported the research of Marga Garcia in the Scott Polar Research Institute, University of Cambridge. Writing of the paper was completed while Julian Dowdeswell was Visiting Cambridge Fellow at Gateway Antarctica, University of Canterbury, New Zealand, funded through the Erskine Bequest. M. Jakobsson received support from the Swedish Research Council (VR) and the Bert Bolin Centre for Climate Research at Stockholm University through a grant from FORMAS. We are grateful to the editor and reviewers for their suggestions that have contributed to improve the quality and clarity of this work.</t>
  </si>
  <si>
    <t>10.1016/j.quascirev.2012.06.016</t>
  </si>
  <si>
    <t>WOS:000308051300005</t>
  </si>
  <si>
    <t>Heupink, TH; van den Hoff, J; Lambert, DM</t>
  </si>
  <si>
    <t>Heupink, Tim H.; van den Hoff, John; Lambert, David M.</t>
  </si>
  <si>
    <t>King penguin population on Macquarie Island recovers ancient DNA diversity after heavy exploitation in historic times</t>
  </si>
  <si>
    <t>King penguin; Macquarie Island; genetic diversity; ancient DNA; conservation</t>
  </si>
  <si>
    <t>APTENODYTES-PATAGONICUS</t>
  </si>
  <si>
    <t>Historically, king penguin populations on Macquarie Island have suffered greatly from human exploitation. Two large colonies on the island were drastically reduced to a single small colony as a result of harvesting for the blubber oil industry. However, recent conservation efforts have resulted in the king penguin population expanding in numbers and range to recolonize previous as well as new sites. Ancient DNA methods were used to estimate past genetic diversity and combined with studies of modern populations, we are now able to compare past levels of variation with extant populations on northern Macquarie Island. The ancient and modern populations are closely related and show a similar level of genetic diversity. These results suggest that the king penguin population has recovered past genetic diversity in just 80 years owing to conservation efforts, despite having seen the brink of extinction.</t>
  </si>
  <si>
    <t>[Heupink, Tim H.; Lambert, David M.] Griffith Univ, Environm Futures Ctr, Nathan, Qld 4111, Australia; [Heupink, Tim H.; Lambert, David M.] Griffith Univ, Australian Rivers Inst, Nathan, Qld 4111, Australia; [van den Hoff, John] Australian Antarctic Div, Kingston, Tas 7050, Australia</t>
  </si>
  <si>
    <t>Griffith University; Griffith University; Australian Antarctic Division</t>
  </si>
  <si>
    <t>Lambert, DM (corresponding author), Griffith Univ, Environm Futures Ctr, Nathan, Qld 4111, Australia.</t>
  </si>
  <si>
    <t>d.lambert@griffith.edu.au</t>
  </si>
  <si>
    <t>Heupink, Tim H/B-3609-2014</t>
  </si>
  <si>
    <t>Lambert, David/0000-0002-5821-3637; Heupink, Tim/0000-0001-6237-3898</t>
  </si>
  <si>
    <t>Griffith University</t>
  </si>
  <si>
    <t>Griffith University(Griffith University - Gold Coast Campus)</t>
  </si>
  <si>
    <t>We thank Nancy Beavan, Leon Huynen and Sankar Subramanian for helpful discussions, Griffith University for providing T. H. H. with financial support and J.v.d.H. thanks Chris Oosthuizen and Ben Arthur for their efforts collecting the bone samples. Thanks also to the editor and two anonymous referees for helpful comments on an earlier draft.</t>
  </si>
  <si>
    <t>10.1098/rsbl.2012.0053</t>
  </si>
  <si>
    <t>WOS:000306361700030</t>
  </si>
  <si>
    <t>Collins, LG; Pike, J; Allen, CS; Hodgson, DA</t>
  </si>
  <si>
    <t>Collins, Lewis G.; Pike, Jennifer; Allen, Claire S.; Hodgson, Dominic A.</t>
  </si>
  <si>
    <t>High-resolution reconstruction of southwest Atlantic sea-ice and its role in the carbon cycle during marine isotope stages 3 and 2</t>
  </si>
  <si>
    <t>LAST GLACIAL MAXIMUM; SOUTHERN-OCEAN SEDIMENTS; ATMOSPHERIC CO2 CONCENTRATIONS; ANTARCTIC CIRCUMPOLAR CURRENT; MAJOR DIATOM TAXA; THERMOHALINE CIRCULATION; WEDDELL SEA; SURFACE SEDIMENTS; SCOTIA SEA; ROSS SEA</t>
  </si>
  <si>
    <t>Recent modeling suggests that changes in Southern Ocean sea-ice extent potentially regulated the exchange of CO2 release between the ocean and atmosphere during glacials. Unfortunately, a lack of high-resolution sea-ice records from the Southern Ocean has prevented detailed testing of these model-based hypotheses with field data. Here we present high-resolution records of Southern Ocean sea-ice, for the period 35-15 cal ka BP, derived from diatom assemblages measured in three glacial sediment cores forming an similar to 8 degrees transect across the Scotia Sea, southwest Atlantic. Chronological control was achieved through a novel combination of diatom abundance stratigraphy, relative geomagnetic paleointensity data, and down-core magnetic susceptibility and ice core dust correlation. Results showed that the winter sea-ice edge reached its maximum northward extent of similar to 53 degrees S, at least 3 degrees north of its modern limit, between similar to 25 and similar to 23.5 cal ka BP, predating the Last Glacial Maximum (LGM). Maximum northward expansion of the summer sea-ice edge also pre-dated the LGM, advancing to at least 61 degrees S, and possibly as far north as 55 degrees S between similar to 31 and similar to 23.5 cal ka BP, a similar to 12 degrees advance from its modern position. A clear shift in the seasonal sea-ice zone is evident following summer sea-ice edge retreat at similar to 23.5 cal ka BP, potentially related to austral insolation forcing. This resulted in an expanded seasonal sea-ice zone between similar to 22.5 cal ka BP and deglaciation. Our field data confirm that Southern Ocean sea-ice had the physical potential to influence the carbon cycle both as a physical barrier and more importantly through the suppression of vertical mixing and cycling of pre-formed nutrients. Our data indicates that Southern Ocean sea-ice was most effective as a physical barrier between similar to 31 and similar to 23.5 cal ka BP and as a mechanism capable of reducing vertical mixing between similar to 22.5 cal ka BP and deglaciation. However, poor correlations with atmospheric CO2 variability recorded in ice cores, particularly the lack of a CO2 response during a rapid sea-ice meltback event, recorded at our study sites at the same time as Antarctic Isotopic Maximum 2, suggest that Southern Ocean sea-ice in the Scotia Sea did not play a controlling role in atmospheric CO2 variation during the glacial.</t>
  </si>
  <si>
    <t>[Collins, Lewis G.] Univ Paris 06, CNRS, LOCEAN IPSL, F-75252 Paris, France; [Collins, Lewis G.; Allen, Claire S.; Hodgson, Dominic A.] British Antarctic Survey, NERC, Cambridge CB3 0ET, England; [Pike, Jennifer] Cardiff Univ, Sch Earth &amp; Ocean Sci, Cardiff, S Glam, Wales</t>
  </si>
  <si>
    <t>Sorbonne Universite; Museum National d'Histoire Naturelle (MNHN); Centre National de la Recherche Scientifique (CNRS); UK Research &amp; Innovation (UKRI); Natural Environment Research Council (NERC); NERC British Antarctic Survey; Cardiff University</t>
  </si>
  <si>
    <t>Collins, LG (corresponding author), Univ Paris 06, CNRS, OCEAN IPSL, Tour 46-00,4 Pl Jussieu,BP100, F-75252 Paris, France.</t>
  </si>
  <si>
    <t>lclod@locean-ipsl.upmc.fr</t>
  </si>
  <si>
    <t>Pike, Jennifer/D-2589-2009</t>
  </si>
  <si>
    <t>Pike, Jennifer/0000-0001-9415-6003; Collins, Lewis/0000-0003-0266-4997</t>
  </si>
  <si>
    <t>Natural Environment Research Council (NERC) CASE studentship [NER/S/A/2005/13647]; British Antarctic Survey Quaternary Sediments; Natural Environment Research Council [bas0100024] Funding Source: researchfish; NERC [bas0100024] Funding Source: UKRI</t>
  </si>
  <si>
    <t>Natural Environment Research Council (NERC) CASE studentship(UK Research &amp; Innovation (UKRI)Natural Environment Research Council (NERC)); British Antarctic Survey Quaternary Sediments; Natural Environment Research Council(UK Research &amp; Innovation (UKRI)Natural Environment Research Council (NERC)); NERC(UK Research &amp; Innovation (UKRI)Natural Environment Research Council (NERC))</t>
  </si>
  <si>
    <t>We thank the Captain, crew, and scientific parties aboard the RSS James Clark Ross during cruises JR04 and JR48 for their support during the collection of cores TPC063, TPC078, and TPC286. We also thank the NERC Radiocarbon Facility and M. Hounslow and V. Karloukovski of the Lancaster Environment Centre for their contribution to the chronology, Hilary Blagbrough for her contribution to diatom counts, K. Weckstrom for helpful and constructive comments on the manuscript, and M. Hain and an anonymous reviewer for their thoughtful reviews of the manuscript. This research was supported by the British Antarctic Survey Quaternary Sediments work package led by D. A. H. and a Natural Environment Research Council (NERC) CASE studentship (NER/S/A/2005/13647) awarded to L.G.C.</t>
  </si>
  <si>
    <t>AUG 22</t>
  </si>
  <si>
    <t>PA3217</t>
  </si>
  <si>
    <t>10.1029/2011PA002264</t>
  </si>
  <si>
    <t>995KK</t>
  </si>
  <si>
    <t>WOS:000308006700001</t>
  </si>
  <si>
    <t>Schulz, EW; Josey, SA; Verein, R</t>
  </si>
  <si>
    <t>Schulz, E. W.; Josey, S. A.; Verein, R.</t>
  </si>
  <si>
    <t>First air-sea flux mooring measurements in the Southern Ocean</t>
  </si>
  <si>
    <t>ANNULAR MODES; EXTRATROPICAL CIRCULATION; HEAT; VARIABILITY; WINDS</t>
  </si>
  <si>
    <t>The Southern Ocean is a key component of the global climate system: insulating the Antarctic polar region from the subtropics, transferring climate signals throughout the world's oceans and forming the southern component of the global overturning circulation. However, the air-sea fluxes that drive these processes are severely under-observed due to the harsh and remote location. This paucity of reference observations has resulted in large uncertainties in ship-based, numerical weather prediction, satellite and derived flux products. Here, we report observations from the Southern Ocean Flux Station (SOFS); the first successful air-sea flux mooring deployment in this ocean. The mooring was deployed at 47 degrees S, 142 degrees E for March 2010 to March 2011 and returned measurements of near surface meteorological variables and radiative components of the heat exchange. These observations enable the first accurate quantification of the annual cycle of net air-sea heat exchange and wind stress from a Southern Ocean location. They reveal a high degree of variability in the net heat flux with extreme turbulent heat loss events, reaching -470 Wm(-2) in the daily mean, associated with cold air flowing from higher southern latitudes. The observed annual mean net air-sea heat flux is a small net ocean heat loss of -10 Wm(-2), with seasonal extrema of 139 Wm(-2) in January and -79 Wm(-2) in July. The novel observations made with the SOFS mooring provide a key point of reference for addressing the high level of uncertainty that currently exists in Southern Ocean air-sea flux datasets. Citation: Schulz, E. W., S. A. Josey, and R. Verein (2012), First air-sea flux mooring measurements in the Southern Ocean, Geophys. Res. Lett., 39, L16606, doi:10.1029/2012GL052290.</t>
  </si>
  <si>
    <t>[Schulz, E. W.; Verein, R.] Australian Bur Meteorol, Ctr Australian Weather &amp; Climate Res, Melbourne, Vic, Australia; [Josey, S. A.] Natl Oceanog Ctr, Southampton, Hants, England</t>
  </si>
  <si>
    <t>Bureau of Meteorology - Australia; Commonwealth Scientific &amp; Industrial Research Organisation (CSIRO); NERC National Oceanography Centre</t>
  </si>
  <si>
    <t>Schulz, EW (corresponding author), Bur Meteorol, Ctr Australian Weather &amp; Climate Res, GPO Box 1289, Melbourne, Vic 3001, Australia.</t>
  </si>
  <si>
    <t>e.schulz@bom.gov.au</t>
  </si>
  <si>
    <t>NERC [noc010010, noc010005] Funding Source: UKRI; Natural Environment Research Council [noc010005, noc010010] Funding Source: researchfish</t>
  </si>
  <si>
    <t>AUG 21</t>
  </si>
  <si>
    <t>L16606</t>
  </si>
  <si>
    <t>10.1029/2012GL052290</t>
  </si>
  <si>
    <t>995JD</t>
  </si>
  <si>
    <t>WOS:000308003300001</t>
  </si>
  <si>
    <t>MacGregor, JA; Matsuoka, K; Waddington, ED; Winebrenner, DP; Pattyn, F</t>
  </si>
  <si>
    <t>MacGregor, Joseph A.; Matsuoka, Kenichi; Waddington, Edwin D.; Winebrenner, Dale P.; Pattyn, Frank</t>
  </si>
  <si>
    <t>Spatial variation of englacial radar attenuation: Modeling approach and application to the Vostok flowline</t>
  </si>
  <si>
    <t>ANTARCTIC ICE-SHEET; WEST ANTARCTICA; EAST ANTARCTICA; LAKE VOSTOK; SUBGLACIAL WATER; BASAL CONDITIONS; BED PROPERTIES; SOUNDING DATA; SIPLE-DOME; HEAT-FLUX</t>
  </si>
  <si>
    <t>Constraining the spatial variation of englacial radar attenuation is critical for accurate inference of the spatial variation of the englacial and basal properties of ice sheets from radar returned power. Here we evaluate attenuation models that account for spatial variations in ice temperature and chemistry and test them along the flowline that passes through the Vostok ice core site, Antarctica. The simplest model, often used but rarely valid, assumes a uniform attenuation rate everywhere along the flowline, so that total attenuation is proportional to ice thickness. The next simplest model uses spatially varying temperatures predicted by an ice-flow model and assumes uniform chemistry. Additional models account for spatially varying chemistry using englacial stratigraphy. We find that the roundtrip attenuation to the bed can easily differ by 10 dB or more between the uniform attenuation-rate model and models that account for variable ice temperature. Such differences are sufficient to confound the delineation of dry and wet beds. Also including spatial variations in chemistry produces smaller differences (&lt;10 dB), but the magnitude of these differences depends on the relative importance of dry and wet deposition of impurities in the past. Accounting for dry-deposited impurities requires ice-flow modeling and results in larger differences from all other models, which assume uniform chemistry or wet deposition only. These results indicate that modeling the spatial variation of attenuation requires a spatially varying temperature model in order to infer bed conditions from bed returned power accurately, and that both ice core data and radar stratigraphy are also strongly desirable.</t>
  </si>
  <si>
    <t>[MacGregor, Joseph A.] Univ Texas Austin, Inst Geophys, Austin, TX 78758 USA; [Matsuoka, Kenichi] Norwegian Polar Res Inst, Tromso, Norway; [Waddington, Edwin D.; Winebrenner, Dale P.] Univ Washington, Dept Earth &amp; Space Sci, Seattle, WA 98195 USA; [Winebrenner, Dale P.] Univ Washington, Appl Phys Lab, Polar Sci Ctr, Seattle, WA 98105 USA; [Pattyn, Frank] Univ Libre Brussels, Dept Sci Terre &amp; Environm, Brussels, Belgium</t>
  </si>
  <si>
    <t>University of Texas System; University of Texas Austin; Norwegian Polar Institute; University of Washington; University of Washington Seattle; University of Washington; University of Washington Seattle; Universite Libre de Bruxelles</t>
  </si>
  <si>
    <t>MacGregor, JA (corresponding author), Univ Texas Austin, Inst Geophys, Austin, TX 78758 USA.</t>
  </si>
  <si>
    <t>joemac@ig.utexas.edu</t>
  </si>
  <si>
    <t>Pattyn, Frank/AAA-9640-2019; MacGregor, Joseph A/A-6746-2010; Matsuoka, Kenichi/B-7298-2017</t>
  </si>
  <si>
    <t>Pattyn, Frank/0000-0003-4805-5636; Matsuoka, Kenichi/0000-0002-3587-3405</t>
  </si>
  <si>
    <t>U.S. National Science Foundation [ANT 0538674]; Applied Physics Laboratory at the University of Washington</t>
  </si>
  <si>
    <t>U.S. National Science Foundation(National Science Foundation (NSF)); Applied Physics Laboratory at the University of Washington</t>
  </si>
  <si>
    <t>The U.S. National Science Foundation supported this work at the University of Washington (ANT 0538674). The Applied Physics Laboratory at the University of Washington provided a research fellowship for J. MacGregor. We thank M. Studinger for providing the flow field, the former SOAR at The University of Texas at Austin for collection of the radar data, J.-R Petit, M. de Angelis and M. Legrand for providing the ice core-chemistry data, and V. Lipenkov for the density data. We thank the editor (B. Hubbard), R. Bingham, and two anonymous reviewers for comments that improved the manuscript.</t>
  </si>
  <si>
    <t>F03022</t>
  </si>
  <si>
    <t>10.1029/2011JF002327</t>
  </si>
  <si>
    <t>996GF</t>
  </si>
  <si>
    <t>WOS:000308072200002</t>
  </si>
  <si>
    <t>Kurtz, NT; Markus, T</t>
  </si>
  <si>
    <t>Kurtz, N. T.; Markus, T.</t>
  </si>
  <si>
    <t>Satellite observations of Antarctic sea ice thickness and volume</t>
  </si>
  <si>
    <t>SOUTHERN-OCEAN; SNOW DEPTH; VARIABILITY; BELLINGSHAUSEN; ACCUMULATION; FREEBOARD; AMUNDSEN; MODEL; CYCLE</t>
  </si>
  <si>
    <t>We utilize satellite laser altimetry data from NASA's Ice, Cloud, and land Elevation Satellite (ICESat) combined with passive microwave measurements to analyze basin-wide changes in Antarctic sea ice thickness and volume over a 5 year period from 2003-2008. Sea ice thickness exhibits a small negative trend while area increases in the summer and fall balanced losses in thickness leading to small overall volume changes. Using a 5 year time series, we show that only small ice thickness changes of less than -0.03 m/yr and volume changes of -266 km(3)/yr and 160 km(3)/yr occurred for the spring and summer periods, respectively. These results are in stark contrast to the much greater observed losses in Arctic sea ice volume and illustrate the different hemispheric changes of the polar sea ice covers in recent years. The uncertainties in the calculated thickness and volume trends are large compared to the observed basin-scale trends. This masks the determination of a long-term trend or cyclical variability in the sea ice cover. It is found that lengthening of the observation time series along with better determination of the interannual variability of sea ice and snow densities will allow for a more statistically significant determination of long-term sea ice thickness and volume trends in the Southern Ocean.</t>
  </si>
  <si>
    <t>[Kurtz, N. T.] Morgan State Univ, Baltimore, MD 21251 USA; [Kurtz, N. T.; Markus, T.] NASA, Goddard Space Flight Ctr, Hydrospher &amp; Biospher Sci Lab, Greenbelt, MD 20771 USA</t>
  </si>
  <si>
    <t>Morgan State University; National Aeronautics &amp; Space Administration (NASA); NASA Goddard Space Flight Center</t>
  </si>
  <si>
    <t>Kurtz, NT (corresponding author), Morgan State Univ, Baltimore, MD 21251 USA.</t>
  </si>
  <si>
    <t>nathan.t.kurtz@nasa.gov</t>
  </si>
  <si>
    <t>Kurtz, Nathan T/N-8745-2014</t>
  </si>
  <si>
    <t>C08025</t>
  </si>
  <si>
    <t>10.1029/2012JC008141</t>
  </si>
  <si>
    <t>995QK</t>
  </si>
  <si>
    <t>WOS:000308026500003</t>
  </si>
  <si>
    <t>Mattson, E; Karlsson, A; Smith, WO; Abrahamsson, K</t>
  </si>
  <si>
    <t>Mattson, Erik; Karlsson, Anders; Smith, Walker O., Jr.; Abrahamsson, Katarina</t>
  </si>
  <si>
    <t>The relationship between biophysical variables and halocarbon distributions in the waters of the Amundsen and Ross Seas, Antarctica</t>
  </si>
  <si>
    <t>MARINE CHEMISTRY</t>
  </si>
  <si>
    <t>Antarctic; Sea ice; Brine; Biogenic halocarbons; Pigments; Amundsen Sea; Ross Sea</t>
  </si>
  <si>
    <t>SOUTHERN-OCEAN; PHYTOPLANKTON GROWTH; ICE; BROMOFORM; CONSTANTS; PROFILES; METHANES; RATES; FLUX</t>
  </si>
  <si>
    <t>Little is known regarding the distribution of volatile halogenated organic compounds (halocarbons) in Antarctic waters and their relation to biophysical variables. During the austral summer (December to January) in 2007-08 halocarbon and pigment concentrations were measured in the Amundsen (100-130 degrees W) and Ross Sea (158 degrees W-160 degrees E). In addition, halocarbons were determined in air, snow and sea ice. The distribution of halocarbons was influenced to a large extent by sea ice, and to a much lesser extent by pelagic biota. Concentrations of naturally produced halocarbons were elevated in the surface mixed layer in ice covered areas compared to open waters in polynyas and in the bottom waters of the Ross Sea. Higher concentrations of halocarbons were also found in sea ice brine compared to the surface waters. Incubations of snow revealed an additional source of halocarbons. The distribution of halocarbons also varied considerably between the Amundsen and Ross Seas, mainly due to the different oceanographic settings. For iodinated compounds, weak correlations were found with the presence of pigments indicative of Phaeocystis, mainly in the Ross Sea. Surface waters of the Amundsen and Ross Seas are a sink for bromoform (saturation anomalies, SA, -83 to 11%), whereas sea ice was found to be both a source and sink (SA -61-97%). In contrast, both surface waters and sea ice were found to be a source of chloroiodomethane (SA -6-1 200% and 91-22 000 resp.). Consequently, polar waters can have a substantial impact on global halocarbon budgets and need to be included in large-scale assessments. (C) 2012 Elsevier B.V. All rights reserved.</t>
  </si>
  <si>
    <t>[Mattson, Erik; Karlsson, Anders; Abrahamsson, Katarina] Univ Gothenburg, Dept Chem &amp; Mol Biol, Gothenburg, Sweden; [Smith, Walker O., Jr.] Virginia Inst Marine Sci, Coll William &amp; Mary, Gloucester Point, VA 23062 USA</t>
  </si>
  <si>
    <t>University of Gothenburg; William &amp; Mary; Virginia Institute of Marine Science</t>
  </si>
  <si>
    <t>Abrahamsson, K (corresponding author), Univ Gothenburg, Dept Chem &amp; Mol Biol, Gothenburg, Sweden.</t>
  </si>
  <si>
    <t>k@chem.gu.se</t>
  </si>
  <si>
    <t>Abrahamsson, Katarina/A-7616-2010</t>
  </si>
  <si>
    <t>NSF [ANT-0741380, ANT-0836112]; Swedish Research Council; Knut och Alice Wallenbergs Foundation; Swedish Polar Research Secretariat</t>
  </si>
  <si>
    <t>NSF(National Science Foundation (NSF)); Swedish Research Council(Swedish Research Council); Knut och Alice Wallenbergs Foundation(Knut &amp; Alice Wallenberg Foundation); Swedish Polar Research Secretariat</t>
  </si>
  <si>
    <t>We thank the officers and crew of the R.V.I.B. Oden for their help during the cruise, as well as our OSO 2007 colleagues. We especially thank Daniel Barrdahl for assistance during the expedition. This research was supported by NSF grants ANT-0741380 and ANT-0836112 to WOS, the Swedish Research Council, Knut och Alice Wallenbergs Foundation, and the Swedish Polar Research Secretariat. Section plots were made in Ocean Data View (Schlitzer, 2011).</t>
  </si>
  <si>
    <t>0304-4203</t>
  </si>
  <si>
    <t>1872-7581</t>
  </si>
  <si>
    <t>MAR CHEM</t>
  </si>
  <si>
    <t>Mar. Chem.</t>
  </si>
  <si>
    <t>AUG 20</t>
  </si>
  <si>
    <t>10.1016/j.marchem.2012.07.002</t>
  </si>
  <si>
    <t>Chemistry, Multidisciplinary; Oceanography</t>
  </si>
  <si>
    <t>Chemistry; Oceanography</t>
  </si>
  <si>
    <t>017VC</t>
  </si>
  <si>
    <t>WOS:000309618100001</t>
  </si>
  <si>
    <t>Herwig, JN; Depczynski, M; Roberts, JD; Semmens, JM; Gagliano, M; Heyward, AJ</t>
  </si>
  <si>
    <t>Herwig, Jade N.; Depczynski, Martial; Roberts, John D.; Semmens, Jayson M.; Gagliano, Monica; Heyward, Andrew J.</t>
  </si>
  <si>
    <t>Using Age-Based Life History Data to Investigate the Life Cycle and Vulnerability of Octopus cyanea</t>
  </si>
  <si>
    <t>GROWTH; MOLLUSCA; VULGARIS; SOUTH; GRAY; CEPHALOPODA; TEMPERATURE; STYLETS; BORDERS; WATERS</t>
  </si>
  <si>
    <t>Octopus cyanea is taken as an unregulated, recreationally fished species from the intertidal reefs of Ningaloo, Western Australia. Yet despite its exploitation and importance in many artisanal fisheries throughout the world, little is known about its life history, ecology and vulnerability. We used stylet increment analysis to age a wild O. cyanea population for the first time and gonad histology to examine their reproductive characteristics. O. cyanea conforms to many cephalopod life history generalisations having rapid, non-asymptotic growth, a short life-span and high levels of mortality. Males were found to mature at much younger ages and sizes than females with reproductive activity concentrated in the spring and summer months. The female dominated sex-ratios in association with female brooding behaviours also suggest that larger conspicuous females may be more prone to capture and suggests that this intertidal octopus population has the potential to be negatively impacted in an unregulated fishery. Size at age and maturity comparisons between our temperate bordering population and lower latitude Tanzanian and Hawaiian populations indicated stark differences in growth rates that correlate with water temperatures. The variability in life history traits between global populations suggests that management of O. cyanea populations should be tailored to each unique set of life history characteristics and that stylet increment analysis may provide the integrity needed to accurately assess this.</t>
  </si>
  <si>
    <t>[Herwig, Jade N.; Depczynski, Martial; Heyward, Andrew J.] Univ Western Australia, Oceans Inst, Australian Inst Marine Sci, Perth, WA 6009, Australia; [Roberts, John D.; Gagliano, Monica] Univ Western Australia, Sch Anim Biol, Ctr Evolutionary Biol, Perth, WA 6009, Australia; [Semmens, Jayson M.] Univ Tasmania, Inst Marine &amp; Antarctic Res, Fisheries Aquaculture &amp; Coasts Ctr, Hobart, Tas, Australia; [Gagliano, Monica] Univ Western Australia, Ctr Microscopy Characterisat &amp; Anal, Perth, WA 6009, Australia</t>
  </si>
  <si>
    <t>University of Western Australia; Australian Institute of Marine Science; University of Western Australia; University of Tasmania; University of Western Australia</t>
  </si>
  <si>
    <t>Herwig, JN (corresponding author), Univ Western Australia, Oceans Inst, Australian Inst Marine Sci, Perth, WA 6009, Australia.</t>
  </si>
  <si>
    <t>m.depczynski@aims.gov.au</t>
  </si>
  <si>
    <t>Gagliano, Monica/A-3129-2012; depczynski, martial/B-7689-2008</t>
  </si>
  <si>
    <t>Gagliano, Monica/0000-0002-2414-6990; Semmens, Jayson/0000-0003-1742-6692; depczynski, martial/0000-0001-8723-0076</t>
  </si>
  <si>
    <t>West Australian Marine Science Institute (WAMSI) via the Australian Institute of Marine Science (WA); University of Western Australia</t>
  </si>
  <si>
    <t>Funding for this research was provided by the West Australian Marine Science Institute (WAMSI) via the Australian Institute of Marine Science (WA) and the University of Western Australia. The funders had no role in study design, data collection and analysis, decision to publish, or preparation of the manuscript.</t>
  </si>
  <si>
    <t>AUG 17</t>
  </si>
  <si>
    <t>e43679</t>
  </si>
  <si>
    <t>10.1371/journal.pone.0043679</t>
  </si>
  <si>
    <t>996DG</t>
  </si>
  <si>
    <t>WOS:000308063700126</t>
  </si>
  <si>
    <t>Eyres, I; Frangedakis, E; Fontaneto, D; Herniou, EA; Boschetti, C; Carr, A; Micklem, G; Tunnacliffe, A; Barraclough, TG</t>
  </si>
  <si>
    <t>Eyres, Isobel; Frangedakis, Eftychios; Fontaneto, Diego; Herniou, Elisabeth A.; Boschetti, Chiara; Carr, Adrian; Micklem, Gos; Tunnacliffe, Alan; Barraclough, Timothy G.</t>
  </si>
  <si>
    <t>Multiple functionally divergent and conserved copies of alpha tubulin in bdelloid rotifers</t>
  </si>
  <si>
    <t>BMC EVOLUTIONARY BIOLOGY</t>
  </si>
  <si>
    <t>Bdelloid rotifers; Gene copies; Tubulin; Evolution</t>
  </si>
  <si>
    <t>LENGTH CDNA MICROARRAY; MAXIMUM-LIKELIHOOD; DUPLICATE GENES; DEGENERATE TETRAPLOIDY; EXPRESSION PROFILES; POSITIVE SELECTION; PROTEIN EVOLUTION; ANTARCTIC FISHES; DESICCATION; DROSOPHILA</t>
  </si>
  <si>
    <t>Background: Bdelloid rotifers are microscopic animals that have apparently survived without sex for millions of years and are able to survive desiccation at all life stages through a process called anhydrobiosis. Both of these characteristics are believed to have played a role in shaping several unusual features of bdelloid genomes discovered in recent years. Studies into the impact of asexuality and anhydrobiosis on bdelloid genomes have focused on understanding gene copy number. Here we investigate copy number and sequence divergence in alpha tubulin. Alpha tubulin is conserved and normally present in low copy numbers in animals, but multiplication of alpha tubulin copies has occurred in animals adapted to extreme environments, such as cold-adapted Antarctic fish. Using cloning and sequencing we compared alpha tubulin copy variation in four species of bdelloid rotifers and four species of monogonont rotifers, which are facultatively sexual and cannot survive desiccation as adults. Results were verified using transcriptome data from one bdelloid species, Adineta ricciae. Results: In common with the typical pattern for animals, monogonont rotifers contain either one or two copies of alpha tubulin, but bdelloid species contain between 11 and 13 different copies, distributed across five classes. Approximately half of the copies form a highly conserved group that vary by only 1.1% amino acid pairwise divergence with each other and with the monogonont copies. The other copies have divergent amino acid sequences that evolved significantly faster between classes than within them, relative to synonymous changes, and vary in predicted biochemical properties. Copies of each class were expressed under the laboratory conditions used to construct the transcriptome. Conclusions: Our findings are consistent with recent evidence that bdelloids are degenerate tetraploids and that functional divergence of ancestral copies of genes has occurred, but show how further duplication events in the ancestor of bdelloids led to proliferation in both conserved and functionally divergent copies of this gene.</t>
  </si>
  <si>
    <t>[Eyres, Isobel; Frangedakis, Eftychios; Fontaneto, Diego; Barraclough, Timothy G.] Univ London Imperial Coll Sci Technol &amp; Med, Dept Life Sci, Ascot SL5 7PY, Berks, England; [Herniou, Elisabeth A.] Univ Tours, Inst Rech Biol Insecte, CNRS UMR 7261, F-37200 Tours, France; [Boschetti, Chiara; Tunnacliffe, Alan] Univ Cambridge, Dept Chem Engn &amp; Biotechnol, Cambridge CB2 3RA, England; [Carr, Adrian; Micklem, Gos] Univ Cambridge, Dept Genet, Cambridge CB2 3EH, England</t>
  </si>
  <si>
    <t>Imperial College London; Centre National de la Recherche Scientifique (CNRS); CNRS - Institute of Ecology &amp; Environment (INEE); Universite de Tours; University of Cambridge; University of Cambridge</t>
  </si>
  <si>
    <t>Barraclough, TG (corresponding author), Univ London Imperial Coll Sci Technol &amp; Med, Dept Life Sci, Silwood Pk Campus, Ascot SL5 7PY, Berks, England.</t>
  </si>
  <si>
    <t>t.barraclough@imperial.ac.uk</t>
  </si>
  <si>
    <t>Fontaneto, Diego/B-9710-2008; Herniou, Elisabeth/B-3786-2016</t>
  </si>
  <si>
    <t>Fontaneto, Diego/0000-0002-5770-0353; Herniou, Elisabeth/0000-0001-5362-6056; Micklem, Gos/0000-0002-6883-6168; Barraclough, Timothy/0000-0002-8084-2640; Boschetti, Chiara/0000-0003-4552-3975; Tunnacliffe, Alan/0000-0001-8570-125X; Frangedakis, Eftychios/0000-0002-3483-8464</t>
  </si>
  <si>
    <t>BBSRC [BB/F020562/1]; European Research Council Advanced Investigator grant [233232]; NERC studentship; Marie Curie Fellowship; Royal Society Dorothy Hodgkin Fellowship; European Research Council [205206 'GENOVIR']; BBSRC [BB/F020562/1, BB/F020856/1] Funding Source: UKRI; Biotechnology and Biological Sciences Research Council [BB/F020856/1, BB/F020562/1] Funding Source: researchfish</t>
  </si>
  <si>
    <t>BBSRC(UK Research &amp; Innovation (UKRI)Biotechnology and Biological Sciences Research Council (BBSRC)); European Research Council Advanced Investigator grant(European Research Council (ERC)); NERC studentship(UK Research &amp; Innovation (UKRI)Natural Environment Research Council (NERC)); Marie Curie Fellowship(European Union (EU)); Royal Society Dorothy Hodgkin Fellowship(Royal Society); European Research Council(European Research Council (ERC)); BBSRC(UK Research &amp; Innovation (UKRI)Biotechnology and Biological Sciences Research Council (BBSRC)); Biotechnology and Biological Sciences Research Council(UK Research &amp; Innovation (UKRI)Biotechnology and Biological Sciences Research Council (BBSRC))</t>
  </si>
  <si>
    <t>This work was supported by BBSRC grant BB/F020562/1 to AT and TGB, a European Research Council Advanced Investigator grant 233232 to AT, a NERC studentship to IE, a Marie Curie Fellowship to DF, and a Royal Society Dorothy Hodgkin Fellowship and European Research Council Grant 205206 'GENOVIR' to EAH.</t>
  </si>
  <si>
    <t>1471-2148</t>
  </si>
  <si>
    <t>BMC EVOL BIOL</t>
  </si>
  <si>
    <t>BMC Evol. Biol.</t>
  </si>
  <si>
    <t>10.1186/1471-2148-12-148</t>
  </si>
  <si>
    <t>Evolutionary Biology; Genetics &amp; Heredity</t>
  </si>
  <si>
    <t>006JM</t>
  </si>
  <si>
    <t>WOS:000308815400001</t>
  </si>
  <si>
    <t>Graham, RM; de Boer, AM; Heywood, KJ; Chapman, MR; Stevens, DP</t>
  </si>
  <si>
    <t>Graham, Robert M.; de Boer, Agatha M.; Heywood, Karen J.; Chapman, Mark R.; Stevens, David P.</t>
  </si>
  <si>
    <t>Southern Ocean fronts: Controlled by wind or topography?</t>
  </si>
  <si>
    <t>ANTARCTIC CIRCUMPOLAR CURRENT; SEA-SURFACE TEMPERATURE; SOUTHEASTERN INDIAN-OCEAN; SUBTROPICAL FRONT; ATMOSPHERIC CO2; POLAR FRONT; CIRCULATION; CLIMATE; MODELS; VARIABILITY</t>
  </si>
  <si>
    <t>The location of fronts has a direct influence on both the physical and biological processes in the Southern Ocean. Here we explore the relative importance of bottom topography and winds for the location of Southern Ocean fronts, using 100 years of a control and climate change simulation from the high resolution coupled climate model HiGEM. Topography has primary control on the number and intensity of fronts at each longitude. However, there is no strong relationship between the position or spacing of jets and underlying topographic gradients because of the effects of upstream and downstream topography. The Southern Hemisphere Westerlies intensify and shift south by 1.3 degrees in the climate change simulation, but there is no comparable meridional displacement of the Antarctic Circumpolar Current's (ACC) path or the fronts within its boundaries, even over flat topography. Instead, the current contracts meridionally and weakens. North of the ACC, the Subtropical Front (STF) shifts south gradually, even over steep topographic ridges. We suggest the STF reacts more strongly to the wind shift because it is strongly surface intensified. In contrast, fronts within the ACC are more barotropic and are therefore more sensitive to the underlying topography. An assessment of different methods for identifying jets reveals that maxima of gradients in the sea surface height field are the most reliable. Approximating the position of fronts using sea surface temperature gradients is ineffective at high latitudes while using sea surface height contours can give misleading results when studying the temporal variability of front locations.</t>
  </si>
  <si>
    <t>[de Boer, Agatha M.] Stockholm Univ, Dept Geol Sci, SE-10691 Stockholm, Sweden; [Graham, Robert M.; Heywood, Karen J.; Chapman, Mark R.] Univ E Anglia, Sch Environm Sci, Norwich NR4 7TJ, Norfolk, England; [Graham, Robert M.; de Boer, Agatha M.] Bert Bolin Ctr Climate Res, Stockholm, Sweden; [Stevens, David P.] Univ E Anglia, Sch Math, Norwich NR4 7TJ, Norfolk, England</t>
  </si>
  <si>
    <t>Stockholm University; University of East Anglia; University of East Anglia</t>
  </si>
  <si>
    <t>Graham, RM (corresponding author), Stockholm Univ, Dept Geol Sci, SE-10691 Stockholm, Sweden.</t>
  </si>
  <si>
    <t>robert.graham@geo.su.se</t>
  </si>
  <si>
    <t>De Boer, Agatha M/H-4202-2012; Stevens, David/F-2509-2010; Heywood, Karen/L-1757-2016</t>
  </si>
  <si>
    <t>Graham, Robert M./0000-0003-0008-1886; Stevens, David/0000-0002-7283-4405; Heywood, Karen/0000-0001-9859-0026</t>
  </si>
  <si>
    <t>UK Natural Environment Research Council through a PhD studentship at the University of East Anglia; Research Computing Service at the University of East Anglia; NERC High Resolution Climate Modeling Grant [R8/H12/123]; Foreign and Commonwealth Office Global Opportunities Fund; NERC; DECC/Defra Met Office Hadley Centre Climate Programme [GA01101]; JAMSTEC</t>
  </si>
  <si>
    <t>UK Natural Environment Research Council through a PhD studentship at the University of East Anglia; Research Computing Service at the University of East Anglia; NERC High Resolution Climate Modeling Grant; Foreign and Commonwealth Office Global Opportunities Fund; NERC(UK Research &amp; Innovation (UKRI)Natural Environment Research Council (NERC)); DECC/Defra Met Office Hadley Centre Climate Programme; JAMSTEC</t>
  </si>
  <si>
    <t>The UK Natural Environment Research Council funded R.M.G. through a PhD studentship at the University of East Anglia. This research was carried out on the High Performance Computing Cluster supported by the Research Computing Service at the University of East Anglia. The model was developed from the Met Office Hadley Centre Model by the UK High-Resolution Modeling (HiGEM) Project and the UK Japan Climate Collaboration (UJCC). HiGEM is supported by a NERC High Resolution Climate Modeling Grant (R8/H12/123). UJCC was supported by the Foreign and Commonwealth Office Global Opportunities Fund, and jointly funded by NERC and the DECC/Defra Met Office Hadley Centre Climate Programme (GA01101). The model integrations were performed using the Japanese Earth Simulator supercomputer, supported by JAMSTEC. The work of Pier Luigi Vidale and Malcolm Roberts in leading the effort in Japan is particularly valued.</t>
  </si>
  <si>
    <t>C08018</t>
  </si>
  <si>
    <t>10.1029/2012JC007887</t>
  </si>
  <si>
    <t>991VS</t>
  </si>
  <si>
    <t>WOS:000307731700001</t>
  </si>
  <si>
    <t>Anderson, JG; Wilmouth, DM; Smith, JB; Sayres, DS</t>
  </si>
  <si>
    <t>Anderson, James G.; Wilmouth, David M.; Smith, Jessica B.; Sayres, David S.</t>
  </si>
  <si>
    <t>UV Dosage Levels in Summer: Increased Risk of Ozone Loss from Convectively Injected Water Vapor</t>
  </si>
  <si>
    <t>IN-SITU MEASUREMENTS; ANTARCTIC OZONE; LOWER STRATOSPHERE; DEPLETION; RADICALS; CHLORINE; VORTEX; OH; REDUCTIONS; EVOLUTION</t>
  </si>
  <si>
    <t>The observed presence of water vapor convectively injected deep into the stratosphere over the United States can fundamentally change the catalytic chlorine/bromine free-radical chemistry of the lower stratosphere by shifting total available inorganic chlorine into the catalytically active free-radical form, ClO. This chemical shift markedly affects total ozone loss rates and makes the catalytic system extraordinarily sensitive to convective injection into the mid-latitude lower stratosphere in summer. Were the intensity and frequency of convective injection to increase as a result of climate forcing by the continued addition of CO2 and CH4 to the atmosphere, increased risk of ozone loss and associated increases in ultraviolet dosage would follow.</t>
  </si>
  <si>
    <t>[Anderson, James G.] Harvard Univ, Dept Chem &amp; Chem Biol, Dept Earth &amp; Planetary Sci, Cambridge, MA 02138 USA; Harvard Univ, Sch Engn &amp; Appl Sci, Cambridge, MA 02138 USA</t>
  </si>
  <si>
    <t>Harvard University; Harvard University</t>
  </si>
  <si>
    <t>Anderson, JG (corresponding author), Harvard Univ, Dept Chem &amp; Chem Biol, Dept Earth &amp; Planetary Sci, Cambridge, MA 02138 USA.</t>
  </si>
  <si>
    <t>anderson@huarp.harvard.edu</t>
  </si>
  <si>
    <t>Smith, Jessica/0000-0003-2070-1894</t>
  </si>
  <si>
    <t>NASA</t>
  </si>
  <si>
    <t>We acknowledge those who have been central to the design of the flight instruments associated with these observations: J. Demusz, N. Allen, C. Tuozzolo, M. Greenberg, M. Rivero, T. Hanisco, J. Paul, L. Moyer, F. Keutsch, and M. Witinski. This research was supported by the NASA Upper Atmosphere Research Program under the technical oversight of K. Jucks.</t>
  </si>
  <si>
    <t>10.1126/science.1222978</t>
  </si>
  <si>
    <t>989BQ</t>
  </si>
  <si>
    <t>WOS:000307535600041</t>
  </si>
  <si>
    <t>Shin, SC; Kim, SJ; Lee, JK; Ahn, DH; Kim, MG; Lee, H; Lee, J; Kim, BK; Park, H</t>
  </si>
  <si>
    <t>Shin, Seung Chul; Kim, Su Jin; Lee, Jong Kyu; Ahn, Do Hwan; Kim, Min Gyu; Lee, Hyoungseok; Lee, Jungeun; Kim, Bum-Keun; Park, Hyun</t>
  </si>
  <si>
    <t>Transcriptomics and Comparative Analysis of Three Antarctic Notothenioid Fishes</t>
  </si>
  <si>
    <t>EXPRESSION; GENE; EVOLUTION; BLOOD; NEUROGLOBIN; MYOGLOBIN; REMNANTS; ICEFISH; HSP70</t>
  </si>
  <si>
    <t>For the past 10 to 13 million years, Antarctic notothenioid fish have undergone extraordinary periods of evolution and have adapted to a cold and highly oxygenated Antarctic marine environment. While these species are considered an attractive model with which to study physiology and evolutionary adaptation, they are poorly characterized at the molecular level, and sequence information is lacking. The transcriptomes of the Antarctic fishes Notothenia coriiceps, Chaenocephalus aceratus, and Pleuragramma antarcticum were obtained by 454 FLX Titanium sequencing of a normalized cDNA library. More than 1,900,000 reads were assembled in a total of 71,539 contigs. Overall, 40% of the contigs were annotated based on similarity to known protein or nucleotide sequences, and more than 50% of the predicted transcripts were validated as full-length or putative full-length cDNAs. These three Antarctic fishes shared 663 genes expressed in the brain and 1,557 genes expressed in the liver. In addition, these cold-adapted fish expressed more Ub-conjugated proteins compared to temperate fish; Ub-conjugated proteins are involved in maintaining proteins in their native state in the cold and thermally stable Antarctic environments. Our transcriptome analysis of Antarctic notothenioid fish provides an archive for future studies in molecular mechanisms of fundamental genetic questions, and can be used in evolution studies comparing other fish.</t>
  </si>
  <si>
    <t>[Shin, Seung Chul; Lee, Jong Kyu; Ahn, Do Hwan; Kim, Min Gyu; Lee, Hyoungseok; Lee, Jungeun; Park, Hyun] Korea Polar Res Inst, Inchon, South Korea; [Kim, Su Jin] Korea Univ, Coll Life Sci &amp; Biotechnol, Seoul, South Korea; [Ahn, Do Hwan; Park, Hyun] Univ Sci &amp; Technol, Taejon, South Korea; [Kim, Bum-Keun] Korea Food Res Inst, Songnam, South Korea</t>
  </si>
  <si>
    <t>Korea Institute of Ocean Science &amp; Technology (KIOST); Korea Polar Research Institute (KOPRI); Korea University; Korea Food Research Institute (KFRI)</t>
  </si>
  <si>
    <t>Shin, SC (corresponding author), Korea Polar Res Inst, Inchon, South Korea.</t>
  </si>
  <si>
    <t>hpark@kopri.re.kr</t>
  </si>
  <si>
    <t>Lee, Hyoungseok/0000-0002-5831-6345; Park, Hyun/0000-0002-8055-2010; Kim, Bum-Keun/0000-0002-9752-741X</t>
  </si>
  <si>
    <t>Functional Genomics on Polar Organisms grant [PE12020]; Korea Polar Research Institute (KOPRI)</t>
  </si>
  <si>
    <t>Functional Genomics on Polar Organisms grant; Korea Polar Research Institute (KOPRI)(Korea Polar Research Institute of Marine Research Placement (KOPRI))</t>
  </si>
  <si>
    <t>This work was supported by a Functional Genomics on Polar Organisms grant (PE12020) funded by the Korea Polar Research Institute (KOPRI). The funders had no role in study design, data collection and analysis, decision to publish, or preparation of the manuscript.</t>
  </si>
  <si>
    <t>AUG 16</t>
  </si>
  <si>
    <t>e43762</t>
  </si>
  <si>
    <t>10.1371/journal.pone.0043762</t>
  </si>
  <si>
    <t>993AN</t>
  </si>
  <si>
    <t>WOS:000307824300057</t>
  </si>
  <si>
    <t>Eléaume, M; Bohn, JM; Roux, M; Améziane, N</t>
  </si>
  <si>
    <t>Eleaume, Marc; Bohn, Jens-Michael; Roux, Michel; Ameziane, Nadia</t>
  </si>
  <si>
    <t>Stalked crinoids (Echinodermata) collected by the R/V Polarstern and Meteor in the south Atlantic and in Antarctica</t>
  </si>
  <si>
    <t>Antarctica; south Atlantic; biogeography; deep-sea; stalked Crinoidea; Echinodermata; new species; Bathycrinus; Feracrinus; Hyocrinus; Porphyrocrinus</t>
  </si>
  <si>
    <t>SEA; GENERA</t>
  </si>
  <si>
    <t>During the last decades, R/V Meteor and R/V Polarstern deep-sea investigations in the south Atlantic and neighbouring Southern Ocean collected new samples of stalked crinoids belonging to the families Bathycrinidae, Phrynocrinidae and Hyocrinidae which are herein described. The species found are Bathycrinus australis A. H. Clark, 1907b (the most abundant), Dumetocrinus aff. antarcticus (Bather, 1908), Hyocrinus bethellianus Thomson, 1876, Feracrinus heinzelleri new species, and Porphyrocrinus cf. incrassatus (Gislen, 1933). As only stalk fragments of bathycrinids were frequently collected, a distinction between the two Atlantic species B. australis and B. aldrichianus is proposed using characters of columnal articulations. A few specimens attributed to Porphyrocrinus cf. incrassatus, Hyocrinus bethellianus and Hyocrinus sp. collected by the N/O Jean Charcot on the Walvis Ridge are also described, plus a new specimen of Porphyrocrinus incrassatus collected in the central mid-Atlantic. Biogeography and close affinities between species in the genera Bathycrinus and Porphyrocrinus suggest an Antarctic origin of some stalked crinoids among the north Atlantic deep-sea fauna. The presence of B. australis in both the Angola and Cape basins suggests that the Walvis Ridge is not a bio-geographical barrier for this relatively eurybathic species, which can attach to hard substrates as well as anchor in sediment. The genus Dumetocrinus seems to be an example of colonization of the west Antarctic platform from deeper environment where its ancestor lived.</t>
  </si>
  <si>
    <t>[Eleaume, Marc; Roux, Michel; Ameziane, Nadia] UMR 7208 BOREA MNHN UMPC IRD, Dept Milieux &amp; Peuplements Aquat, Museum Natl Hist Nat, F-75231 Paris 05, France; [Bohn, Jens-Michael] Zool Staatssammlung Munchen, D-81247 Munich, Germany</t>
  </si>
  <si>
    <t>Centre National de la Recherche Scientifique (CNRS); Institut de Recherche pour le Developpement (IRD); Museum National d'Histoire Naturelle (MNHN); Sorbonne Universite</t>
  </si>
  <si>
    <t>Eléaume, M (corresponding author), UMR 7208 BOREA MNHN UMPC IRD, Dept Milieux &amp; Peuplements Aquat, Museum Natl Hist Nat, CP 26,57 Rue Cuvier, F-75231 Paris 05, France.</t>
  </si>
  <si>
    <t>eleaume@mnhn.fr</t>
  </si>
  <si>
    <t>Action Transversale du MNHN Biomineralisation</t>
  </si>
  <si>
    <t>We thank A. Cabrinovic for access to the specimens housed in the Natural History Museum (NHM) in London; D.L. Pawson for access to the specimens housed in the Smithsonian Institution (USNM) in Washington DC; C. Massin for access to the type series of D. antarcticus housed in the Institut Royal des Sciences Naturelles de Belgique (IRSNB); M. Segonzac who provided the specimen of P. incrassatus from the Hydrosnake cruise; M. Sibuet who provided specimens from the Walvis cruise; E. Lodde for granting access to the specimens in the Zoologische Staatssammlung Munchen (ZSM). Special thanks are due to D. Meyer and CG Messing for their thorough reviews. Except for Feracrinus heinzelleri n. sp., the SEM pictures were done at the Plate-forme de Microscopie Electronique at the Museum national d'Histoire naturelle, Paris. This work was funded by the Action Transversale du MNHN Biomineralisation.</t>
  </si>
  <si>
    <t>993UL</t>
  </si>
  <si>
    <t>WOS:000307885100001</t>
  </si>
  <si>
    <t>Seiler, J; Friedman, A; Steinberg, D; Barrett, N; Williams, A; Holbrook, NJ</t>
  </si>
  <si>
    <t>Seiler, Jan; Friedman, Ariell; Steinberg, Daniel; Barrett, Neville; Williams, Alan; Holbrook, Neil J.</t>
  </si>
  <si>
    <t>Image-based continental shelf habitat mapping using novel automated data extraction techniques</t>
  </si>
  <si>
    <t>CONTINENTAL SHELF RESEARCH</t>
  </si>
  <si>
    <t>Habitat variability; Habitat predictors; Random forests; Monitoring; Sirius; Tasmania</t>
  </si>
  <si>
    <t>CLASSIFICATION</t>
  </si>
  <si>
    <t>We automatically mapped the distribution of temperate continental shelf rocky reef habitats with a high degree of confidence using colour, texture, rugosity and patchiness features extracted from images in conjunction with machine-learning algorithms. This demonstrated the potential of novel automation routines to expedite the complex and time-consuming process of seabed mapping. The random forests ensemble classifier outperformed other tree-based algorithms and also offered some valuable built-in model performance assessment tools. Habitat prediction using random forests performed most accurately when all 26 image-derived predictors were included in the model. This produced an overall habitat prediction accuracy of 84% (with a kappa statistic of 0.793) when compared to nine distinct habitat classes assigned by a human annotator. Predictions for three habitat classes were all within the 95% confidence intervals, indicating close agreement between observed and predicted habitat classes. Misclassified images were mostly unevenly, partially or insufficiently illuminated and came mostly from rugged terrains and during the autonomous underwater vehicle's obstacle avoidance manoeuvres. The remaining misclassified images were wrongly or inconsistently labelled by the human annotator. This study demonstrates the suitability of autonomous underwater vehicles to effectively sample benthic habitats and the ability of automated data handling techniques to extract and reliably process large volumes of seabed image data. Our methods for image feature extraction and classification are repeatable, cost-effective and well suited to studies that require non-extractive and/or co-located sampling, e.g. in marine reserves and for monitoring the recovery from physical impacts, e.g. from bottom fishing activities. The methods are transferable to other continental shelf areas and to other disciplines such as seabed geology. (c) 2012 Elsevier Ltd. All rights reserved.</t>
  </si>
  <si>
    <t>[Seiler, Jan; Barrett, Neville] Univ Tasmania, Inst Marine &amp; Antarctic Studies, Taroona, Tas 7053, Australia; [Seiler, Jan; Barrett, Neville; Williams, Alan] CSIRO Marine &amp; Atmospher Res Hobart, Wealth Oceans Natl Res Flagship, Hobart, Tas 7000, Australia; [Friedman, Ariell; Steinberg, Daniel] Univ Sydney, Sch Aerosp Mech &amp; Mechantron Engn, Australian Ctr Field Robot, Sydney, NSW 2006, Australia; [Holbrook, Neil J.] Univ Tasmania, Inst Marine &amp; Antarctic Studies, Hobart, Tas 7001, Australia</t>
  </si>
  <si>
    <t>University of Tasmania; Commonwealth Scientific &amp; Industrial Research Organisation (CSIRO); University of Sydney; University of Tasmania</t>
  </si>
  <si>
    <t>Williams, Alan/C-6999-2012; Holbrook, Neil/M-7544-2013; Barrett, Neville/J-7593-2014</t>
  </si>
  <si>
    <t>Williams, Alan/0000-0002-2867-7713; Steinberg, Daniel/0000-0003-1887-5115; Holbrook, Neil/0000-0002-3523-6254; Barrett, Neville/0000-0002-6167-1356</t>
  </si>
  <si>
    <t>Commonwealth Environment Research Facilities (CERF) program; Australian Government</t>
  </si>
  <si>
    <t>Commonwealth Environment Research Facilities (CERF) program; Australian Government(Australian Government)</t>
  </si>
  <si>
    <t>This work has been funded through the Commonwealth Environment Research Facilities (CERF) program, an Australian Government initiative supporting world class, public good research. The CERF Marine Biodiversity Hub is a collaborative partnership between the University of Tasmania, CSIRO Wealth from Oceans Flagship, Geoscience Australia, Australian Institute of Marine Science and Museum Victoria. Logistic support for the (AUV Sirius) used for this project was provided by the Australian Centre for Field Robotics at the University of Sydney and the Integrated Marine Observing System (IMOS)-which collectively represent nationally distributed equipment and data-information services. The assistance and support of the following people is greatly appreciated; Colin Buxton and Justin Hulls (Institute for Marine and Antarctic Studies, University of Tasmania), Stefan Williams, Oscar Pizzaro, Michael Jakuba, Duncan Mercer and George Powell (University of Sydney) and Matthew Francis and Jac Gibson (R/V Challenger crew). Richard Coleman (Australian Research Council) initiated the use of the AUV in Tasmanian waters. The gridded bathymetric dataset was collected and processed by Geoscience Australia.</t>
  </si>
  <si>
    <t>0278-4343</t>
  </si>
  <si>
    <t>1873-6955</t>
  </si>
  <si>
    <t>CONT SHELF RES</t>
  </si>
  <si>
    <t>Cont. Shelf Res.</t>
  </si>
  <si>
    <t>AUG 15</t>
  </si>
  <si>
    <t>10.1016/j.csr.2012.06.003</t>
  </si>
  <si>
    <t>007PB</t>
  </si>
  <si>
    <t>WOS:000308899500009</t>
  </si>
  <si>
    <t>Carling, GT; Fernandez, DP; Johnson, WP</t>
  </si>
  <si>
    <t>Carling, Gregory T.; Fernandez, Diego P.; Johnson, William P.</t>
  </si>
  <si>
    <t>Dust-mediated loading of trace and major elements to Wasatch Mountain snowpack</t>
  </si>
  <si>
    <t>Aeolian dust; Trace elements; Mercury; Snow chemistry; Dust chemistry; Wasatch Mountains</t>
  </si>
  <si>
    <t>MT. QOMOLANGMA EVEREST; VOSTOK ANTARCTIC ICE; HEAVY-METALS; ROCKY-MOUNTAINS; SOUTH-AMERICA; UNITED-STATES; CENTRAL-ASIA; DEPOSITION; CHEMISTRY; CLIMATE</t>
  </si>
  <si>
    <t>Depth-integrated snow columns were collected at 12 sites across the central Wasatch Mountains, Utah, during March and April 2010 to determine concentrations of trace elements, major anions and cations, and pH. Sample collection was conducted at or near maximum snow accumulation prior to the onset of melt, and included spring dust events driven by southerly pre-frontal winds. Snow samples were melted in the laboratory and subsampled for analyses on filtered (0.45 mu m) and unfiltered fractions. All measured elements (Al, As, Ba, Ca, Co, Cr, Cu, Fe, Hg, K, Li, Mg, Mn, Na, Ni, Pb, Sb, Sr, Ti, Tl, U, V. and Zn) and major anions (Cl, NO3, and SO4) displayed significant increases in concentration (for example, factor of 2 to 5 increases for As, Cr, Hg, and Pb) between the six sites sampled in March (prior to dust events) and the six sites sampled in April (after dust events). Acid neutralizing capacity and pH were also elevated in April relative to March snowpack. Comparison of elemental concentration in the particulate (&gt;0.45 mu m; difference between unfiltered and filtered concentration) and soluble (&lt;0.45 mu m; filtered concentration) fractions shows that the concentration increase between March and April snowpack for the trace elements is primarily a result of association with dust particles &gt;0.45 mu m. The results suggest that the majority of trace element loading to the Wasatch snowpack occurs via dust deposition. The major elements were primarily loaded in the &lt;0.45 mu m fraction, suggesting deposition of soluble dust particles. The overall findings of this paper are similar to other studies regarding the role of dust on nutrient and trace element accumulation in soils and lake sediments, but to our knowledge this is the first study that compares trace element chemistry of seasonal snowpack before and after dust deposition events. (C) 2012 Elsevier B.V. All rights reserved.</t>
  </si>
  <si>
    <t>[Carling, Gregory T.; Fernandez, Diego P.; Johnson, William P.] Univ Utah, Dept Geol &amp; Geophys, Salt Lake City, UT 84112 USA</t>
  </si>
  <si>
    <t>Utah System of Higher Education; University of Utah</t>
  </si>
  <si>
    <t>Johnson, WP (corresponding author), 115 S 1460 E Rm 383, Salt Lake City, UT 84112 USA.</t>
  </si>
  <si>
    <t>william.johnson@utah.edu</t>
  </si>
  <si>
    <t>Johnson, William P/G-7733-2011</t>
  </si>
  <si>
    <t>Johnson, William/0000-0003-3126-3877; Carling, Gregory/0000-0001-5820-125X</t>
  </si>
  <si>
    <t>EPA RARE Region 8 grant; National Science Foundation [DGE08-41233]</t>
  </si>
  <si>
    <t>EPA RARE Region 8 grant; National Science Foundation(National Science Foundation (NSF))</t>
  </si>
  <si>
    <t>We wish to thank Maura Hahnenberger (U. of Utah) and Joel Karmazyn (Utah Dept. of Air Quality) for performing HYSPLIT modeling, Bonnie Baxter and Jaimi Butler (Great Salt Lake Institute) for providing technicians to help with field and laboratory work, in particular Kaitlyn Porter, and David Tingey (Brigham Young University) for generously providing equipment and time for ion chromatography and ANC measurements. We are grateful for the three anonymous reviewers whose comments greatly improved this paper and gave it more focused direction. Funding for the project was provided by an EPA RARE Region 8 grant. G.T.C. was funded by National Science Foundation GK-12 grant number DGE08-41233.</t>
  </si>
  <si>
    <t>10.1016/j.scitotenv.2012.05.077</t>
  </si>
  <si>
    <t>998WI</t>
  </si>
  <si>
    <t>WOS:000308270700007</t>
  </si>
  <si>
    <t>Jawak, SD; Luis, AJ</t>
  </si>
  <si>
    <t>Jawak, Shridhar D.; Luis, Alvarinho J.</t>
  </si>
  <si>
    <t>Synergistic use of multitemporal RAMP, ICESat and GPS to construct an accurate DEM of the Larsemann Hills region, Antarctica</t>
  </si>
  <si>
    <t>DEM; GLAS/ICESat; RAMPv2; GPS; Geostatistics; Spatial interpolation</t>
  </si>
  <si>
    <t>LIDAR-DERIVED ELEVATION; GROWTH; SLOPE; SHEET; ERROR</t>
  </si>
  <si>
    <t>An enhanced digital elevation model (DEM) of the Larsemann Hills region, east Antarctica, is constructed synergistically by using highly accurate ground-based GPS measurements, satellite-derived laser altimetry (GLAS/ICESat) and Radarsat Antarctic Mapping Project (RAMPv2) DEM-based point elevation dataset. Our DEM has a vertical accuracy of about 1.5 times better than RAMPv2 DEM and seven times better than GLAS/ICESAT-based DEM. The accuracy is improved by validating the RAMPv2 DEM elevation by supplementing with GLAS/ICESat and DGPS survey data, when compared to that of DEM constructed by using GLAS/ICESat or RAMPv2 alone. With the use of accurate GPS data as ground control points reference elevations, the DEM extracted is much more accurate with least mean RMSE of 34.5 m than that constructed by using a combination of GLAS/ICESat and RAMPv2 as true reference. The newly constructed DEM 7 achieves highest accuracy with the least average elevation difference of 0.27 m calculated using 46 ground reference points. Available DEMs of Antarctic region generated by using radar altimetry and the Antarctic Digital Database indicate elevation variations in the range of 50-100 m, which necessitates the generation of local DEM and its validation by using ground truth. This is our first attempt of fusing multi-temporal, multi-sensor and multi-source elevation data to generate a DEM of any part of Antarctica, in order to address the ice elevation change to infer the ice mass balance. Our approach focuses on the strengths of each elevation data source to produce an accurate DEM. (C) 2012 COSPAR. Published by Elsevier Ltd. All rights reserved.</t>
  </si>
  <si>
    <t>[Jawak, Shridhar D.; Luis, Alvarinho J.] Govt India, Minist Earth Sci, NCAOR, Headland Sada 403804, Goa, India</t>
  </si>
  <si>
    <t>Jawak, SD (corresponding author), Govt India, Minist Earth Sci, NCAOR, Headland Sada 403804, Goa, India.</t>
  </si>
  <si>
    <t>shridhar.jawak@gmail.com; shridhar.jawak@ncaor.org</t>
  </si>
  <si>
    <t>Jawak, Shridhar/G-9678-2012</t>
  </si>
  <si>
    <t>Jawak, Shridhar/0000-0002-0648-3109; Luis, Dr Alvarinho J./0000-0002-3425-8048</t>
  </si>
  <si>
    <t>10.1016/j.asr.2012.05.004</t>
  </si>
  <si>
    <t>980DA</t>
  </si>
  <si>
    <t>WOS:000306872600005</t>
  </si>
  <si>
    <t>Hung, CC; Gong, GC; Santschi, PH</t>
  </si>
  <si>
    <t>Hung, Chin-Chang; Gong, Gwo-Ching; Santschi, Peter H.</t>
  </si>
  <si>
    <t>234Th in different size classes of sediment trap collected particles from the Northwestern Pacific Ocean</t>
  </si>
  <si>
    <t>PARTICULATE ORGANIC-CARBON; ANTARCTIC POLAR FRONT; SOUTH CHINA SEA; EXPORT FLUX; WATER COLUMN; TIME-SERIES; POC EXPORT; COMMUNITY COMPOSITION; NEUTRALLY BUOYANT; POC/TH-234 RATIO</t>
  </si>
  <si>
    <t>Th-234, a surface area specific particle-reactive radionuclide has been used to estimate particulate organic carbon (POC) export fluxes, based on the POC/Th-234 ratio of sinking particles and the Th-234 flux, in the ocean. The POC/Th-234 ratios from large particles (&gt;50 mu m) are conventionally considered to represent sinking particles (collected by sediment traps), but this assumption has not been thoroughly tested. More recently, Hung and Gong (2010) separated sinking particles from the northern South China Sea (where diatoms are the most dominant group) using different Nitex screens and found that small (&lt;50 mu m) sinking particles dominate the bulk Th-234 and POC flux. However, the size distribution of sinking particles has seldom been measured in picoplankton-dominated oligotrophic and upwelling conditions. Here we used Nitex screens to separate sinking particles in oligotrophic and upwelling regions. Additionally, images of selected bulk sinking particles (not subject to sequential filtration) were directly taken by scanning electron microscopy (SEM) to determine the size distribution of sinking particles. Within the trap-collected Th-234 pool in the upwelling area, the 1-10 and 10-50 mu m fractions had, on average, the highest amounts of Th-234, while POC did not show significant variations among the different size fractions. In the oligotrophic region, the 10-50 and 1-10 mu m fractions had, on average, the highest amounts of Th-234, while the &gt;150 and 10-50 mu m had elevated shares of POC. Results thus demonstrate that Th-234 was mainly carried by the smaller (&lt;50 mu m) sinking particles (similar to 70-80% of the total). SEM images of bulk sinking particles demonstrate that sinking particles contained abundant diatom cells, fecal pellets, detritus and small particle aggregates, mostly smaller than 50 mu m. These images show that particles smaller than 50 mu m indeed can account for a major fraction of the bulk sinking particles in open ocean regions. While the sequentially size-fractionated filtration might have influenced the original size distribution of sinking particles to some extent, the results provide new and consistent data which suggest that the contribution of particles smaller than 50 mu m to the sinking Th-234 flux can be a major fraction of the total sinking flux of this isotope, and thus, particles smaller than 50 mu m cannot be ignored because the POC/Th-234 ratio that is often used is that of large (&gt;50 mu m) particles obtained from pump systems, not traps. (C) 2012 Elsevier Ltd. All rights reserved.</t>
  </si>
  <si>
    <t>[Hung, Chin-Chang] Natl Sun Yat Sen Univ, Inst Marine Geol &amp; Chem, Kaohsiung 80424, Taiwan; [Hung, Chin-Chang] Natl Sun Yat Sen Univ, Asia Pacific Ocean Res Ctr, Kaohsiung 80424, Taiwan; [Hung, Chin-Chang; Gong, Gwo-Ching] Natl Taiwan Ocean Univ, Inst Marine Environm Chem &amp; Ecol, Chilung 20224, Taiwan; [Hung, Chin-Chang; Gong, Gwo-Ching] Natl Taiwan Ocean Univ, Ctr Excellence Marine Bioenvironm &amp; Biotechnol, Keelung 20224, Taiwan; [Santschi, Peter H.] Texas A&amp;M Univ, Dept Oceanog &amp; Marine Sci, Galveston, TX 77553 USA</t>
  </si>
  <si>
    <t>National Sun Yat Sen University; National Sun Yat Sen University; National Taiwan Ocean University; National Taiwan Ocean University; Texas A&amp;M University System</t>
  </si>
  <si>
    <t>Hung, CC (corresponding author), Natl Sun Yat Sen Univ, Inst Marine Geol &amp; Chem, 70 Lien Hai Rd, Kaohsiung 80424, Taiwan.</t>
  </si>
  <si>
    <t>cchung@mail.nsysu.edu.tw</t>
  </si>
  <si>
    <t>Gong, Gwo-Ching/B-4877-2009; Santschi, Peter H/D-5712-2012</t>
  </si>
  <si>
    <t>Santschi, Peter H/0000-0001-8188-7691</t>
  </si>
  <si>
    <t>Top University Program; National Science Council of Taiwan [NSC99-2628-M-110-001, NSC100-2119-M-110-003, NSC98-2611-M-019-014-MY3]; National Science Foundation [OCE-0351559, OCE0851191]</t>
  </si>
  <si>
    <t>Top University Program; National Science Council of Taiwan(Ministry of Science and Technology, Taiwan); National Science Foundation(National Science Foundation (NSF))</t>
  </si>
  <si>
    <t>We are grateful to W.C. Chung, W.T. Kuo, M.L. Sheu, S.L. Lee, J.M. Wu, C.W. Tseng, J.S. Sieh, P.K. Hu and the crew of the R/V Ocean Research I and II for their assistance in collecting samples. We thank positive comments on this paper from several anonymous reviewers and the associate editor. This research was supported by the Top University Program and the National Science Council (NSC99-2628-M-110-001, NSC100-2119-M-110-003, NSC98-2611-M-019-014-MY3) of Taiwan, to C.C.H. and G.C.G., and the National Science Foundation (Grant Nos. OCE-0351559 and OCE0851191) to P.H.S.</t>
  </si>
  <si>
    <t>10.1016/j.gca.2012.05.017</t>
  </si>
  <si>
    <t>983LM</t>
  </si>
  <si>
    <t>WOS:000307120800005</t>
  </si>
  <si>
    <t>Konfirst, MA; Kuhn, G; Monien, D; Scherer, RP</t>
  </si>
  <si>
    <t>Konfirst, Matthew A.; Kuhn, Gerhard; Monien, Donata; Scherer, Reed P.</t>
  </si>
  <si>
    <t>The influence of siliciclastic input on Chaetoceros abundance in an early Pliocene segment of the ANDRILL AND-1B drill core</t>
  </si>
  <si>
    <t>Antarctic Geologic Drilling McMurdo Ice Shelf; Project; Southern Ocean diatoms; Early Pliocene; Chaetoceros; Nearshore marine environments</t>
  </si>
  <si>
    <t>SEASONAL DIATOM RECORD; EUSTATIC SEA-LEVEL; MIDDLE PLIOCENE; ADELIE LAND; PALMER-DEEP; ROSS-ISLAND; ICE; SEDIMENTS; ATLANTIC; HOLOCENE</t>
  </si>
  <si>
    <t>In the austral summer of 2006/7 the ANDRILL MIS (ANtarctic geological DRILLing- McMurdo Ice Shelf) project recovered a 1285 m sediment core from beneath the Ross Ice Shelf near Ross Island, Antarctica. Contained within the upper similar to 600 m of this core are sediments recording 38 glacial/interglacial cycles of Early Pliocene to Pleistocene time, including 13 discrete diatomite units (DU). The thickest of these, DU XI, is similar to 76 m thick, has been assigned an Early Pliocene age (5-3 Ma), and represents several extended periods of uninterrupted sediment accumulation. A combination of geochemical and biological data was used to examine the role of changes in sediment source areas on diatom community composition. Peak-area count-ratios from the data collected with the XRF core scanner include K:Fe and Ti:K. K is lower and Ti higher in the volcanic series sampled. K:Fe is an indicator of the source area of fine-grained sediment delivered to the site by terrestrial and marine sedimentary processes (glacial, fluvial, eolian, gravitational, marine currents), while Ti:K is primarily associated with Ross Sea volcanic sources. A comparison of these two elemental ratios shows an anti-correlation, indicating changes in source rocks with time. Furthermore, relative abundance of the diatom genus, Chaetoceros, varies in the same sense and magnitude as K:Fe, suggesting that climatically-driven changes in sediment source regions are related to variations in abundance. It is suggested that increases in TAM-sourced sediment at the ANDRILL AND-1B site caused increased nutrient levels in the water column, leading to blooms of this genus, which is consistent with current known ecological preferences. (C) 2012 Elsevier B.V. All rights reserved.</t>
  </si>
  <si>
    <t>[Konfirst, Matthew A.; Kuhn, Gerhard; Monien, Donata] Alfred Wegener Inst, D-27568 Bremerhaven, Germany; [Konfirst, Matthew A.; Scherer, Reed P.] No Illinois Univ, Dept Geol &amp; Environm Geosci, De Kalb, IL 60115 USA</t>
  </si>
  <si>
    <t>Helmholtz Association; Alfred Wegener Institute, Helmholtz Centre for Polar &amp; Marine Research; Northern Illinois University</t>
  </si>
  <si>
    <t>US National Science Foundation; New Zealand Foundation for Research Science and Technology; Royal Society of New Zealand; Italian Antarctic Research Program; German Research Foundation; Alfred Wegener Institute for Polar and Marine Research; Fulbright Research Grant</t>
  </si>
  <si>
    <t>US National Science Foundation(National Science Foundation (NSF)); New Zealand Foundation for Research Science and Technology(New Zealand Foundation for Research, Science and Technology); Royal Society of New Zealand(Royal Society of New Zealand); Italian Antarctic Research Program; German Research Foundation(German Research Foundation (DFG)); Alfred Wegener Institute for Polar and Marine Research; Fulbright Research Grant</t>
  </si>
  <si>
    <t>The ANDRILL project is a multinational collaboration between the Antarctic programs of Germany, Italy, New Zealand and the United States. Antarctica New Zealand is the project operator and developed the drilling system in collaboration with A. Pyne.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The scientific studies are jointly supported by the US National Science Foundation, the New Zealand Foundation for Research Science and Technology and the Royal Society of New Zealand Marsden Fund, the Italian Antarctic Research Program, the German Research Foundation and the Alfred Wegener Institute for Polar and Marine Research. Special thanks to Andy Mclean for his help in sample preparation and Diane Winter for her support and insight during the data generation phase. Additional funding for this project was provided by a Fulbright Research Grant, which was carried out at the Alfred Wegener Institute for Polar and Marine Research.</t>
  </si>
  <si>
    <t>10.1016/j.palaeo.2012.05.027</t>
  </si>
  <si>
    <t>977QN</t>
  </si>
  <si>
    <t>WOS:000306679600007</t>
  </si>
  <si>
    <t>Simpkins, GR; Ciasto, LM; Thompson, DWJ; England, MH</t>
  </si>
  <si>
    <t>Simpkins, Graham R.; Ciasto, Laura M.; Thompson, David. W. J.; England, Matthew H.</t>
  </si>
  <si>
    <t>Seasonal Relationships between Large-Scale Climate Variability and Antarctic Sea Ice Concentration</t>
  </si>
  <si>
    <t>SOUTHERN-HEMISPHERE CIRCULATION; NCEP-NCAR REANALYSIS; ANNULAR MODE; OCEAN SYSTEM; TRENDS; TEMPERATURE; ATMOSPHERE; OSCILLATION</t>
  </si>
  <si>
    <t>The observed relationships between anomalous Antarctic sea ice concentration (SIC) and the leading patterns of Southern Hemisphere (SH) large-scale climate variability are examined as a function of season over 1980-2008. Particular emphasis is placed on 1) the interactions between SIC, the southern annular mode (SAM), and El Nino Southern Oscillation (ENSO); and 2) the contribution of these two leading modes to the 29-yr trends in sea ice. Regression, composite, and principal component analyses highlight a seasonality in SH sea ice atmosphere interactions, whereby Antarctic sea ice variability exhibits the strongest linkages to the SAM and ENSO during the austral cold season months. As noted in previous work, a dipole in SIC anomalies emerges in relation to the SAM, characterized by centers of action located near the Bellingshausen/Weddell and Amundsen/eastern Ross Seas. The structure and magnitude of this SIC dipole is found to vary considerably as a function of season, consistent with the seasonality of the overlying atmospheric circulation anomalies. Relative to the SAM, the pattern of sea ice anomalies linked to ENSO exhibits a similar seasonality but tends to be weaker in amplitude and more diffuse in structure. The relationships between ENSO and sea ice also exhibit a substantial nonlinear component, highlighting the need to consider both season and phase of the ENSO cycle when diagnosing ENSO-SIC linkages. Trends in SIC over 1980-2008 are not significantly related to trends in either the SAM or ENSO during any season, including austral summer when the trend in the SAM is most pronounced.</t>
  </si>
  <si>
    <t>[Simpkins, Graham R.; Ciasto, Laura M.; England, Matthew H.] Univ New S Wales, Climate Change Res Ctr, Sydney, NSW 2052, Australia; [Thompson, David. W. J.] Colorado State Univ, Dept Atmospher Sci, Ft Collins, CO 80523 USA</t>
  </si>
  <si>
    <t>University of New South Wales Sydney; Colorado State University</t>
  </si>
  <si>
    <t>Simpkins, GR (corresponding author), Univ New S Wales, Climate Change Res Ctr, Sydney, NSW 2052, Australia.</t>
  </si>
  <si>
    <t>g.simpkins@unsw.edu.au</t>
  </si>
  <si>
    <t>England, Matthew/A-7539-2011; Thompson, David W J/F-9627-2012; Thompson, David/C-3520-2008</t>
  </si>
  <si>
    <t>England, Matthew/0000-0001-9696-2930; Thompson, David W J/0000-0002-5413-4376; Simpkins, Graham/0000-0002-6509-658X</t>
  </si>
  <si>
    <t>University of New South Wales University International Postgraduate Award; NSF; CCRC; UNSW; Australian Research Council; Directorate For Geosciences; Div Atmospheric &amp; Geospace Sciences [0936255] Funding Source: National Science Foundation</t>
  </si>
  <si>
    <t>University of New South Wales University International Postgraduate Award; NSF(National Science Foundation (NSF)); CCRC(Australian GovernmentDepartment of Industry, Innovation and ScienceCooperative Research Centres (CRC) Programme); UNSW; Australian Research Council(Australian Research Council); Directorate For Geosciences; Div Atmospheric &amp; Geospace Sciences(National Science Foundation (NSF)NSF - Directorate for Geosciences (GEO))</t>
  </si>
  <si>
    <t>The authors thank the three anonymous reviewers, whose comments greatly helped improve the original manuscript, and Dr. Shayne McGregor for his useful discussions of the results. GRS was supported by a University of New South Wales University International Postgraduate Award. DWJT is supported by the NSF Climate Dynamics program and appreciates sabbatical funding from CCRC, UNSW. This work was also supported by the Australian Research Council.</t>
  </si>
  <si>
    <t>10.1175/JCLI-D-11-00367.1</t>
  </si>
  <si>
    <t>992QD</t>
  </si>
  <si>
    <t>WOS:000307793900002</t>
  </si>
  <si>
    <t>Marshall, RA; Dalzell, M; Waters, CL; Goldthorpe, P; Smith, EA</t>
  </si>
  <si>
    <t>Marshall, R. A.; Dalzell, M.; Waters, C. L.; Goldthorpe, P.; Smith, E. A.</t>
  </si>
  <si>
    <t>Geomagnetically induced currents in the New Zealand power network</t>
  </si>
  <si>
    <t>SPACE WEATHER-THE INTERNATIONAL JOURNAL OF RESEARCH AND APPLICATIONS</t>
  </si>
  <si>
    <t>SPACE WEATHER EVENTS; 29-31 OCTOBER 2003; STORM; SYSTEMS; FIELD; DISTURBANCES; IMPACTS; SUN</t>
  </si>
  <si>
    <t>Adverse space weather conditions have been shown to be directly responsible for faults within power networks at high latitudes. A number of studies have also shown space weather to impact power networks at lower latitudes, although most of these studies show increases in GIC activity within networks not directly related to hardware faults. This study examines a GIC event that occurred in New Zealand's South Island power network on 6th November 2001. A transformer failure that occurred during this day is shown to be associated with a change in the solar wind dynamic pressure of nearly 20 nPa. Measurements of GICs recorded on the neutral lines of transformers across the Transpower network during this event show good correlation with a GIC-index, a proxy for the geoelectric field that drives GIC. Comparison of this event with GIC activity observed in the Transpower network during large space weather storms such as the 2003 Halloween storm, suggests that solar wind shocks and associated geomagnetic sudden impulse (SI) events may be as hazardous to middle latitude power networks as GIC activity occurring during the main phase of large storms. Further, this study suggests that the latitudinal dependence of the impacts of SI events on power systems differs from that observed during large main phase storms. This study also highlights the importance of operating procedures for large space weather events, even at middle latitude locations.</t>
  </si>
  <si>
    <t>[Marshall, R. A.; Smith, E. A.] Bur Meteorol, IPS Radio &amp; Space Serv, Sydney, NSW 2000, Australia; [Dalzell, M.] Transpower New Zealand Ltd, Wellington, New Zealand; [Waters, C. L.; Goldthorpe, P.] Univ Newcastle, Sch Math &amp; Phys Sci, Newcastle, NSW 2300, Australia</t>
  </si>
  <si>
    <t>Bureau of Meteorology - Australia; University of Newcastle</t>
  </si>
  <si>
    <t>Marshall, RA (corresponding author), Bur Meteorol, IPS Radio &amp; Space Serv, Sydney, NSW 2000, Australia.</t>
  </si>
  <si>
    <t>r.marshall@ips.gov.au</t>
  </si>
  <si>
    <t>Waters, Colin L/B-3086-2011</t>
  </si>
  <si>
    <t>Waters, Colin L/0000-0003-2121-6962</t>
  </si>
  <si>
    <t>Transpower New Zealand</t>
  </si>
  <si>
    <t>The authors would like to thank Transpower New Zealand for supporting this study. The authors would also like to thank the Eyrewell Geomagnetic Observatory of the Institute of Geological and Nuclear Science New Zealand, the Australian Antarctic Division, and the Geomagnetism group of Geoscience Australia for provision of magnetometer data used in this study. The authors would also like to thank the WDC for Geomagnetism, Kyoto, Japan, and NOAA's Space Weather Prediction Centre, United States, for provision of geomagnetic indices used in this study. The authors would like to acknowledge the SOHO satellite group for solar wind data used in this study.</t>
  </si>
  <si>
    <t>1542-7390</t>
  </si>
  <si>
    <t>SPACE WEATHER</t>
  </si>
  <si>
    <t>Space Weather</t>
  </si>
  <si>
    <t>AUG 11</t>
  </si>
  <si>
    <t>S08003</t>
  </si>
  <si>
    <t>10.1029/2012SW000806</t>
  </si>
  <si>
    <t>Astronomy &amp; Astrophysics; Geochemistry &amp; Geophysics; Meteorology &amp; Atmospheric Sciences</t>
  </si>
  <si>
    <t>988EH</t>
  </si>
  <si>
    <t>WOS:000307470800001</t>
  </si>
  <si>
    <t>Stolldorf, T; Schenke, HW; Anderson, JB</t>
  </si>
  <si>
    <t>Stolldorf, Travis; Schenke, Hans-Werner; Anderson, John B.</t>
  </si>
  <si>
    <t>LGM ice sheet extent in the Weddell Sea: evidence for diachronous behavior of Antarctic Ice Sheets</t>
  </si>
  <si>
    <t>Antarctica; Weddell Sea; Last Glacial Maximum; Radiocarbon; Geomorphology; Ice sheet; Glacial trough; Glacial history; Grounding line position; Glacial retreat; Hughes Trough</t>
  </si>
  <si>
    <t>LAST GLACIAL MAXIMUM; PINE ISLAND BAY; PLEISTOCENE-HOLOCENE RETREAT; WESTERN ROSS-SEA; EAST ANTARCTICA; RADIOCARBON CONSTRAINTS; DEGLACIAL HISTORY; MARINE-SEDIMENTS; SHELF; PENINSULA</t>
  </si>
  <si>
    <t>Inaccessibility due to harsh weather conditions and perennial sea ice has resulted in the Weddell Sea being one of the more under-studied regions of Antarctica. Re-examination of existing cores and unpublished multibeam bathymetric data provide new insight into the LGM configuration of the ice sheet in the region. Sediment cores from the eastern continental shelf, where the East Antarctic Ice Sheet (EAIS) drains, display a retreat stratigraphy with distal glacimarine sediments overlying proximal glacimarine sediments and till. The distinction between distal and proximal glacimarine sediments is based on degrees of marine influence based on grain-size distributions and foraminiferal abundance and diversity. Glacimarine sediments yielded AMS radiocarbon ages that span the past 30,476 cal yr BP, indicating that retreat of the EAIS from the continental shelf occurred prior to the LGM. Multibeam swath bathymetry data show mega-scale glacial lineations in two troughs on the southern continental shelf, which indicates the existence of two ice streams draining the West Antarctic Ice Sheet (WAIS). More subtle lineations within Filchner Trough imply more sluggish flow across bedrock and older strata within this trough. Although there are no radiocarbon ages to absolutely constrain the timing of this grounding event on the southern continental shelf, we interpret the lineations as LGM age based on their pristine nature. This interpretation is consistent with results from other sectors of the West Antarctic continental shelf where compelling evidence for significant WAIS advance during the LGM exists. In the Weddell Sea, this apparent diachronous behavior of the EAIS and WAIS is consistent with results from onshore studies. (C) 2012 Elsevier Ltd. All rights reserved.</t>
  </si>
  <si>
    <t>[Stolldorf, Travis; Anderson, John B.] Rice Univ, Dept Earth Sci, Houston, TX 77005 USA; [Schenke, Hans-Werner] Alfred Wegener Inst Polar &amp; Marine Res, D-27568 Bremerhaven, Germany</t>
  </si>
  <si>
    <t>Rice University; Helmholtz Association; Alfred Wegener Institute, Helmholtz Centre for Polar &amp; Marine Research</t>
  </si>
  <si>
    <t>Stolldorf, T (corresponding author), 2718 Copeland Mill Ln, Houston, TX 77047 USA.</t>
  </si>
  <si>
    <t>stolldorf@hotmail.com</t>
  </si>
  <si>
    <t>Anderson, John/B-1011-2012</t>
  </si>
  <si>
    <t>National Science Foundation, Office of Polar Programs [NSF/ARRA, ANT-0837925]; Office of Polar Programs (OPP); Directorate For Geosciences [0837925] Funding Source: National Science Foundation</t>
  </si>
  <si>
    <t>National Science Foundation, Office of Polar Programs(National Science Foundation (NSF)); Office of Polar Programs (OPP); Directorate For Geosciences(National Science Foundation (NSF)NSF - Directorate for Geosciences (GEO))</t>
  </si>
  <si>
    <t>This research was funded by National Science Foundation, Office of Polar Programs grant number NSF/ARRA grant ANT-0837925. The authors are appreciative of the help from the Alfred Wegener Institute, our colleagues at Rice University, the staff at the Florida State University Antarctic Research Facility and the staff at the University of California-Irvine Keck Carbon Cycle Accelerator Mass Spectrometry Laboratory. We also wish to thank C.D. Hillenbrand for an especially thorough and helpful review.</t>
  </si>
  <si>
    <t>AUG 10</t>
  </si>
  <si>
    <t>10.1016/j.quascirev.2012.05.017</t>
  </si>
  <si>
    <t>995YV</t>
  </si>
  <si>
    <t>WOS:000308052100003</t>
  </si>
  <si>
    <t>Renssen, H; Seppä, H; Crosta, X; Goosse, H; Roche, DM</t>
  </si>
  <si>
    <t>Renssen, H.; Seppa, H.; Crosta, X.; Goosse, H.; Roche, D. M.</t>
  </si>
  <si>
    <t>Global characterization of the Holocene Thermal Maximum</t>
  </si>
  <si>
    <t>Holocene; Climate modelling; Global analysis</t>
  </si>
  <si>
    <t>SEA-SURFACE TEMPERATURE; EARTH SYSTEM MODEL; CLIMATE-CHANGE; ANTARCTIC PENINSULA; SOUTHERN-OCEAN; POLAR AMPLIFICATION; NORTH-ATLANTIC; PALEOENVIRONMENTAL CHANGE; MEDITERRANEAN REGION; TIBETAN PLATEAU</t>
  </si>
  <si>
    <t>We analyze the global variations in the timing and magnitude of the Holocene Thermal Maximum (HTM) and their dependence on various forcings in transient simulations covering the last 9000 years (9 ka), performed with a global atmosphere-ocean-vegetation model. In these experiments, we consider the influence of variations in orbital parameters and atmospheric greenhouse gases and the early-Holocene deglaciation of the Laurentide Ice sheet (LIS). Considering the LIS deglaciation, we quantify separately the impacts of the background melt-water fluxes and the changes in topography and surface albedo. In the analysis we focus on the intensity of the maximum temperature deviation relative to the preindustrial level, its timing in the Holocene, and the seasonal expression. In the model, the warmest HTM conditions are found at high latitudes in both hemispheres, reaching 5 degrees C above the preindustrial level, while the smallest HTM signal is seen over tropical oceans (less than 0.5 degrees C). This latitudinal contrast is mostly related to the nature of the orbitally-forced insolation forcing, which is also largest at high latitudes, and further enhanced by the polar amplification. The Holocene timing of the HTM is earliest (before 8 ka BP) in regions not affected by the remnant LIS, particularly NW North America, E Asia, N Africa, N South America, the Middle East, NE Siberia and Australia. Compared to the early Holocene insolation maximum, the HTM was delayed by 2-3 ka over NE North America, and regions directly downwind from the LIS. A similar delay is simulated over the Southern Ocean, while an intermediate lag of about 1 ka is found over most other continents and oceans. The seasonal timing of the HTM over continents generally occurs in the same month as the maximum insolation anomaly, whereas over oceans the FITM is delayed by 2-3 months. Exceptions are the oceans covered by sea ice and North Africa, were additional feedbacks results in a different seasonal timing. The simulated timing and magnitude of the HTM are generally consistent with global proxy evidence, with some notable exceptions in the Mediterranean region, SW North America and eastern Eurasia. (C) 2012 Elsevier Ltd. All rights reserved.</t>
  </si>
  <si>
    <t>[Renssen, H.; Roche, D. M.] Vrije Univ Amsterdam, Fac Earth &amp; Life Sci, Dept Earth Sci, Amsterdam, Netherlands; [Seppa, H.] Univ Helsinki, Dept Geosci &amp; Geog, Helsinki, Finland; [Crosta, X.] Univ Bordeaux 1, EPOC, CNRS, UMR 5805, F-33405 Talence, France; [Goosse, H.] Catholic Univ Louvain, Ctr Rech Terre &amp; Climat Georges Lemaitre, Earth &amp; Life Inst, B-1348 Louvain, Belgium; [Roche, D. M.] Lab CEA INSU UVSQ CNRS, IPSL, Lab Sci Climat &amp; Environm, Gif Sur Yvette, France</t>
  </si>
  <si>
    <t>Vrije Universiteit Amsterdam; University of Helsinki; Centre National de la Recherche Scientifique (CNRS); CNRS - National Institute for Earth Sciences &amp; Astronomy (INSU); Universite de Bordeaux; Universite Catholique Louvain; Universite Paris Saclay; CEA; Centre National de la Recherche Scientifique (CNRS); Universite Paris Cite</t>
  </si>
  <si>
    <t>Renssen, H (corresponding author), Vrije Univ Amsterdam, Fac Earth &amp; Life Sci, Dept Earth Sci, Amsterdam, Netherlands.</t>
  </si>
  <si>
    <t>h.renssen@vu.nl</t>
  </si>
  <si>
    <t>; Roche, Didier M./C-9875-2010</t>
  </si>
  <si>
    <t>Seppa, Heikki/0000-0003-2494-7955; Roche, Didier M./0000-0001-6272-9428</t>
  </si>
  <si>
    <t>European Union [243908]; Nordic top-level research initiative CRAICC; NWO [854.00.024]; INSU-CNRS</t>
  </si>
  <si>
    <t>European Union(European Union (EU)); Nordic top-level research initiative CRAICC; NWO(Netherlands Organization for Scientific Research (NWO)); INSU-CNRS(Centre National de la Recherche Scientifique (CNRS))</t>
  </si>
  <si>
    <t>This is Past4Future contribution number 18. The research leading to these results has received funding from the European Union's Seventh Framework programme (FP7/2007-2013) under grant agreement number 243908, Past4Future. Climate change - Learning from the past climate. This is also a contribution (number 9) to the HOLOCLIP Project, a joint research project of ESF Polar-CLIMATE programme, which is funded by national contributions from Italy, France, Germany, Spain, Netherlands, Belgium and the United Kingdom. HS acknowledges the financial support from the Nordic top-level research initiative CRAICC. DMR is funded by the NWO under project number 854.00.024 and by INSU-CNRS</t>
  </si>
  <si>
    <t>1873-457X</t>
  </si>
  <si>
    <t>10.1016/j.quascirev.2012.05.022</t>
  </si>
  <si>
    <t>WOS:000308052100002</t>
  </si>
  <si>
    <t>Ryan, MT; Dunbar, GB; Vandergoes, MJ; Neil, HL; Hannah, MJ; Newnham, RM; Bostock, H; Alloway, BV</t>
  </si>
  <si>
    <t>Ryan, M. T.; Dunbar, G. B.; Vandergoes, M. J.; Neil, H. L.; Hannah, M. J.; Newnham, R. M.; Bostock, H.; Alloway, B. V.</t>
  </si>
  <si>
    <t>Vegetation and climate in Southern Hemisphere mid-latitudes since 210 ka: new insights from marine and terrestrial pollen records from New Zealand</t>
  </si>
  <si>
    <t>Marine palynology; Late Quaternary; New Zealand; Westland; Marine-terrestrial correlation; Nothofagus beech gap; Southern Hemisphere</t>
  </si>
  <si>
    <t>MILLENNIAL-SCALE VARIABILITY; LAND-SEA CORRELATION; NORTHERN NEW-ZEALAND; EASTERN NEW-ZEALAND; WEST-COAST; PALYNOLOGICAL RECORD; CONTINENTAL-SHELF; EUROPEAN VEGETATION; SOUTHWEST PACIFIC; CALCIUM-CARBONATE</t>
  </si>
  <si>
    <t>Paleo-vegetation records developed from marine sedimentary sequences offer considerable potential for examining changes in terrestrial climate beyond the range of C-14 dating because they can be independently dated by delta O-18 stratigraphy. Here we present the first pollen record of vegetation from a marine core site in the Tasman Sea, TAN0513-14 (42 degrees 18'S, 169 degrees 53'E), similar to 110 km west of New Zealand's South Island. An independent chronology provided by correlating the Globigerina bulloides delta O-18 record at TAN0513-14 to a global isotope stack shows that the record extends back to 210 ka. Glacial to interglacial changes in palynomorph content are characterised by shrub and podocarp-broadleaf forest taxa respectively and are correlated with similar changes in the ca 150 kyr-long terrestrial pollen record from Okarito Pakihi (bog), 110 km to the south southeast. Both records are placed on the same timescale by matching variations in Dacrydium cupressinum and Fuscospora between sites, with a unique tie point provided by the ca 25.4 ka Kawakawa Tephra. Our Southern Hemisphere mid-latitude vegetation records show forest extent is greatest during periods of low ice volume, high mean annual sea surface temperature (MASST) and anti-phased with local insolation intensity. However, there are several features not attributable to changes in mean annual temperature. First, a fundamental change in forest composition occurred at Termination 11 (111), with a loss of southern beech (Nothofagus) from the study area. Second, the amplitude of MASST change through MISS is not reflected in corresponding changes in forest extent, suggesting other feature(s) of regional climate (seasonality, frostiness, ice cover) exert important controls over vegetation patterns at these latitudes. (C) 2012 Elsevier Ltd. All rights reserved.</t>
  </si>
  <si>
    <t>[Ryan, M. T.; Dunbar, G. B.] Victoria Univ Wellington, Antarctic Res Ctr, Wellington, New Zealand; [Ryan, M. T.; Hannah, M. J.; Newnham, R. M.; Alloway, B. V.] Victoria Univ Wellington, Sch Geog Environm &amp; Earth Sci, Wellington, New Zealand; [Vandergoes, M. J.] GNS Sci Ltd, Lower Hutt, New Zealand; [Neil, H. L.; Bostock, H.] NIWA Ltd, Wellington, New Zealand</t>
  </si>
  <si>
    <t>Victoria University Wellington; Victoria University Wellington; National Institute of Water &amp; Atmospheric Research (NIWA) - New Zealand</t>
  </si>
  <si>
    <t>Dunbar, GB (corresponding author), Victoria Univ Wellington, Antarctic Res Ctr, POB 600, Wellington, New Zealand.</t>
  </si>
  <si>
    <t>gavin.dunbar@vuw.ac.nz</t>
  </si>
  <si>
    <t>Bostock, Helen/A-6834-2013; Hannah, Michael/H-1083-2015</t>
  </si>
  <si>
    <t>Bostock, Helen/0000-0002-8903-8958; Hannah, Michael/0000-0002-2275-0086</t>
  </si>
  <si>
    <t>FRST/MSI [C01X0702]; School of Geography, Environment and Earth Sciences, Victoria University; Antarctic Research Centre Endowment development fund; New Zealand Foundation for Research Science and Technology</t>
  </si>
  <si>
    <t>FRST/MSI; School of Geography, Environment and Earth Sciences, Victoria University; Antarctic Research Centre Endowment development fund; New Zealand Foundation for Research Science and Technology(New Zealand Foundation for Research, Science and Technology)</t>
  </si>
  <si>
    <t>We acknowledge the officers and crew from the NIWA R.V Tangaroa 0513 cruise for the collection of the cores and onboard data used in this study. This project was funded under FRST/MSI contract Consequences of Earth Ocean Change C01X0702. We also acknowledge the School of Geography, Environment and Earth Sciences, Victoria University, the Antarctic Research Centre Endowment development fund and the New Zealand Foundation for Research Science and Technology for financial support, and Bill McLea and Lionel Carter for helpful discussion and comments as this work progressed.</t>
  </si>
  <si>
    <t>10.1016/j.quascirev.2012.06.001</t>
  </si>
  <si>
    <t>WOS:000308052100009</t>
  </si>
  <si>
    <t>Buiron, D; Stenni, B; Chappellaz, J; Landais, A; Baumgartner, M; Bonazza, M; Capron, E; Frezzotti, M; Kageyama, M; Lemieux-Dudon, B; Masson-Delmotte, V; Parrenin, E; Schilt, A; Selmo, E; Severi, M; Swingedouw, D; Udisti, R</t>
  </si>
  <si>
    <t>Buiron, D.; Stenni, B.; Chappellaz, J.; Landais, A.; Baumgartner, M.; Bonazza, M.; Capron, E.; Frezzotti, M.; Kageyama, M.; Lemieux-Dudon, B.; Masson-Delmotte, V.; Parrenin, E.; Schilt, A.; Selmo, E.; Severi, M.; Swingedouw, D.; Udisti, R.</t>
  </si>
  <si>
    <t>Regional imprints of millennial variability during the MIS 3 period around Antarctica</t>
  </si>
  <si>
    <t>Paleoclimate; Millennial-scale variability; Glacial period; Ice cores; Talos Dome; Global coupled model simulations</t>
  </si>
  <si>
    <t>LAST GLACIAL MAXIMUM; EPICA DOME-C; SCALE CLIMATE-CHANGE; DRONNING MAUD LAND; ICE-CORE; SEA-ICE; NORTH-ATLANTIC; SOUTHERN-OCEAN; EAST ANTARCTICA; TALOS DOME</t>
  </si>
  <si>
    <t>The climate of the last glacial Marine Isotopic Stage 3 (MIS3) period is characterized by strong millennial-scale variability with a succession of Dansgaard-Oeschger events first identified in Greenland ice cores and associated with variations of the Atlantic Meridional Overturning Circulation (AMOC). These abrupt events have a smooth and lagged counterpart in water stable isotopes from Antarctic ice cores. In this study we aim at depicting and understanding the circum-Antarctic expression of this millennial-scale variability. To illustrate the mechanisms potentially at work in the response of the southern high latitudes to an abrupt decrease of the AMOC, we first present results from experiments performed with the IPSL-CM4 atmosphere-ocean coupled model under glacial boundary conditions. When the AMOC is perturbed by imposing an additional freshwater flux in the North Atlantic, our model produces the classical bipolar seesaw mechanism generally invoked to explain the warming of the Southern Ocean/Antarctic region. However, this mechanism can be locally offset by faster atmospheric teleconnections originating from the tropics, even though the precise location of this fast response is not coherent among different climate models. Our model results are confronted with a synthesis of Antarctic records of ice core stable isotope and sea-salt sodium, including new data obtained on the TALDICE ice core. The IPSL-CM4 produces a dipole-like pattern around Antarctica, with warming in the Atlantic/Indian sectors contrasting with an unexpected cooling in the East-Pacific sector. The latter signal is not detected in our data synthesis. Both ice core data and simulations are consistent in depicting a more rapid response of the Atlantic sector compared to the Indian sector. This feature can be explained by the gradual impact of ocean transport on which faster atmospheric teleconnections are superimposed. Detailed investigations of the sequence of events between different proxies are conducted in three ice cores. Earlier shifts in deuterium excess and significant changes in sea-salt sodium fluxes in the most coastal sites (TALDICE and EDML) compared to EDC suggest reorganizations in local moisture sources, possibly linked with sea-ice cover. This study demonstrates the added value of circum-Antarctic ice core records to characterize the patterns and mechanisms of glacial climate variability. (C) 2012 Elsevier Ltd. All rights reserved.</t>
  </si>
  <si>
    <t>[Stenni, B.; Bonazza, M.] Univ Trieste, Dept Math &amp; Geosci, I-34127 Trieste, Italy; [Buiron, D.; Chappellaz, J.; Parrenin, E.] CNRS, LGGE, F-38400 St Martin Dheres, France; [Buiron, D.; Chappellaz, J.; Parrenin, E.] Univ Grenoble 1, F-38400 St Martin Dheres, France; [Landais, A.; Capron, E.; Kageyama, M.; Masson-Delmotte, V.; Swingedouw, D.] CEA Saclay, IPSL CEA CNRS UVSQ, Lab Sci Climat &amp; Environm, UMR 8212, F-91191 Gif Sur Yvette, France; [Baumgartner, M.; Schilt, A.] Univ Bern, Inst Phys, CH-3012 Bern, Switzerland; [Frezzotti, M.] CR Casaccia, ENEA, I-00123 Rome, Italy; [Lemieux-Dudon, B.] INRIA Lab Jean Kuntzmann, F-38000 Grenoble, France; [Baumgartner, M.; Schilt, A.] Univ Bern, Oeschger Ctr Climate Change Res, CH-3012 Bern, Switzerland; [Selmo, E.] Univ Parma, Dept Earth Sci, I-43100 Parma, Italy; [Severi, M.; Udisti, R.] Univ Firenze, Dept Chem, I-50019 Sesto Fiorentino, Italy</t>
  </si>
  <si>
    <t>University of Trieste; Communaute Universite Grenoble Alpes; Universite Grenoble Alpes (UGA); Centre National de la Recherche Scientifique (CNRS); Communaute Universite Grenoble Alpes; Universite Grenoble Alpes (UGA); Universite Paris Saclay; CEA; Centre National de la Recherche Scientifique (CNRS); CNRS - National Institute for Earth Sciences &amp; Astronomy (INSU); University of Bern; Italian National Agency New Technical Energy &amp; Sustainable Economics Development; University of Bern; University of Parma; University of Florence</t>
  </si>
  <si>
    <t>Stenni, B (corresponding author), Univ Trieste, Dept Math &amp; Geosci, I-34127 Trieste, Italy.</t>
  </si>
  <si>
    <t>stenni@units.it</t>
  </si>
  <si>
    <t>Chappellaz, Jérôme A./A-4872-2011; Udisti, Roberto/M-7966-2015; Parrenin, Frédéric/H-3054-2014; FREZZOTTI, Massimo/AAK-7275-2020; Masson-Delmotte, Valerie L/G-1995-2011; Swingedouw, Didier/D-1408-2010; Kageyama, Masa/F-2389-2010; Severi, Mirko/J-2508-2012</t>
  </si>
  <si>
    <t>Udisti, Roberto/0000-0003-4440-8238; Parrenin, Frédéric/0000-0002-9489-3991; FREZZOTTI, Massimo/0000-0002-2461-2883; Masson-Delmotte, Valerie L/0000-0001-8296-381X; Swingedouw, Didier/0000-0002-0583-0850; Stenni, Barbara/0000-0003-4950-3664; Becagli, Silvia/0000-0003-3633-4849; Kageyama, Masa/0000-0003-0822-5880; Severi, Mirko/0000-0003-1511-6762; LANDAIS, Amaelle/0000-0002-5620-5465; Lemieux-Dudon, Benedicte/0000-0002-0718-2420</t>
  </si>
  <si>
    <t>NERC [bas0100024] Funding Source: UKRI; Natural Environment Research Council [bas0100024] Funding Source: researchfish</t>
  </si>
  <si>
    <t>10.1016/j.quascirev.2012.05.023</t>
  </si>
  <si>
    <t>WOS:000308052100010</t>
  </si>
  <si>
    <t>Elderfield, H; Ferretti, P; Greaves, M; Crowhurst, S; McCave, IN; Hodell, D; Piotrowski, AM</t>
  </si>
  <si>
    <t>Elderfield, H.; Ferretti, P.; Greaves, M.; Crowhurst, S.; McCave, I. N.; Hodell, D.; Piotrowski, A. M.</t>
  </si>
  <si>
    <t>Evolution of Ocean Temperature and Ice Volume Through the Mid-Pleistocene Climate Transition</t>
  </si>
  <si>
    <t>DEEP-SEA TEMPERATURE; SOUTHERN-OCEAN; ANTARCTIC CLIMATE; CARBON-DIOXIDE; PLEISTOCENE; VARIABILITY; DELTA-O-18; ISOTOPE; FLUCTUATIONS; CIRCULATION</t>
  </si>
  <si>
    <t>Earth's climate underwent a fundamental change between 1250 and 700 thousand years ago, the mid-Pleistocene transition (MPT), when the dominant periodicity of climate cycles changed from 41 thousand to 100 thousand years in the absence of substantial change in orbital forcing. Over this time, an increase occurred in the amplitude of change of deep-ocean foraminiferal oxygen isotopic ratios, traditionally interpreted as defining the main rhythm of ice ages although containing large effects of changes in deep-ocean temperature. We have separated the effects of decreasing temperature and increasing global ice volume on oxygen isotope ratios. Our results suggest that the MPT was initiated by an abrupt increase in Antarctic ice volume 900 thousand years ago. We see no evidence of a pattern of gradual cooling, but near-freezing temperatures occur at every glacial maximum.</t>
  </si>
  <si>
    <t>[Elderfield, H.; Ferretti, P.; Greaves, M.; Crowhurst, S.; McCave, I. N.; Hodell, D.; Piotrowski, A. M.] Univ Cambridge, Dept Earth Sci, Godwin Lab Palaeoclimate Res, Cambridge CB2 3EQ, England</t>
  </si>
  <si>
    <t>University of Cambridge</t>
  </si>
  <si>
    <t>Elderfield, H (corresponding author), Univ Cambridge, Dept Earth Sci, Godwin Lab Palaeoclimate Res, Downing St, Cambridge CB2 3EQ, England.</t>
  </si>
  <si>
    <t>he101@cam.ac.uk</t>
  </si>
  <si>
    <t>McCave, I. Nick/O-3992-2018; McCave, Nick N/G-7323-2016</t>
  </si>
  <si>
    <t>McCave, I. Nick/0000-0002-4702-5489; McCave, Nick N/0000-0002-4702-5489; Greaves, Mervyn/0000-0001-8014-8627; Hodell, David/0000-0001-8537-1588; FERRETTI, Patrizia/0000-0002-4814-3655</t>
  </si>
  <si>
    <t>Natural Environment Research Council (UK); European Research Council (ERC) [2010-ADG-267931]; European Community's Seventh Framework Programme [211384]; EPICA-MIS (Enhanced Palaeoreconstruction and Integrated Climate Analysis Through Marine and Ice Core Studies) program; Royal Society Leverhulme Trust Senior Research Fellowship; CORC-ARCHES (Consortium on the Ocean's Role in Climate/Abrupt climate Change Studies) Visiting Scientist post at Lamont Doherty Earth Observatory of Columbia University; Natural Environment Research Council [NE/D002206/1, NE/H009930/1] Funding Source: researchfish; NERC [NE/D002206/1, NE/H009930/1] Funding Source: UKRI</t>
  </si>
  <si>
    <t>Natural Environment Research Council (UK)(UK Research &amp; Innovation (UKRI)Natural Environment Research Council (NERC)); European Research Council (ERC)(European Research Council (ERC)Spanish Government); European Community's Seventh Framework Programme(European Union (EU)); EPICA-MIS (Enhanced Palaeoreconstruction and Integrated Climate Analysis Through Marine and Ice Core Studies) program; Royal Society Leverhulme Trust Senior Research Fellowship(Royal SocietyLeverhulme Trust); CORC-ARCHES (Consortium on the Ocean's Role in Climate/Abrupt climate Change Studies) Visiting Scientist post at Lamont Doherty Earth Observatory of Columbia University; Natural Environment Research Council(UK Research &amp; Innovation (UKRI)Natural Environment Research Council (NERC)); NERC(UK Research &amp; Innovation (UKRI)Natural Environment Research Council (NERC))</t>
  </si>
  <si>
    <t>This work was funded in part by The Natural Environment Research Council (UK) and The European Research Council (ERC grant 2010-ADG-267931) and is a contribution to the European Project on Ocean Acidification (EPOCA), which received funding from the European Community's Seventh Framework Programme (FP7/2007-2013) under grant agreement no. 211384 and from the EPICA-MIS (Enhanced Palaeoreconstruction and Integrated Climate Analysis Through Marine and Ice Core Studies) program. Funding was also provided by a Royal Society Leverhulme Trust Senior Research Fellowship and a CORC-ARCHES (Consortium on the Ocean's Role in Climate/Abrupt climate Change Studies) Visiting Scientist post at Lamont Doherty Earth Observatory of Columbia University, for which H. E. is grateful to W. Broecker. We thank J. Firth and colleagues at the IODP core repository, College Station, for help in sampling ODP 1123. L. Booth and C. Daunt, and additionally J. Clegg, J. Day, M. Hall, J. Nicholson, N. Roberts, J. Rolfe, J. Smith, S. Smith, and S. Sounef-Ureta provided crucial laboratory support in Cambridge. We thank L. Booth and I. Weidle for their work on Uvigerina morphologies. G. Bayon, E. Ponzeve, and N. Freslon provided help during epsilon Nd analysis at IFREMER (Institut francais de recherche pour l'exploitation de la mer) Brest, France. D. Maraun helped with use of Sowas software, and F. Joos, H. Palike, R. Rickaby, T. Stocker, and G. Weedon helped with discussions. The reviews of the manuscript were very valuable, especially in encouraging us to focus on interpretation of the delta18OC record.</t>
  </si>
  <si>
    <t>1095-9203</t>
  </si>
  <si>
    <t>10.1126/science.1221294</t>
  </si>
  <si>
    <t>986PE</t>
  </si>
  <si>
    <t>WOS:000307354500047</t>
  </si>
  <si>
    <t>Preunkert, S; Ancellet, G; Legrand, M; Kukui, A; Kerbrat, M; Sarda-Estève, R; Gros, V; Jourdain, B</t>
  </si>
  <si>
    <t>Preunkert, Susanne; Ancellet, Gerard; Legrand, Michel; Kukui, Alexandre; Kerbrat, Michael; Sarda-Esteve, Roland; Gros, Valerie; Jourdain, Bruno</t>
  </si>
  <si>
    <t>Oxidant Production over Antarctic Land and its Export (OPALE) project: An overview of the 2010-2011 summer campaign</t>
  </si>
  <si>
    <t>SOUTH-POLE; OH; CHEMISTRY; AEROSOL; RECORDS; SULFUR; REASSESSMENT; FORMALDEHYDE; VARIABILITY; ATMOSPHERE</t>
  </si>
  <si>
    <t>This paper summarizes the objectives and setting of the OPALE (Oxidant Production over Antarctic Land and its Export) project during summer 2010/2011 at Dumont d'Urville. The primary goal of the campaign is to characterize the oxidizing environment of the atmospheric boundary layer along the coast of East Antarctica. A summary of the relevant field chemical measurements is presented including the carbon monoxide and ammonia records that are used here to identify local influences due to station activities and penguin emissions. An overview of the basic meteorological conditions experienced by the site is presented including the results from the trajectory/dispersion model FLEXPART to highlight which types of air mass were sampled (marine boundary layer versus continental Antarctic air). The results of the FLEXPART analysis demonstrate that high ozone levels and related changes in the OH concentrations are associated with the transport of continental air to DDU. Finally, three companion papers are introduced. A first paper is dedicated to the impact of local penguin emissions on the atmospheric budget of several oxygenated volatile organic compounds. The second paper reports on HONO levels that were measured for the first time in Antarctica by using the long path absorption photometer (LOPAP) technique. Finally, in a third paper, major findings on the HOx levels are detailed, leading to the overall conclusion that the photochemistry at coastal East Antarctica is strongly driven by an efficient HOx chemistry compared to the situation at other coastal Antarctic regions.</t>
  </si>
  <si>
    <t>[Preunkert, Susanne; Legrand, Michel; Kerbrat, Michael; Jourdain, Bruno] CNRS UJF Grenoble 1, Lab Glaciol &amp; Geophys Environm, UMR 5183, FR-38041 Grenoble, France; [Ancellet, Gerard; Kukui, Alexandre] Observat Spatiales, Lab Atmospheres, Milieux, Guyancourt, France; [Sarda-Esteve, Roland; Gros, Valerie] Lab Sci Climat &amp; Environm, Gif Sur Yvette, France</t>
  </si>
  <si>
    <t>Communaute Universite Grenoble Alpes; Universite Grenoble Alpes (UGA); Centre National de la Recherche Scientifique (CNRS); CEA; Centre National de la Recherche Scientifique (CNRS); Universite Paris Saclay</t>
  </si>
  <si>
    <t>Preunkert, S (corresponding author), CNRS UJF Grenoble 1, Lab Glaciol &amp; Geophys Environm, UMR 5183, FR-38041 Grenoble, France.</t>
  </si>
  <si>
    <t>preunkert@lgge.obs.ujf-grenoble.fr</t>
  </si>
  <si>
    <t>Kukui, Alexandre/K-6643-2012; Legrand, Michel/AAU-4678-2020</t>
  </si>
  <si>
    <t>Kukui, Alexandre/0000-0002-3657-0414</t>
  </si>
  <si>
    <t>ANR (Agence National de Recherche) [ANR-09-BLAN-0226]; Institut Polaire Francais-Paul Emile Victor (IPEV) [414]; Centre National de la Recherche Scientifique (INSU); CEA; region Ile de France; Marie Curie Intra European Fellowship within the 7th European Community Framework Programme [252086]; Agence Nationale de la Recherche (ANR) [ANR-09-BLAN-0226] Funding Source: Agence Nationale de la Recherche (ANR)</t>
  </si>
  <si>
    <t>ANR (Agence National de Recherche)(Agence Nationale de la Recherche (ANR)); Institut Polaire Francais-Paul Emile Victor (IPEV); Centre National de la Recherche Scientifique (INSU); CEA(French Atomic Energy Commission); region Ile de France(Region Ile-de-France); Marie Curie Intra European Fellowship within the 7th European Community Framework Programme(European Union (EU)); Agence Nationale de la Recherche (ANR)(Agence Nationale de la Recherche (ANR))</t>
  </si>
  <si>
    <t>The OPALE project was funded by the ANR (Agence National de Recherche) contract ANR-09-BLAN-0226. National financial support and field logistic supplies for the summer campaign were provided by Institut Polaire Francais-Paul Emile Victor (IPEV) within program 414. This work was also partly funded by the Centre National de la Recherche Scientifique (INSU), the CEA and the region Ile de France. We greatly acknowledge the financial support by a Marie Curie Intra European Fellowship within the 7th European Community Framework Programme, project 252086. Technical support was provided by the Division Technique (DT) at INSU in preparing and deploying the OH/RO2 measurements. We would like to thank Rodrigue Loisil from the DT INSU for his help during the setup of the sampling lines at the iono site. We thank Meteo France, who provides us meteorological data. We are thankful to Marcel van der Schoot at CSIRO Marine and Atmospheric Research for providing us CO calibrated gas cylinders. Finally, the authors would like to thank the three anonymous reviewers for their helpful comments on the manuscript.</t>
  </si>
  <si>
    <t>AUG 9</t>
  </si>
  <si>
    <t>D15307</t>
  </si>
  <si>
    <t>10.1029/2011JD017145</t>
  </si>
  <si>
    <t>988AN</t>
  </si>
  <si>
    <t>WOS:000307460600002</t>
  </si>
  <si>
    <t>Ozaki, M; Yagitani, S; Ishizaka, K; Shiokawa, K; Miyoshi, Y; Kadokura, A; Yamagishi, H; Kataoka, R; Ieda, A; Ebihara, Y; Sato, N; Nagano, I</t>
  </si>
  <si>
    <t>Ozaki, Mitsunori; Yagitani, Satoshi; Ishizaka, Kazumasa; Shiokawa, Kazuo; Miyoshi, Yoshizumi; Kadokura, Akira; Yamagishi, Hisao; Kataoka, Ryuho; Ieda, Akimasa; Ebihara, Yusuke; Sato, Natsuo; Nagano, Isamu</t>
  </si>
  <si>
    <t>Observed correlation between pulsating aurora and chorus waves at Syowa Station in Antarctica: A case study</t>
  </si>
  <si>
    <t>EMISSIONS; GENERATION; ELECTRONS</t>
  </si>
  <si>
    <t>A high correlation between a pulsating auroral patch and grouped chorus waves was observed on 17 April 2006 at Syowa Station in Antarctica. The spatial distribution of aurora-chorus correlation coefficients is evaluated in order to determine the source region. A pulsating patch at the highest-correlation pixel shows a one-to-one correspondence with the intensity variation of the grouped chorus waves, consisting of successive rising-tone elements with a duration and spacing of 2-3 s and 20-30 s, respectively. The generation region of the chorus waves is estimated from the latitude and longitude dependence of the equatorial electron gyrofrequencies using the IGRF geomagnetic field model. The extent of the estimated latitude and longitude is consistent with the spatial distribution of the high-correlation aurora-chorus region. The time difference between the chorus waves and the scattered electrons is also evaluated to discuss the validity of the source region. It shows that electrons reached the ionosphere sooner than the associated chorus waves by similar to 1 s, consistent with the theoretical value for conjugate pulsating aurora generated at the equator. These results support the hypothesis that pulsating aurora is caused by pitch angle scattering of high-energy electrons by whistler mode chorus waves, via a cyclotron resonance at the equator. These results are the first ground-based observations of high correlations between a spatially extended aurora and chorus waves.</t>
  </si>
  <si>
    <t>[Ozaki, Mitsunori; Yagitani, Satoshi; Ishizaka, Kazumasa; Nagano, Isamu] Kanazawa Univ, Kanazawa, Ishikawa 9201192, Japan; [Shiokawa, Kazuo; Miyoshi, Yoshizumi; Ieda, Akimasa] Nagoya Univ, Solar Terr Environm Lab, Nagoya, Aichi 4648601, Japan; [Kadokura, Akira; Yamagishi, Hisao; Sato, Natsuo] Natl Inst Polar Res, Tokyo, Japan; [Kataoka, Ryuho] Tokyo Inst Technol, Interact Res Ctr Sci, Tokyo 152, Japan; [Ebihara, Yusuke] Kyoto Univ, Res Inst Sustainable Humanosphere, Uji, Kyoto, Japan</t>
  </si>
  <si>
    <t>Kanazawa University; Nagoya University; Research Organization of Information &amp; Systems (ROIS); National Institute of Polar Research (NIPR) - Japan; Tokyo Institute of Technology; Kyoto University</t>
  </si>
  <si>
    <t>Ozaki, M (corresponding author), Kanazawa Univ, Kanazawa, Ishikawa 9201192, Japan.</t>
  </si>
  <si>
    <t>ozaki@reg.is.t.kanazawa-u.ac.jp</t>
  </si>
  <si>
    <t>YAGITANI, Satoshi/E-7072-2015; OZAKI, Mitsunori/E-7076-2015; Ebihara, Yusuke/D-1638-2013; Miyoshi, Yoshizumi/T-5748-2019; Ebihara, Yusuke/ABD-4430-2021; KATAOKA, RYUHO/AAJ-4570-2020</t>
  </si>
  <si>
    <t>Ebihara, Yusuke/0000-0002-2293-1557; Miyoshi, Yoshizumi/0000-0001-7998-1240; Ebihara, Yusuke/0000-0002-2293-1557;</t>
  </si>
  <si>
    <t>Japan Society for the Promotion of Science [23403009]; Grants-in-Aid for Scientific Research [23340147, 23403009, 21403007] Funding Source: KAKEN</t>
  </si>
  <si>
    <t>The authors thank the Japanese Antarctic Research Expedition that operated the ATV and provided natural VLF wave observations at Syowa Station. The Dst, AE, and Kp indexes were provided from WDC for Geomagnetism in Kyoto. This work was supported by a Grant-in-Aid for Scientific Research B (23403009) from the Japan Society for the Promotion of Science.</t>
  </si>
  <si>
    <t>A08211</t>
  </si>
  <si>
    <t>10.1029/2011JA017478</t>
  </si>
  <si>
    <t>988AA</t>
  </si>
  <si>
    <t>WOS:000307459300001</t>
  </si>
  <si>
    <t>Rempfer, J; Stocker, TF; Joos, F; Dutay, JC</t>
  </si>
  <si>
    <t>Rempfer, Johannes; Stocker, Thomas F.; Joos, Fortunat; Dutay, Jean-Claude</t>
  </si>
  <si>
    <t>On the relationship between Nd isotopic composition and ocean overturning circulation in idealized freshwater discharge events</t>
  </si>
  <si>
    <t>NORTH-ATLANTIC DEEP; LAST GLACIAL MAXIMUM; RARE-EARTH-ELEMENTS; EASTERN INDIAN-OCEAN; NEODYMIUM ISOTOPES; PACIFIC-OCEAN; SOUTHERN-OCEAN; GLOBAL OCEAN; MEDITERRANEAN-SEA; CLIMATE MODEL</t>
  </si>
  <si>
    <t>Using a cost-efficient climate model, the effect of changes in overturning circulation on neodymium isotopic composition, epsilon(Nd), is systematically examined for the first time. Idealized sequences of abrupt climate changes are induced by the application of periodic freshwater fluxes to the North Atlantic (NA) and the Southern Ocean (SO), thus mainly affecting either the formation of North Atlantic Deep Water (NADW) or Antarctic Bottom Water (AABW). Variations in epsilon(Nd) reflect weakening and strengthening of the formation of NADW and AABW, changes in epsilon(Nd) of end-members are relatively small. Relationships between epsilon(Nd) and the strength of NADW or AABW are more pronounced for AABW than for NADW. Atlantic patterns of variations in epsilon(Nd) systematically differ between NA and SO experiments. Additionally, the signature of changes in epsilon(Nd) in the Atlantic and the Pacific is alike in NA but opposite in SO experiments. Discrimination between NA and SO experiments is therefore possible based on the Atlantic pattern of variations in epsilon(Nd) and the contrariwise behavior of epsilon(Nd) in the Atlantic and the Pacific. In further experiments we examined the effect of variations in magnitudes of particle export fluxes. Within the examined range, and although settling particles represent the only sink of Nd, their effects on epsilon(Nd) are relatively small. Our results confirm the large potential of epsilon(Nd) as a paleocirculation tracer but also indicate its limitations of quantitative reconstructions of changes in the Atlantic Meridional Ocean Circulation.</t>
  </si>
  <si>
    <t>[Rempfer, Johannes; Stocker, Thomas F.; Joos, Fortunat] Univ Bern, Inst Phys, CH-3012 Bern, Switzerland; [Rempfer, Johannes; Stocker, Thomas F.; Joos, Fortunat] Univ Bern, Oeschger Ctr Climate Change Res, CH-3012 Bern, Switzerland; [Dutay, Jean-Claude] CEA UVSQ CNRS, IPSL, LSCE, Gif Sur Yvette, France</t>
  </si>
  <si>
    <t>University of Bern; University of Bern; CEA; Centre National de la Recherche Scientifique (CNRS); Universite Paris Saclay; Universite Paris Cite</t>
  </si>
  <si>
    <t>Rempfer, J (corresponding author), Univ Bern, Inst Phys, Sidlerstr 5, CH-3012 Bern, Switzerland.</t>
  </si>
  <si>
    <t>rempfer@climate.unibe.ch</t>
  </si>
  <si>
    <t>Stocker, Thomas F/B-1273-2013; Joos, Fortunat/B-4118-2018</t>
  </si>
  <si>
    <t>Joos, Fortunat/0000-0002-9483-6030</t>
  </si>
  <si>
    <t>Marie Curie Research Training Network NICE (Network for Ice sheet and Climate Evolution); European Project on Ocean Acidification (EPOCA) [211384]; Past4Future [243908]; EU FP7 project CARBOCHANGE [264879]; Swiss National Science Foundation</t>
  </si>
  <si>
    <t>Marie Curie Research Training Network NICE (Network for Ice sheet and Climate Evolution)(European Union (EU)); European Project on Ocean Acidification (EPOCA); Past4Future; EU FP7 project CARBOCHANGE(European Union (EU)); Swiss National Science Foundation(Swiss National Science Foundation (SNSF))</t>
  </si>
  <si>
    <t>This work was funded through the Marie Curie Research Training Network NICE (Network for Ice sheet and Climate Evolution). Support by the European Project on Ocean Acidification (EPOCA, FP7/2007-2013; 211384), Past4Future (grant 243908), the EU FP7 project CARBOCHANGE (grant agreement 264879), and the Swiss National Science Foundation are acknowledged. Thanks are due to S. Ritz for the development of the coupled Bern3D code as well as for stimulating discussions. We are also grateful to two anonymous reviewers, whose valuable comments led to significant improvements in the manuscript.</t>
  </si>
  <si>
    <t>PA3211</t>
  </si>
  <si>
    <t>10.1029/2012PA002312</t>
  </si>
  <si>
    <t>988AP</t>
  </si>
  <si>
    <t>WOS:000307460800001</t>
  </si>
  <si>
    <t>Schrijver, CJ; Beer, J; Baltensperger, U; Cliver, EW; Güdel, M; Hudson, HS; McCracken, KG; Osten, RA; Peter, T; Soderblom, DR; Usoskin, IG; Wolff, EW</t>
  </si>
  <si>
    <t>Schrijver, C. J.; Beer, J.; Baltensperger, U.; Cliver, E. W.; Guedel, M.; Hudson, H. S.; McCracken, K. G.; Osten, R. A.; Peter, T.; Soderblom, D. R.; Usoskin, I. G.; Wolff, E. W.</t>
  </si>
  <si>
    <t>Estimating the frequency of extremely energetic solar events, based on solar, stellar, lunar, and terrestrial records</t>
  </si>
  <si>
    <t>COSMOGENIC-NUCLIDE PRODUCTION; X-RAY FLARE; GREENLAND ICE CORE; PROTON EVENTS; CHROMOSPHERIC EVAPORATION; STATISTICAL PROPERTIES; SIZE DISTRIBUTION; ACTIVE REGIONS; HIGH-ENERGIES; COSMIC-RAYS</t>
  </si>
  <si>
    <t>The most powerful explosions on the Sun - in the form of bright flares, intense storms of solar energetic particles (SEPs), and fast coronal mass ejections (CMEs) - drive the most severe space-weather storms. Proxy records of flare energies based on SEPs in principle may offer the longest time base to study infrequent large events. We conclude that one suggested proxy, nitrate concentrations in polar ice cores, does not map reliably to SEP events. Concentrations of select radionuclides measured in natural archives may prove useful in extending the time interval of direct observations up to ten millennia, but as their calibration to solar flare fluences depends on multiple poorly known properties and processes, these proxies cannot presently be used to help determine the flare energy frequency distribution. Being thus limited to the use of direct flare observations, we evaluate the probabilities of large-energy solar events by combining solar flare observations with an ensemble of stellar flare observations. We conclude that solar flare energies form a relatively smooth distribution from small events to large flares, while flares on magnetically active, young Sun-like stars have energies and frequencies markedly in excess of strong solar flares, even after an empirical scaling with the mean coronal activity level of these stars. In order to empirically quantify the frequency of uncommonly large solar flares extensive surveys of stars of near-solar age need to be obtained, such as is feasible with the Kepler satellite. Because the likelihood of flares larger than approximately X30 remains empirically unconstrained, we present indirect arguments, based on records of sunspots and on statistical arguments, that solar flares in the past four centuries have likely not substantially exceeded the level of the largest flares observed in the space era, and that there is at most about a 10% chance of a flare larger than about X30 in the next 30 years.</t>
  </si>
  <si>
    <t>[Schrijver, C. J.] Lockheed Martin Adv Technol Ctr, Palo Alto, CA 94304 USA; [Beer, J.] Swiss Fed Inst Aquat Sci &amp; Technol, Dubendorf, Switzerland; [Baltensperger, U.] Paul Scherrer Inst, Villigen, Switzerland; [Cliver, E. W.] AFRL, Space Vehicles Directorate, Sunspot, NM USA; [Guedel, M.] Univ Vienna, Dept Astron, Vienna, Austria; [Hudson, H. S.] Univ Calif Berkeley, Space Sci Lab, Berkeley, CA 94720 USA; [McCracken, K. G.] Univ Maryland, IPST, College Pk, MD 20742 USA; [Osten, R. A.; Soderblom, D. R.] Space Telescope Sci Inst, Baltimore, MD 21218 USA; [Peter, T.] ETH, Zurich, Switzerland; [Usoskin, I. G.] Univ Oulu, Dept Phys, FIN-90570 Oulu, Finland; [Usoskin, I. G.] Univ Oulu, Sodankyla Geophys Observ, Oulu, Finland; [Wolff, E. W.] British Antarctic Survey, Cambridge CB3 0ET, England</t>
  </si>
  <si>
    <t>Lockheed Martin; Swiss Federal Institutes of Technology Domain; Swiss Federal Institute of Aquatic Science &amp; Technology (EAWAG); Swiss Federal Institutes of Technology Domain; Paul Scherrer Institute; University of Vienna; University of California System; University of California Berkeley; University System of Maryland; University of Maryland College Park; Space Telescope Science Institute; Swiss Federal Institutes of Technology Domain; ETH Zurich; University of Oulu; University of Oulu; UK Research &amp; Innovation (UKRI); Natural Environment Research Council (NERC); NERC British Antarctic Survey</t>
  </si>
  <si>
    <t>Schrijver, CJ (corresponding author), Lockheed Martin Adv Technol Ctr, 3251 Hanover St, Palo Alto, CA 94304 USA.</t>
  </si>
  <si>
    <t>schrijver@lmsal.com</t>
  </si>
  <si>
    <t>Wolff, Eric W/D-7925-2014; Guedel, Manuel/C-8486-2015; Peter, Thomas/B-2529-2018; Usoskin, Ilya/E-5089-2014</t>
  </si>
  <si>
    <t>Wolff, Eric W/0000-0002-5914-8531; Guedel, Manuel/0000-0001-9818-0588; Peter, Thomas/0000-0002-7218-7156; Osten, Rachel/0000-0001-5643-8421; Schrijver, Carolus/0000-0002-6010-8182; Usoskin, Ilya/0000-0001-8227-9081</t>
  </si>
  <si>
    <t>Lockheed Martin Independent Research and Development program; Directorate For Geosciences; Div Atmospheric &amp; Geospace Sciences [1050002] Funding Source: National Science Foundation; NERC [bas0100024] Funding Source: UKRI; Natural Environment Research Council [bas0100024] Funding Source: researchfish</t>
  </si>
  <si>
    <t>Lockheed Martin Independent Research and Development program; Directorate For Geosciences; Div Atmospheric &amp; Geospace Sciences(National Science Foundation (NSF)NSF - Directorate for Geosciences (GEO)); NERC(UK Research &amp; Innovation (UKRI)Natural Environment Research Council (NERC)); Natural Environment Research Council(UK Research &amp; Innovation (UKRI)Natural Environment Research Council (NERC))</t>
  </si>
  <si>
    <t>We thank the reviewers for helpful questions that improved the consistency and presentation of our results. We thank the International Space Studies Institute in Bern, Switzerland, for support of the team meetings. C.J.S. was supported through the Lockheed Martin Independent Research and Development program.</t>
  </si>
  <si>
    <t>A08103</t>
  </si>
  <si>
    <t>10.1029/2012JA017706</t>
  </si>
  <si>
    <t>Green Submitted, Green Accepted, Green Published, Bronze</t>
  </si>
  <si>
    <t>WOS:000307459300005</t>
  </si>
  <si>
    <t>Horne, RB</t>
  </si>
  <si>
    <t>Horne, Richard B.</t>
  </si>
  <si>
    <t>Forecasting the Radiation Belts in Europe</t>
  </si>
  <si>
    <t>British Antarctic Survey, Nat Environm Res Council, Cambridge CB3 0ET, England</t>
  </si>
  <si>
    <t>Horne, RB (corresponding author), British Antarctic Survey, Nat Environm Res Council, Cambridge CB3 0ET, England.</t>
  </si>
  <si>
    <t>r.horne@bas.ac.uk</t>
  </si>
  <si>
    <t>Horne, Richard B/U-3764-2019</t>
  </si>
  <si>
    <t>Horne, Richard B/0000-0002-0412-6407</t>
  </si>
  <si>
    <t>1539-4956</t>
  </si>
  <si>
    <t>S08006</t>
  </si>
  <si>
    <t>10.1029/2012SW000808</t>
  </si>
  <si>
    <t>988EG</t>
  </si>
  <si>
    <t>WOS:000307470600001</t>
  </si>
  <si>
    <t>González-Wevar, CA; Hüne, M; Cañete, JI; Mansilla, A; Nakano, T; Poulin, E</t>
  </si>
  <si>
    <t>Gonzalez-Wevar, Claudio A.; Huene, Mathias; Canete, Juan I.; Mansilla, Andres; Nakano, Tomoyuki; Poulin, Elie</t>
  </si>
  <si>
    <t>Towards a model of postglacial biogeography in shallow marine species along the Patagonian Province: lessons from the limpet Nacella magellanica (Gmelin, 1791)</t>
  </si>
  <si>
    <t>Quaternary; Cape horn current; Last glacial maximum; Post-glacial recolonization; Expansion-contraction model; Nacella magellanica; Larval dispersal; Asymmetric gene flow; Patagonian Province; Falkland/Malvinas Islands</t>
  </si>
  <si>
    <t>TIERRA-DEL-FUEGO; LAST GLACIAL MAXIMUM; QUATERNARY MOLLUSCAN FAUNAS; LATE CENOZOIC GLACIATIONS; CHILEAN LAKE DISTRICT; GENETIC-STRUCTURE; CLIMATE-CHANGE; SOUTH-AMERICA; EVOLUTIONARY ANALYSIS; COMMUNITY STRUCTURE</t>
  </si>
  <si>
    <t>Background: Patagonia extends for more than 84,000 km of irregular coasts is an area especially apt to evaluate how historic and contemporary processes influence the distribution and connectivity of shallow marine benthic organisms. The true limpet Nacella magellanica has a wide distribution in this province and represents a suitable model to infer the Quaternary glacial legacy on marine benthic organisms. This species inhabits ice-free rocky ecosystems, has a narrow bathymetric range and consequently should have been severely affected by recurrent glacial cycles during the Quaternary. We performed phylogeographic and demographic analyses of N. magellanica from 14 localities along its distribution in Pacific Patagonia, Atlantic Patagonia, and the Falkland/Malvinas Islands. Results: Mitochondrial (COI) DNA analyses of 357 individuals of N. magellanica revealed an absence of genetic differentiation in the species with a single genetic unit along Pacific Patagonia. However, we detected significant genetic differences among three main groups named Pacific Patagonia, Atlantic Patagonia and Falkland/Malvinas Islands. Migration rate estimations indicated asymmetrical gene flow, primarily from Pacific Patagonia to Atlantic Patagonia (N(e)m=2.21) and the Falkland/Malvinas Islands (N(e)m=16.6). Demographic reconstruction in Pacific Patagonia suggests a recent recolonization process (&lt;10 ka) supported by neutrality tests, mismatch distribution and the median-joining haplotype genealogy. Conclusions: Absence of genetic structure, a single dominant haplotype, lack of correlation between geographic and genetic distance, high estimated migration rates and the signal of recent demographic growth represent a large body of evidence supporting the hypothesis of rapid postglacial expansion in this species in Pacific Patagonia. This expansion could have been sustained by larval dispersal following the main current system in this area. Lower levels of genetic diversity in inland sea areas suggest that fjords and channels represent the areas most recently colonized by the species. Hence recolonization seems to follow a west to east direction to areas that were progressively deglaciated. Significant genetic differences among Pacific, Atlantic and Falkland/Malvinas Islands populations may be also explained through disparities in their respective glaciological and geological histories. The Falkland/ Malvinas Islands, more than representing a glacial refugium for the species, seems to constitute a sink area considering the strong asymmetric gene flow detected from Pacific to Atlantic sectors. These results suggest that historical and contemporary processes represent the main factors shaping the modern biogeography of most shallow marine benthic invertebrates inhabiting the Patagonian Province.</t>
  </si>
  <si>
    <t>[Gonzalez-Wevar, Claudio A.; Huene, Mathias; Poulin, Elie] Univ Chile, Fac Ciencias, Dept Ciencias Ecol, Lab Ecol Mol,IEB, Santiago, Chile; [Huene, Mathias; Canete, Juan I.; Mansilla, Andres] Univ Magallanes, Dept Recursos Nat, Punta Arenas, Chile; [Nakano, Tomoyuki] Kyoto Univ, Field Sci Educ &amp; Res Ctr, Seto Marine Biol Lab, Wakayama 6492211, Japan</t>
  </si>
  <si>
    <t>Universidad de Chile; Universidad de Magallanes; Kyoto University</t>
  </si>
  <si>
    <t>González-Wevar, CA (corresponding author), Univ Chile, Fac Ciencias, Dept Ciencias Ecol, Lab Ecol Mol,IEB, Las Palmeras 3425, Santiago, Chile.</t>
  </si>
  <si>
    <t>omeuno01@hotmail.com</t>
  </si>
  <si>
    <t>Hüne, Mathias/ABE-6000-2020; Poulin, Elie/C-2654-2012; González-Wevar, Claudio Alejandro/AAD-6513-2021; Canete, Juan/GRS-4620-2022</t>
  </si>
  <si>
    <t>Poulin, Elie/0000-0001-7736-0969; Nakano, Tomoyuki/0009-0008-0109-1289; Mansilla, Andres/0000-0003-3505-7018</t>
  </si>
  <si>
    <t>JSPS [207024]; Japan Society for Promotion of Science; Institute of Ecology and Biodiversity, Universidad de Chile [P05-002 ICM, PFB 023]; Universidad de Magallanes; [INACH B_01_07]; [Conicyt 24090009]; [D-21060218]; [24090009]; [INACH 02-02]; [13-05]; [ECOS C06B02]; [2005-44]</t>
  </si>
  <si>
    <t>JSPS(Ministry of Education, Culture, Sports, Science and Technology, Japan (MEXT)Japan Society for the Promotion of Science); Japan Society for Promotion of Science(Ministry of Education, Culture, Sports, Science and Technology, Japan (MEXT)Japan Society for the Promotion of Science); Institute of Ecology and Biodiversity, Universidad de Chile; Universidad de Magallanes; ; ; ; ; ; ; ;</t>
  </si>
  <si>
    <t>This study was supported by the following Grants, Institutions and Projects: Thesis support grants INACH B_01_07 and Conicyt 24090009, Conicyt PhD Grant No D-21060218 and 24090009, IDEAWILD (C.G-W), Grant-in-Aid for JSPS Fellows No. 207024 and the Japan Society for Promotion of Science (T.N.). Projects P05-002 ICM and PFB 023 (Institute of Ecology and Biodiversity, Universidad de Chile) and INACH 02-02, 13-05 and ECOS C06B02 to E. P., A. M. and C. G-W.; FIP Project 2005-44 (A. M. and J.I.C.). Research Programs PR-F2- 01CNR-10 and 0273, Universidad de Magallanes to J.I.C. Thanks are also due to international programmes such as CAML, EBA-SCAR and PROSUL-Brazil for encouraging and supporting Antarctic and Subantarctic research in evolution.</t>
  </si>
  <si>
    <t>AUG 7</t>
  </si>
  <si>
    <t>10.1186/1471-2148-12-139</t>
  </si>
  <si>
    <t>097DJ</t>
  </si>
  <si>
    <t>WOS:000315453900001</t>
  </si>
  <si>
    <t>Harvey, PM; Shellie, RA</t>
  </si>
  <si>
    <t>Harvey, Paul McA.; Shellie, Robert A.</t>
  </si>
  <si>
    <t>Data Reduction in Comprehensive Two-Dimensional Gas Chromatography for Rapid and Repeatable Automated Data Analysis</t>
  </si>
  <si>
    <t>ANALYTICAL CHEMISTRY</t>
  </si>
  <si>
    <t>TIME ALIGNMENT ALGORITHM; PETROLEUM-HYDROCARBONS; OIL-SPILL; MARSH SEDIMENTS; X GC; GCXGC; RETENTION; MODULATION; BIODEGRADATION; DIMENSIONS</t>
  </si>
  <si>
    <t>A rapid approach for comprehensive two-dimensional gas chromatographic data analysis is introduced, providing important environmental metrics including total petroleum hydrocarbon concentration as well as chemical-class distribution. The approach, comprising transformation of exported data files to two-dimensional retention time arrays, blank subtraction, alignment and projection onto new axes, subdivision of the aligned two-dimensional data matrix, and compilation of summary data is able to be performed without user intervention. The approach satisfies critical goals of rapid batch analysis with repeatability and traceability. Application to assessment of petroleum hydrocarbon contaminated soil samples from Macquarie Island, a remote Southern Ocean island, is shown to illustrate the utility of this new data analysis strategy.</t>
  </si>
  <si>
    <t>[Harvey, Paul McA.; Shellie, Robert A.] Univ Tasmania, Australian Ctr Res Separat Sci ACROSS, Hobart, Tas 7001, Australia</t>
  </si>
  <si>
    <t>Shellie, RA (corresponding author), Univ Tasmania, Australian Ctr Res Separat Sci ACROSS, Private Bag 75, Hobart, Tas 7001, Australia.</t>
  </si>
  <si>
    <t>robert.shellie@utas.edu.au</t>
  </si>
  <si>
    <t>Shellie, Robert/AAU-6100-2020</t>
  </si>
  <si>
    <t>Shellie, Robert/0000-0002-8470-0893</t>
  </si>
  <si>
    <t>Australian Research Council's Discovery Projects funding scheme [DP110104923]; Australian Research Council Australian Research Fellowship [DP110104923]</t>
  </si>
  <si>
    <t>Australian Research Council's Discovery Projects funding scheme(Australian Research Council); Australian Research Council Australian Research Fellowship(Australian Research Council)</t>
  </si>
  <si>
    <t>This research was supported under Australian Research Council's Discovery Projects funding scheme (Project DP110104923). R.A.S. is the recipient of an Australian Research Council Australian Research Fellowship (project number DP110104923). The authors gratefully acknowledge the helpful discussions with Dr. Ben Raymond, Prof. Ian Snape, and Mr. Greg Hince (Australian Antarctic Division).</t>
  </si>
  <si>
    <t>0003-2700</t>
  </si>
  <si>
    <t>ANAL CHEM</t>
  </si>
  <si>
    <t>Anal. Chem.</t>
  </si>
  <si>
    <t>10.1021/ac300664h</t>
  </si>
  <si>
    <t>Chemistry, Analytical</t>
  </si>
  <si>
    <t>984AG</t>
  </si>
  <si>
    <t>WOS:000307159200037</t>
  </si>
  <si>
    <t>Miller, MD; Adkins, JF; Menemenlis, D; Schodlok, MP</t>
  </si>
  <si>
    <t>Miller, M. D.; Adkins, J. F.; Menemenlis, D.; Schodlok, M. P.</t>
  </si>
  <si>
    <t>The role of ocean cooling in setting glacial southern source bottom water salinity</t>
  </si>
  <si>
    <t>OXYGEN ISOTOPIC COMPOSITION; ANTARCTIC ICE-SHEET; WEDDELL SEA; DEEP-OCEAN; Z-COORDINATE; MODEL; TEMPERATURE; CIRCULATION; SHELF; CLIMATE</t>
  </si>
  <si>
    <t>At the Last Glacial Maximum (LGM), the salinity contrast between northern source deep water and southern source bottom water was reversed with respect to the contrast today. Additionally, Glacial Southern Source Bottom Water (GSSBW) was saltier than Antarctic Bottom Water (AABW), over and above the difference implied by the mean sea level change. This study examines to what extent cold temperatures, through their effect on ice formation and melting, could have caused these differences. Computational sensitivity experiments using a coupled ice shelf cavity-sea ice-ocean model are performed in a Weddell Sea domain, as a representative case study for bottom water formation originating from Antarctic continental shelves. Ocean temperatures at the domain open boundaries are systematically lowered to determine the sensitivity of Weddell Sea water mass properties to a range of cool ocean temperatures. The steady state salinities differ between experiments due to temperature-induced responses of ice shelf and sea ice melting and freezing, evaporation and open boundary fluxes. The results of the experiments indicate that reduced ocean temperature can explain up to 30% of the salinity difference between GSSBW and AABW, primarily due to decreased ice shelf melting. The smallest and most exposed ice shelves, which abut narrow continental shelves, have the greatest sensitivity to the ocean temperature changes, suggesting that at the LGM there could have been a shift in geographical site dominance in bottom water formation. More sea ice is formed and exported in the cold ocean experiments, but the effect of this on salinity is negated by an equal magnitude reduction in evaporation.</t>
  </si>
  <si>
    <t>[Miller, M. D.; Menemenlis, D.; Schodlok, M. P.] CALTECH, Jet Prop Lab, Pasadena, CA 91125 USA; [Schodlok, M. P.] Univ Calif Los Angeles, Joint Inst Reg Earth Syst Sci &amp; Engn, Los Angeles, CA USA</t>
  </si>
  <si>
    <t>National Aeronautics &amp; Space Administration (NASA); NASA Jet Propulsion Laboratory (JPL); California Institute of Technology; University of California System; University of California Los Angeles</t>
  </si>
  <si>
    <t>Miller, MD (corresponding author), CALTECH, Jet Prop Lab, MC 131-24,1200 E Calif Blvd, Pasadena, CA 91125 USA.</t>
  </si>
  <si>
    <t>madeline@caltech.edu</t>
  </si>
  <si>
    <t>Adkins, Jess/GYI-8778-2022; Menemenlis, Dimitris/G-8091-2017</t>
  </si>
  <si>
    <t>Menemenlis, Dimitris/0000-0001-9940-8409; Miller, Madeline/0000-0003-2598-6518</t>
  </si>
  <si>
    <t>National Science Foundation under NSF [OCE-0929272]; ECCO2 project; NASA Advanced Supercomputing (NAS) Division</t>
  </si>
  <si>
    <t>National Science Foundation under NSF(National Science Foundation (NSF)); ECCO2 project; NASA Advanced Supercomputing (NAS) Division</t>
  </si>
  <si>
    <t>M.D.M. and J.F.A. received funding from the National Science Foundation under NSF grant OCE-0929272. M.D.M., D.M., and M.P.S. received funding from the ECCO2 project, a contribution to the NASA Modeling Analysis and Prediction (MAP) Program. We gratefully acknowledge computational resources and support from the NASA Advanced Supercomputing (NAS) Division. We thank Keith Nicholls for providing the data for Figure 1. Anand Gnanadesikan inspired writing the salt tracer code for analyzing the sources of salinity changes. We are grateful to Martin Losch for his implementation of the ice shelf code in MITgcm and for helpful discussions about ice shelf and sea ice modeling.</t>
  </si>
  <si>
    <t>AUG 4</t>
  </si>
  <si>
    <t>PA3207</t>
  </si>
  <si>
    <t>10.1029/2012PA002297</t>
  </si>
  <si>
    <t>984HY</t>
  </si>
  <si>
    <t>WOS:000307181900001</t>
  </si>
  <si>
    <t>Capron, E; Landais, A; Chappellaz, J; Buiron, D; Fischer, H; Johnsen, SJ; Jouzel, J; Leuenberger, M; Masson-Delmotte, V; Stocker, TF</t>
  </si>
  <si>
    <t>Capron, E.; Landais, A.; Chappellaz, J.; Buiron, D.; Fischer, H.; Johnsen, S. J.; Jouzel, J.; Leuenberger, M.; Masson-Delmotte, V.; Stocker, T. F.</t>
  </si>
  <si>
    <t>A global picture of the first abrupt climatic event occurring during the last glacial inception</t>
  </si>
  <si>
    <t>MERIDIONAL OVERTURNING CIRCULATION; ORBITAL-SCALE CHANGES; GREENLAND ICE CORE; EPICA DOME-C; MILLENNIAL-SCALE; THERMOHALINE CIRCULATION; INTERGLACIAL WARMTH; MARINE; VARIABILITY; RECORDS</t>
  </si>
  <si>
    <t>The orbital-scale transition from the last interglacial to glacial climate corresponds to the progressive organization of global millennial-scale climate variability. Here, we investigate the structure and the global fingerprint of the first warming event occurring during the last glacial inception, the Greenland InterStadial 25 (GIS 25). Using centennial to decadal-resolution measurements of delta O-18 and delta D in the ice together with delta N-15, delta O-18(2) and CH4 in the trapped air, we show that GIS 25 does not coincide with large environmental changes at lower latitudes. Such an equivocal fingerprint questions whether GIS 25 is simply a smaller amplitude version of later rapid events or whether it reflects a more regional northern hemisphere origin for the initiation of the millennial-scale climatic variability. After this ambiguous first rapid event, the onset of the global millennial-scale variability - characteristic of the last glacial period-occurs as a short (300 years) event ending GIS 25.</t>
  </si>
  <si>
    <t>[Capron, E.] NERC, British Antarctic Survey, Cambridge CB4 3BE, England; [Capron, E.; Landais, A.; Jouzel, J.; Masson-Delmotte, V.] CEA CNRS UVSQ, Inst Pierre Simon Laplace, Lab Sci Climat &amp; Environm, Gif Sur Yvette, France; [Chappellaz, J.; Buiron, D.] CNRS UJF, Lab Glaciol &amp; Geophys Environm, St Martin Dheres, France; [Fischer, H.; Leuenberger, M.; Stocker, T. F.] Univ Bern, Inst Phys, Bern, Switzerland; [Fischer, H.; Leuenberger, M.; Stocker, T. F.] Univ Bern, Oeschger Ctr Climate Change Res, Bern, Switzerland; [Fischer, H.] Alfred Wegener Inst Polar &amp; Marine Res, Bremerhaven, Germany; [Johnsen, S. J.] Univ Copenhagen, Dept Geophys, Copenhagen, Denmark</t>
  </si>
  <si>
    <t>UK Research &amp; Innovation (UKRI); Natural Environment Research Council (NERC); NERC British Antarctic Survey; CEA; Centre National de la Recherche Scientifique (CNRS); Universite Paris Saclay; Universite Paris Cite; Communaute Universite Grenoble Alpes; Universite Grenoble Alpes (UGA); Centre National de la Recherche Scientifique (CNRS); University of Bern; University of Bern; Helmholtz Association; Alfred Wegener Institute, Helmholtz Centre for Polar &amp; Marine Research; University of Copenhagen</t>
  </si>
  <si>
    <t>Capron, E (corresponding author), NERC, British Antarctic Survey, Madingley Rd, Cambridge CB4 3BE, England.</t>
  </si>
  <si>
    <t>ecap@bas.ac.uk</t>
  </si>
  <si>
    <t>Chappellaz, Jérôme A./A-4872-2011; Masson-Delmotte, Valerie L/G-1995-2011; Stocker, Thomas F/B-1273-2013; Leuenberger, Markus C/K-9655-2016; Fischer, Hubertus/A-1211-2014</t>
  </si>
  <si>
    <t>Masson-Delmotte, Valerie L/0000-0001-8296-381X; Leuenberger, Markus C/0000-0003-4299-6793; LANDAIS, Amaelle/0000-0002-5620-5465; Fischer, Hubertus/0000-0002-2787-4221</t>
  </si>
  <si>
    <t>Denmark (SNF); Belgium (FNRS-CFB); France (IPEV and INSU/CNRS); Germany (AWI); Iceland (RannIs); Japan (MEXT); Sweden (SPRS); Switzerland (SNF); USA (NSF, Office of Polar Programs); ANR PICC; ANR NEEM; European Commission [243908]; NERC [bas0100024, NE/I009639/1] Funding Source: UKRI; Natural Environment Research Council [NE/I009639/1, bas0100024] Funding Source: researchfish</t>
  </si>
  <si>
    <t>Denmark (SNF); Belgium (FNRS-CFB)(Fonds de la Recherche Scientifique - FNRS); France (IPEV and INSU/CNRS)(Centre National de la Recherche Scientifique (CNRS)); Germany (AWI); Iceland (RannIs); Japan (MEXT)(Ministry of Education, Culture, Sports, Science and Technology, Japan (MEXT)); Sweden (SPRS); Switzerland (SNF); USA (NSF, Office of Polar Programs); ANR PICC(Agence Nationale de la Recherche (ANR)); ANR NEEM(Agence Nationale de la Recherche (ANR)); European Commission(European Union (EU)European Commission Joint Research Centre); NERC(UK Research &amp; Innovation (UKRI)Natural Environment Research Council (NERC)); Natural Environment Research Council(UK Research &amp; Innovation (UKRI)Natural Environment Research Council (NERC))</t>
  </si>
  <si>
    <t>We thank Nerilie Abram and Eric Wolff for their useful comments on an early version of this paper. This work is a contribution to the North Greenland Ice Core Project (NGRIP) directed and organized by the Department of Geophysics at the Niels Bohr Institute for Astronomy, Physics and Geophysics, University of Copenhagen. It is supported by funding agencies in Denmark (SNF), Belgium (FNRS-CFB), France (IPEV and INSU/CNRS), Germany (AWI), Iceland (RannIs), Japan (MEXT), Sweden (SPRS), Switzerland (SNF) and the USA (NSF, Office of Polar Programs). This work was supported by ANR PICC and ANR NEEM and by funding to the Past4Future project from the European Commission's 7th Framework Programme, grant 243908. This work is LSCE contribution 4823 and is Past4Future contribution 23.</t>
  </si>
  <si>
    <t>L15703</t>
  </si>
  <si>
    <t>10.1029/2012GL052656</t>
  </si>
  <si>
    <t>988FQ</t>
  </si>
  <si>
    <t>Bronze, Green Published, Green Accepted</t>
  </si>
  <si>
    <t>WOS:000307474900003</t>
  </si>
  <si>
    <t>Satriano, C; Kiraly, E; Bernard, P; Vilotte, JP</t>
  </si>
  <si>
    <t>Satriano, Claudio; Kiraly, Eszter; Bernard, Pascal; Vilotte, Jean-Pierre</t>
  </si>
  <si>
    <t>The 2012 Mw 8.6 Sumatra earthquake: Evidence of westward sequential seismic ruptures associated to the reactivation of a N-S ocean fabric</t>
  </si>
  <si>
    <t>ANTARCTIC PLATE EARTHQUAKE; INDIA-AUSTRALIA PLATE; HECTOR MINE; DEFORMATION; CALIFORNIA; LANDERS; FAULTS; ARRAY; TIMES; SLIP</t>
  </si>
  <si>
    <t>The 11 April 2012 Mw 8.6 earthquake offshore Sumatra is the largest of the rare great intraplate earthquakes of the instrumental era. This major strike-slip event occurred in the diffuse zone of deformation that accommodates differential rotation between Indian and Australian plates. We perform a back projection analysis - calibrated with well-located aftershocks - of short-period teleseismic P-waves recorded by the European array to image the rupture process during the mainshock. In complement, a Love wave analysis is conducted for tracking azimuthal change in the apparent global source duration due to the source spatio-temporal extent. The combined analysis reveals a complex rupture pattern, characterized by three main episodes of energy release, the latest being located 370 km west of the epicenter, on the Ninety East Ridge, with a delay of 120 s. We interpret the 11 April 2012 Mw 8.6 offshore Sumatra earthquake as a complex westward-propagating sequence of dynamically triggered strike-slip fault ruptures, associated to the reactivation of the inherited NNE-striking sea floor fabric. The dynamic triggering mechanism could result from the interaction between transient surface wave stress perturbations and fluids. Citation: Satriano, C., E. Kiraly, P. Bernard, and J.-P. Vilotte (2012), The 2012 Mw 8.6 Sumatra earthquake: Evidence of westward sequential seismic ruptures associated to the reactivation of a N-S ocean fabric, Geophys. Res. Lett., 39, L15302, doi:10.1029/2012GL052387.</t>
  </si>
  <si>
    <t>[Satriano, Claudio; Kiraly, Eszter; Bernard, Pascal; Vilotte, Jean-Pierre] Univ Paris Diderot, Inst Phys Globe Paris, CNRS, UMR 7154, F-75238 Paris, France</t>
  </si>
  <si>
    <t>Universite Paris Cite; Centre National de la Recherche Scientifique (CNRS); CNRS - National Institute for Earth Sciences &amp; Astronomy (INSU)</t>
  </si>
  <si>
    <t>Satriano, C (corresponding author), Univ Paris Diderot, Inst Phys Globe Paris, CNRS, UMR 7154, 1 Rue Jussieu, F-75238 Paris, France.</t>
  </si>
  <si>
    <t>satriano@ipgp.fr</t>
  </si>
  <si>
    <t>bernard, pascal/B-4828-2015; Vilotte, Jean-Pierre/H-1552-2017; Satriano, Claudio/A-4718-2009</t>
  </si>
  <si>
    <t>Vilotte, Jean-Pierre/0000-0002-6085-6498; Satriano, Claudio/0000-0002-3039-2530</t>
  </si>
  <si>
    <t>EU Initial Training Network QUEST (QUantitative estimation of Earth's seismic sources and STructure)</t>
  </si>
  <si>
    <t>We thank editor Eric Calais and Martin Mai for their careful review of the manuscript and insightful comments. We also thank Satish Singh and Martin Vallee for discussions at the late stage of this work. This work has been partly supported by the EU Initial Training Network QUEST (QUantitative estimation of Earth's seismic sources and STructure).</t>
  </si>
  <si>
    <t>AUG 3</t>
  </si>
  <si>
    <t>L15302</t>
  </si>
  <si>
    <t>10.1029/2012GL052387</t>
  </si>
  <si>
    <t>988FN</t>
  </si>
  <si>
    <t>WOS:000307474500003</t>
  </si>
  <si>
    <t>Vaughan, DG; Corr, HFJ; Bindschadler, RA; Dutrieux, P; Gudmundsson, GH; Jenkins, A; Newman, T; Vornberger, P; Wingham, DJ</t>
  </si>
  <si>
    <t>Vaughan, David G.; Corr, Hugh F. J.; Bindschadler, Robert A.; Dutrieux, Pierre; Gudmundsson, G. Hilmar; Jenkins, Adrian; Newman, Thomas; Vornberger, Patricia; Wingham, Duncan J.</t>
  </si>
  <si>
    <t>Subglacial melt channels and fracture in the floating part of Pine Island Glacier, Antarctica</t>
  </si>
  <si>
    <t>ROSS ICE SHELF; BOTTOM CREVASSES; WEST ANTARCTICA; PENINSULA; BENEATH; SHEET; DISINTEGRATION; MARGINS; FIELD</t>
  </si>
  <si>
    <t>A dense grid of ice-penetrating radar sections acquired over Pine Island Glacier, West Antarctica has revealed a network of sinuous subglacial channels, typically 500 m to 3 km wide, and up to 200 m high, in the ice-shelf base. These subglacial channels develop while the ice is floating and result from melting at the base of the ice shelf. Above the apex of most channels, the radar shows isolated reflections from within the ice shelf. Comparison of the radar data with acoustic data obtained using an autonomous submersible, confirms that these echoes arise from open basal crevasses 50-100 m wide aligned with the subglacial channels and penetrating up to 1/3 of the ice thickness. Analogous sets of surface crevasses appear on the ridges between the basal channels. We suggest that both sets of crevasses were formed during the melting of the subglacial channels as a response to vertical flexing of the ice shelf toward the hydrostatic condition. Finite element modeling of stresses produced after the formation of idealized basal channels indicates that the stresses generated have the correct pattern and, if the channels were formed sufficiently rapidly, would have sufficient magnitude to explain the formation of the observed basal and surface crevasse sets. We conclude that ice-shelf basal melting plays a role in determining patterns of surface and basal crevassing. Increased delivery of warm ocean water into the sub-ice shelf cavity may therefore cause not only thinning but also structural weakening of the ice shelf, perhaps, as a prelude to eventual collapse.</t>
  </si>
  <si>
    <t>[Vaughan, David G.; Corr, Hugh F. J.; Dutrieux, Pierre; Gudmundsson, G. Hilmar; Jenkins, Adrian] British Antarctic Survey, Nat Environm Res Council, Cambridge CB3 0ET, England; [Bindschadler, Robert A.] Univ Maryland Baltimore Cty, NASA, Goddard Space Flight Ctr, Greenbelt, MD USA; [Newman, Thomas; Wingham, Duncan J.] UCL, Dept Earth Sci, CPOM, London, England; [Vornberger, Patricia] Sci Applicat Int Corp, Beltsville, MD USA</t>
  </si>
  <si>
    <t>UK Research &amp; Innovation (UKRI); Natural Environment Research Council (NERC); NERC British Antarctic Survey; University System of Maryland; University of Maryland Baltimore County; National Aeronautics &amp; Space Administration (NASA); NASA Goddard Space Flight Center; University of London; University College London; Science Applications International Corporation (SAIC)</t>
  </si>
  <si>
    <t>Vaughan, DG (corresponding author), British Antarctic Survey, Nat Environm Res Council, Madingley Rd, Cambridge CB3 0ET, England.</t>
  </si>
  <si>
    <t>d.vaughan@bas.ac.uk</t>
  </si>
  <si>
    <t>Gudmundsson, Gudmundur Hilmar/F-6499-2012; Corr, Hugh/C-5398-2011; Dutrieux, Pierre/GVS-2890-2022; Jenkins, Adrian/IUN-2406-2023; Vaughan, David/C-8348-2011; Gudmundsson, Gudmundur Hilmar/AAU-5987-2020</t>
  </si>
  <si>
    <t>Gudmundsson, Gudmundur Hilmar/0000-0003-4236-5369; Dutrieux, Pierre/0000-0002-8066-934X; Gudmundsson, Gudmundur Hilmar/0000-0003-4236-5369; Jenkins, Adrian/0000-0002-9117-0616; Newman, Thomas/0009-0005-0440-8366; Vaughan, David/0000-0002-9065-0570</t>
  </si>
  <si>
    <t>Natural Environment Research Council; EU [226375]; NERC National Centre for Earth Observation; NERC [NE/G001367/1]; NERC [bas0100028, bas0100027, NE/G001367/1] Funding Source: UKRI; Natural Environment Research Council [NE/G001367/1, bas0100028, bas0100027] Funding Source: researchfish</t>
  </si>
  <si>
    <t>Natural Environment Research Council(UK Research &amp; Innovation (UKRI)Natural Environment Research Council (NERC)); EU(European Union (EU)); NERC National Centre for Earth Observation(UK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</si>
  <si>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colleagues at British Antarctic Survey for constructive advice, and in particular, Carl Robinson and Captain Doug Cochrane, who acquired the radar data. The work is part of the British Antarctic Survey program, Polar Science for Planet Earth funded in part by the Natural Environment Research Council. DGV was funded by the EU FP7 program ice2sea (grant 226375, pub. no. 076). TN and DJW acknowledge the support of the NERC National Centre for Earth Observation. Autosub-3 data collection and PD were supported by NERC Grant NE/G001367/1. Radar data acquired for this study are available at https://secure.antarctica.ac.uk/data/aerogeo/index.php</t>
  </si>
  <si>
    <t>F03012</t>
  </si>
  <si>
    <t>10.1029/2012JF002360</t>
  </si>
  <si>
    <t>988DD</t>
  </si>
  <si>
    <t>WOS:000307467500002</t>
  </si>
  <si>
    <t>Zhang, QH; Dunlop, MW; Lockwood, M; Lavraud, B; Bogdanova, YV; Hasegawa, H; Yang, HG; Liu, RY; Hu, HQ; Zhang, BC; Pu, ZY; Yang, ZW; Wang, J; Taylor, MGGT; Berchem, J; Constantinescu, D; Volwerk, M; Frey, H; Fazakerley, AN; Shen, C; Shi, JK; Sibeck, D; Escoubet, P; Wild, JA</t>
  </si>
  <si>
    <t>Zhang, Q. -H.; Dunlop, M. W.; Lockwood, M.; Lavraud, B.; Bogdanova, Y. V.; Hasegawa, H.; Yang, H-G.; Liu, R. -Y.; Hu, H. -Q.; Zhang, B. -C.; Pu, Z. -Y.; Yang, Z. -W.; Wang, J.; Taylor, M. G. G. T.; Berchem, J.; Constantinescu, D.; Volwerk, M.; Frey, H.; Fazakerley, A. N.; Shen, C.; Shi, J. -K.; Sibeck, D.; Escoubet, P.; Wild, J. A.</t>
  </si>
  <si>
    <t>Inner plasma structure of the low-latitude reconnection layer</t>
  </si>
  <si>
    <t>INTERPLANETARY MAGNETIC-FIELD; FLUX-TRANSFER EVENTS; BOUNDARY-LAYER; DAYSIDE MAGNETOPAUSE; NORTHWARD IMF; THEMIS; SIGNATURES; CLUSTER; INSTRUMENT; DEPLETION</t>
  </si>
  <si>
    <t>We report a clear transition through a reconnection layer at the low-latitude magnetopause which shows a complete traversal across all reconnected field lines during northwestward interplanetary magnetic field (IMF) conditions. The associated plasma populations confirm details of the electron and ion mixing and the time history and acceleration through the current layer. This case has low magnetic shear with a strong guide field and the reconnection layer contains a single density depletion layer on the magnetosheath side which we suggest results from nearly field-aligned magnetosheath flows. Within the reconnection boundary layer, there are two plasma boundaries, close to the inferred separatrices on the magnetosphere and magnetosheath sides (S-sp and S-sh) and two boundaries associated with the Alfven waves (or Rotational Discontinuities, RDsp and RDsh). The data are consistent with these being launched from the reconnection site and the plasma distributions are well ordered and suggestive of the time elapsed since reconnection of the field lines observed. In each sub-layer between the boundaries the plasma distribution is different and is centered around the current sheet, responsible for magnetosheath acceleration. We show evidence for a velocity dispersion effect in the electron anisotropy that is consistent with the time elapsed since reconnection. In addition, new evidence is presented for the occurrence of partial reflection of magnetosheath electrons at the magnetopause current layer.</t>
  </si>
  <si>
    <t>[Zhang, Q. -H.; Yang, H-G.; Liu, R. -Y.; Hu, H. -Q.; Zhang, B. -C.; Yang, Z. -W.] Polar Res Inst China, SOA Key Lab Polar Sci, Shanghai 200136, Peoples R China; [Dunlop, M. W.; Lockwood, M.] Rutherford Appleton Lab, Chilton, England; [Dunlop, M. W.; Shen, C.] Chinese Acad Sci, CSSAR, Beijing, Peoples R China; [Lockwood, M.] Univ Reading, Dept Meteorol, Reading, Berks, England; [Lavraud, B.] Inst Rech Astrophys &amp; Planetol, Toulouse, France; [Bogdanova, Y. V.; Fazakerley, A. N.] Univ Coll London, Mullard Space Sci Lab, Dorking RH5 6NT, Surrey, England; [Hasegawa, H.] JAXA, Inst Space &amp; Astronaut Sci, Sagamihara, Kanagawa, Japan; [Pu, Z. -Y.; Wang, J.] Peking Univ, Sch Earth &amp; Space Sci, Beijing 100871, Peoples R China; [Taylor, M. G. G. T.; Escoubet, P.] ESA, ESTEC, Noordwijk, Netherlands; [Berchem, J.] Univ Calif Los Angeles, IGPP, Los Angeles, CA USA; [Constantinescu, D.] TU BS, Inst Geophys &amp; Meteorol, Braunschweig, Germany; [Volwerk, M.] Austrian Acad Sci, Space Res Inst, A-8010 Graz, Austria; [Frey, H.] Univ Calif Berkeley, Space Sci Lab, Berkeley, CA 94720 USA; [Sibeck, D.] NASA GSFC, Greenbelt, MD USA; [Wild, J. A.] Univ Lancaster, Dept Phys, Lancaster, England</t>
  </si>
  <si>
    <t>Polar Research Institute of China; UK Research &amp; Innovation (UKRI); Science &amp; Technology Facilities Council (STFC); STFC Rutherford Appleton Laboratory; Chinese Academy of Sciences; University of Reading; Universite de Toulouse; Universite Toulouse III - Paul Sabatier; University of London; University College London; Japan Aerospace Exploration Agency (JAXA); Institute of Space &amp; Astronautical Science (ISAS); Peking University; European Space Agency; University of California System; University of California Los Angeles; Austrian Academy of Sciences; University of California System; University of California Berkeley; National Aeronautics &amp; Space Administration (NASA); NASA Goddard Space Flight Center; Lancaster University</t>
  </si>
  <si>
    <t>Zhang, QH (corresponding author), Polar Res Inst China, SOA Key Lab Polar Sci, 451 Jinqiao Rd, Shanghai 200136, Peoples R China.</t>
  </si>
  <si>
    <t>zhangqinghe@pric.gov.cn</t>
  </si>
  <si>
    <t>Constantinescu, Dragos/A-6007-2013; Berchem, Guy/C-9364-2014; dunlop, malcolm w/F-1347-2010; Lockwood, Mike/G-1030-2011; Hasegawa, Hiroshi/A-1192-2007; Constantinescu, Ovidiu Dragos/C-4350-2012; Wild, James Anderson/HKN-7736-2023; Zhang, Qing-He/G-4572-2014; Bogdanova, Yulia/AAV-1615-2020; Sibeck, David G/D-4424-2012</t>
  </si>
  <si>
    <t>Berchem, Guy/0000-0003-0157-2257; dunlop, malcolm w/0000-0002-8195-5137; Lockwood, Mike/0000-0002-7397-2172; Hasegawa, Hiroshi/0000-0002-1172-021X; Constantinescu, Ovidiu Dragos/0000-0002-8983-6415; Wild, James Anderson/0000-0001-8025-8869; Zhang, Qing-He/0000-0003-2429-4050; Bogdanova, Yulia/0000-0002-1356-0598; Frey, Harald/0000-0001-8955-3282; Zhang, Beichen/0000-0002-0927-9568</t>
  </si>
  <si>
    <t>National Basic Research Program of China [2012CB825603]; National Natural Science Foundation of China [41104091, 41031064, 40890164]; International Collaboration Supporting Project, Chinese Arctic and Antarctic Administration [IC201112]; Ocean Public Welfare Scientific Research Project, State Oceanic Administration People's Republic of China [201005017]; Chinese Academy of Sciences (CAS) [2009S1-54]; NASA [NAS5-02099]; German Ministry for Economy and Technology; German Center for Aviation and Space (DLR) [50 OC 0302]; Science and Technology Facilities Council [ST/H00260X/1] Funding Source: researchfish; STFC [ST/H00260X/1] Funding Source: UKRI; Grants-in-Aid for Scientific Research [24740337] Funding Source: KAKEN</t>
  </si>
  <si>
    <t>National Basic Research Program of China(National Basic Research Program of China); National Natural Science Foundation of China(National Natural Science Foundation of China (NSFC)); International Collaboration Supporting Project, Chinese Arctic and Antarctic Administration; Ocean Public Welfare Scientific Research Project, State Oceanic Administration People's Republic of China; Chinese Academy of Sciences (CAS)(Chinese Academy of Sciences); NASA(National Aeronautics &amp; Space Administration (NASA)); German Ministry for Economy and Technology; German Center for Aviation and Space (DLR)(Helmholtz AssociationGerman Aerospace Centre (DLR)); Science and Technology Facilities Council(UK Research &amp; Innovation (UKRI)Science &amp; Technology Facilities Council (STFC)); STFC(UK Research &amp; Innovation (UKRI)Science &amp; Technology Facilities Council (STFC)); Grants-in-Aid for Scientific Research(Ministry of Education, Culture, Sports, Science and Technology, Japan (MEXT)Japan Society for the Promotion of ScienceGrants-in-Aid for Scientific Research (KAKENHI))</t>
  </si>
  <si>
    <t>This work is supported by the National Basic Research Program of China (grant 2012CB825603), the National Natural Science Foundation of China (grants 41104091, 41031064, 40890164), the International Collaboration Supporting Project, Chinese Arctic and Antarctic Administration (IC201112), and Ocean Public Welfare Scientific Research Project, State Oceanic Administration People's Republic of China (201005017). Part of the work was done for the ISSI working group Conjugate response of the dayside magnetopause and dawn/dusk flanks using Cluster-THEMIS conjunctions and ground based observations, which is led by M. W. Dunlop and Y. V. Bogdanova. M. W. Dunlop is partly supported by Chinese Academy of Sciences (CAS) visiting Professorship for senior international scientists (grant 2009S1-54). We acknowledge NASA contract NAS5-02099 and V. Angelopoulos for use of data from the THEMIS Mission. Specifically: C. W. Carlson and J. P. McFadden for use of ESA data and K. H. Glassmeier, U. Auster and W. Baumjohann for the use of FGM data provided under the lead of the Technical University of Braunschweig and with financial support through the German Ministry for Economy and Technology and the German Center for Aviation and Space (DLR) under contract 50 OC 0302.</t>
  </si>
  <si>
    <t>A08205</t>
  </si>
  <si>
    <t>10.1029/2012JA017622</t>
  </si>
  <si>
    <t>984HT</t>
  </si>
  <si>
    <t>Green Published, Bronze, Green Accepted</t>
  </si>
  <si>
    <t>WOS:000307181400003</t>
  </si>
  <si>
    <t>Van der Putten, N; Mauquoy, D; Verbruggen, C; Björck, S</t>
  </si>
  <si>
    <t>Van der Putten, N.; Mauquoy, D.; Verbruggen, C.; Bjorck, S.</t>
  </si>
  <si>
    <t>Subantarctic peatlands and their potential as palaeoenvironmental and palaeoclimatic archives</t>
  </si>
  <si>
    <t>QUATERNARY INTERNATIONAL</t>
  </si>
  <si>
    <t>HOLOCENE GLACIER FLUCTUATIONS; ABRUPT CLIMATE-CHANGE; TIERRA-DEL-FUEGO; SOUTHERN-OCEAN; ENVIRONMENTAL-CHANGES; MULTIPROXY RECORD; ATLANTIC SECTOR; VEGETATION; PEAT; ISLAND</t>
  </si>
  <si>
    <t>Subantarctic islands are located within the Antarctic Circumpolar Current and the southern westerly wind belt, the latter called Southern Westerlies, making them unique terrestrial archives to investigate past changes in oceanic and atmospheric circulation patterns in the southern mid-latitudes. The islands are characterised by a treeless, phanerogam-poor flora in which bryophytes are of major importance. Several peat-based Holocene palaeoenvironmental and palaeoclimatic studies have recently been published for South Georgia and Ile de la Possession (Iles Crozet). A range of techniques have been used in these studies, mainly plant macrofossil analysis, but also analyses of diatoms, pollen and non-pollen microfossils, geochemical and geomagnetic measurements. The records are chronologically constrained by radiocarbon dating. This paper brings together these data in order to give an overview of the Subantarctic peat-based palaeoclimatic records. A new plant macrofossil record for the island of South Georgia is added. Evidence for millennial scale Holocene climate variability was found for both islands of which the most striking one occurred in the late Holocene. However, within the uncertainty of the age/depth models, the timing for this climate shift to wetter and/or colder conditions on South Georgia and windier/wetter conditions on Ile de la Possession is different for both islands, lie de la Possession (Iles Crozet) seems to follow the Northern Hemisphere climate evolution as the event was dated to similar to 2800 cal BP, a well-known climate event present in many peat-based records in north-western Europe. In contrast, the South Georgian late Holocene climate records reveal a shift around similar to 2200-2000 cal BR (C) 2011 Elsevier Ltd and INQUA. All rights reserved.</t>
  </si>
  <si>
    <t>[Van der Putten, N.; Bjorck, S.] Dept Earth &amp; Ecosystem Sci, Div Geol, SE-22362 Lund, Sweden; [Mauquoy, D.] Univ Aberdeen, Sch Geosci, Aberdeen AB24 3UF, Scotland; [Verbruggen, C.] Univ Ghent, Dept Geog, B-9000 Ghent, Belgium</t>
  </si>
  <si>
    <t>University of Aberdeen; Ghent University</t>
  </si>
  <si>
    <t>Van der Putten, N (corresponding author), Dept Earth &amp; Ecosystem Sci, Div Geol, Solvegatan 12, SE-22362 Lund, Sweden.</t>
  </si>
  <si>
    <t>nathalie.van_der_putten@geol.lu.se</t>
  </si>
  <si>
    <t>Mauquoy, Dmitri/AAF-1044-2019</t>
  </si>
  <si>
    <t>Mauquoy, Dmitri/0000-0002-8056-8258; Van der Putten, Nathalie/0000-0002-0271-9321</t>
  </si>
  <si>
    <t>British Antarctic Survey and the French Polar Institute [IPEV 136]; Swedish Research Council (VR) [623-2009-7399]</t>
  </si>
  <si>
    <t>British Antarctic Survey and the French Polar Institute; Swedish Research Council (VR)(Swedish Research Council)</t>
  </si>
  <si>
    <t>This research was made possible by the logistic support of the British Antarctic Survey and the French Polar Institute (programme IPEV 136). We would like to thank Ryszard Ochyra (Institute of Botany, Polish Academy of Sciences, Cracow) for help with bryophyte determinations and many interesting discussions concerning the Subantarctic flora. Ash Morton and Louis Beyens are thanked for their help during fieldwork and the sampling of the Sink Hole sequence.; N.VdP is a post-doctoral research fellow funded by the Swedish Research Council (VR - 623-2009-7399). We also thank two anonymous reviewers for their very valuable comments on the manuscript.</t>
  </si>
  <si>
    <t>1040-6182</t>
  </si>
  <si>
    <t>1873-4553</t>
  </si>
  <si>
    <t>QUATERN INT</t>
  </si>
  <si>
    <t>Quat. Int.</t>
  </si>
  <si>
    <t>10.1016/j.quaint.2011.07.032</t>
  </si>
  <si>
    <t>990GH</t>
  </si>
  <si>
    <t>WOS:000307618500007</t>
  </si>
  <si>
    <t>Pross, J; Contreras, L; Bijl, PK; Greenwood, DR; Bohaty, SM; Schouten, S; Bendle, JA; Röhl, U; Tauxe, L; Raine, JI; Huck, CE; van de Flierdt, T; Jamieson, SSR; Stickley, CE; van de Schootbrugge, B; Escutia, C; Brinkhuis, H; Dotti, CE; Klaus, A; Fehr, A; Williams, T; Bendle, JAP; Carr, SA; Dunbar, RB; Gonzàlez, JJ; Hayden, TG; Iwai, M; Jimenez-Espejo, FJ; Katsuki, K; Kong, GS; Mckay, RM; Nakai, M; Olney, MP; Passchier, S; Pekar, SF; Pröss, J; Riesselman, CR; Rohl, U; Sakai, T; Shrivastava, PK; Stickley, CE; Sugisaki, S; Tauxe, L; Tuo, S; Van De Flierdt, T; Welsh, K; Yamane, M</t>
  </si>
  <si>
    <t>Pross, Joerg; Contreras, Lineth; Bijl, Peter K.; Greenwood, David R.; Bohaty, Steven M.; Schouten, Stefan; Bendle, James A.; Roehl, Ursula; Tauxe, Lisa; Raine, J. Ian; Huck, Claire E.; van de Flierdt, Tina; Jamieson, Stewart S. R.; Stickley, Catherine E.; van de Schootbrugge, Bas; Escutia, Carlota; Brinkhuis, Henk; Dotti, Carlota Escutia; Klaus, Adam; Fehr, Annick; Williams, Trevor; Bendle, James A. P.; Carr, Stephanie A.; Dunbar, Robert B.; Gonzalez, Jhon J.; Hayden, Travis G.; Iwai, Masao; Jimenez-Espejo, Francisco J.; Katsuki, Kota; Kong, Gee Soo; McKay, Robert M.; Nakai, Mutsumi; Olney, Matthew P.; Passchier, Sandra; Pekar, Stephen F.; Pross, Jorg; Riesselman, Christina R.; Rohl, Ursula; Sakai, Toyosaburo; Shrivastava, Prakash K.; Stickley, Catherine E.; Sugisaki, Saiko; Tauxe, Lisa; Tuo, Shouting; van de Flierdt, Tina; Welsh, Kevin; Yamane, Masako</t>
  </si>
  <si>
    <t>Integrated Ocean Drilling Program</t>
  </si>
  <si>
    <t>Persistent near-tropical warmth on the Antarctic continent during the early Eocene epoch</t>
  </si>
  <si>
    <t>TERRESTRIAL PALEOCLIMATE; POLAR FORESTS; RECONSTRUCTIONS; SENSITIVITY; CLIMATES</t>
  </si>
  <si>
    <t>The warmest global climates of the past 65 million years occurred during the early Eocene epoch (about 55 to 48 million years ago), when the Equator-to-pole temperature gradients weremuch smaller than today(1,2) and atmospheric carbon dioxide levels were in excess of one thousand parts per million by volume(3,4). Recently the early Eocene has received considerable interest because it may provide insight into the response of Earth's climate and biosphere to the high atmospheric carbon dioxide levels that are expected in the near future(5) as a consequence of unabated anthropogenic carbon emissions(4,6). Climatic conditions of the early Eocene 'greenhouse world', however, are poorly constrained in critical regions, particularly Antarctica. Here we present a well-dated record of early Eocene climate on Antarctica from an ocean sediment core recovered off the Wilkes Land coast of East Antarctica. The information from biotic climate proxies (pollen and spores) and independent organic geochemical climate proxies (indices based on branched tetraether lipids) yields quantitative, seasonal temperature reconstructions for the early Eocene greenhouse world on Antarctica. We show that the climate in lowland settings along the Wilkes Land coast (at a palaeolatitude of about 70 degrees south) supported the growth of highly diverse, near-tropical forests characterized by mesothermal to megathermal floral elements including palms and Bombacoideae. Notably, winters were extremely mild (warmer than 10 degrees C) and essentially frost-free despite polar darkness, which provides a critical new constraint for the validation of climate models and for understanding the response of high-latitude terrestrial ecosystems to increased carbon dioxide forcing.</t>
  </si>
  <si>
    <t>[Pross, Joerg; Contreras, Lineth; van de Schootbrugge, Bas] Goethe Univ Frankfurt, Inst Geosci, Paleoenvironm Dynam Grp, Altenhoferallee 1, D-60438 Frankfurt, Germany; [Pross, Joerg] Biodivers &amp; Climate Res Ctr, D-60325 Frankfurt, Germany; [Bijl, Peter K.; Brinkhuis, Henk] Univ Utrecht, Inst Environm Biol, Lab Palaeobot &amp; Palynol, NL-3584 CD Utrecht, Netherlands; [Greenwood, David R.] Brandon Univ, Dept Biol, Brandon, MB R7A 6A9, Canada; [Bohaty, Steven M.] Univ Southampton, Natl Oceanog Ctr Southampton, Southampton SO14 3ZH, Hants, England; [Schouten, Stefan] NIOZ Royal Netherlands Inst Sea Res, Dept Marine Organ Biogeochem, NL-1790 AB Den Burg, Texel, Netherlands; [Bendle, James A.] Univ Glasgow, Sch Geog &amp; Earth Sci, Glasgow Mol Organ Geochem Lab, Glasgow G12 8QQ, Lanark, Scotland; [Roehl, Ursula] Univ Bremen, MARUM Ctr Marine Environm Sci, D-28359 Bremen, Germany; [Tauxe, Lisa] Univ Calif San Diego, Scripps Inst Oceanog, La Jolla, CA 92093 USA; [Raine, J. Ian] GNS Sci, Dept Paleontol, Lower Hutt 6009, New Zealand; [Huck, Claire E.; van de Flierdt, Tina] Univ London Imperial Coll Sci Technol &amp; Med, Dept Earth Sci &amp; Engn, London SW7 2AZ, England; [Jamieson, Stewart S. R.] Univ Durham, Sci Labs, Dept Geog, Durham DH1 3LE, England; [Stickley, Catherine E.] Univ Tromso, Dept Geol, N-9037 Tromso, Norway; [Escutia, Carlota] Inst Andaluz Ciencias Tierra, Granada 18100, Spain; [Dotti, Carlota Escutia; Gonzalez, Jhon J.] CSIC Univ Granada, Inst Andaluz Ciencias Tierra, Campus Fuentenueva S N, Granada 18002, Spain; [Klaus, Adam] Texas A&amp;M Univ, Integrated Ocean Drilling Program, United States Implementing Org, 1000 Discovery Dr, College Stn, TX 77845 USA; [Fehr, Annick] Rhein Westfal TH Aachen, Inst Appl Geophys &amp; Geothermal Energy, Mathieustrass 6, D-52074 Aachen, Germany; [Williams, Trevor] Lamont Doherty Earth Observ Columbia Univ, Borehole Res Grp, POB 1000,61 Route 9W, Palisades, NY 10964 USA; [Bendle, James A. P.] Univ Glasgow, Geog &amp; Earth Sci, Glasgow G128QQ, Lanark, Scotland; [Carr, Stephanie A.] Colorado Sch Mines, Dept Chem &amp; Geochem, 1500 Illinois St, Golden, CO 80401 USA; [Dunbar, Robert B.; Riesselman, Christina R.] Stanford Univ, Dept Environm Earth Syst Sci, 325 Braun Hall,Bldg 320, Stanford, CA 94305 USA; [Hayden, Travis G.] Western Michigan Univ, Dept Geol, 1187 Rood Hall,1903 W Michigan Ave, Kalamazoo, MI 49008 USA; [Iwai, Masao] Kochi Univ, Dept Nat Sci, 2-5-1 Akebono cho, Kochi 7808520, Japan; [Jimenez-Espejo, Francisco J.] Japan Agcy Marine Earth Sci &amp; Technol, Inst Res Earth Evolut, Natsushima Cho 2-15, Yokosuka, Kanagawa 2370061, Japan; [Katsuki, Kota] Kochi Univ, Marine Ctr Adv Core Res, B200 Monobe, Nankoku, Kochi 7838502, Japan; [Kong, Gee Soo] Korea Inst Geosci &amp; Mineral Resources, Petr &amp; Marine Res Div, 30 Gajeong Dong, Daejeon 305350, South Korea; [McKay, Robert M.] Victoria Univ Wellington, Antarctic Res Ctr, POB 600, Wellington 6140, New Zealand; [Nakai, Mutsumi] Daito Bunka Univ, Dept Educ, Itabashi Ku, 1-9-1 Takashima Daira, Tokyo 1758571, Japan; [Olney, Matthew P.] Univ S Florida, Dept Geol, 4202 E Fowler Ave, Tampa, FL 33620 USA; [Passchier, Sandra] Montclair State Univ, Earth &amp; Environm Studies, 252 Mallory Hall,1 Normal Ave, Montclair, NJ 07043 USA; [Pekar, Stephen F.] Queens Coll, Sch Earth &amp; Environm Sci, 65-30 Kissena Blvd, Flushing, NY 11367 USA; [Pross, Jorg] Goethe Univ Frankfurt, Inst Geosciences, Paleoenvironmental Dynam Grp, Altenhoferallee 1, D-60438 Frankfurt, Germany; [Pross, Jorg] Biodivers &amp; Climate Res Ctr, Senckenberganlage 25, D-60325 Frankfurt, Germany; [Rohl, Ursula] Univ Bremen, MARUM, Ctr Marine Environm Sci, Leobener Strasse, D-28359 Bremen, Germany; [Sakai, Toyosaburo] Utsunomiya Univ, Dept Geol, 350 Mine Machi, Utsunomiya, Tochigi 3218505, Japan; [Shrivastava, Prakash K.] Geol Survey India, Antarct Div, NH5P, NIT, Faridabad 121001, Harlyana, India; [Stickley, Catherine E.] Univ Tromso, Dept Geol, N-9037 Tromso, Norway; [Sugisaki, Saiko] Grad Univ Adv Study, Dept Polar Sci, 10-3 Midori Cho, Tachikawa, Tokyo 1908518, Japan; [Tauxe, Lisa] Univ Calif, Scripps Inst Oceanog, San Diego, CA 92093 USA; [Tuo, Shouting] Tongji Univ, Sch Ocean &amp; Earth Sci, 1239 Spring Rd, Shanghai 200092, Peoples R China; [van de Flierdt, Tina] Imperial Coll London, Dept Earth Sci &amp; Engn, London SW7 2AZ, England; [Welsh, Kevin] Univ Queensland, Sch Earth Sci, St Lucia, Qld 4072, Australia; [Yamane, Masako] Univ Tokyo, Earth &amp; Planetary Sci, Bunkyo Ku, 7-3-1 Hongo, Tokyo 1130033, Japan; [Jimenez-Espejo, Francisco J.] CSIC Univ Granada, Inst Andaluz Ciencias Tierra, Armilla, Granada 18100, Spain; [Riesselman, Christina R.] Eastern Geol &amp; Paleoclimate Sci Ctr, Natl Ctr, US Geol Survey, Reston, VA 20192 USA; [Sugisaki, Saiko] Japan Agcy Marine Earth Sci &amp; Technol, Frontier Bldg 4F,2-15 Natsushima Cho, Yokosuka, Kanagawa 2370061, Japan</t>
  </si>
  <si>
    <t>Goethe University Frankfurt; Utrecht University; Brandon University; University of Southampton; NERC National Oceanography Centre; Utrecht University; Royal Netherlands Institute for Sea Research (NIOZ); University of Glasgow; University of Bremen; University of California System; University of California San Diego; Scripps Institution of Oceanography; GNS Science - New Zealand; Imperial College London; Durham University; UiT The Arctic University of Tromso; Consejo Superior de Investigaciones Cientificas (CSIC); CSIC - Instituto Andaluz de Ciencias de la Tierra (IACT); Consejo Superior de Investigaciones Cientificas (CSIC); CSIC - Instituto Andaluz de Ciencias de la Tierra (IACT); University of Granada; Texas A&amp;M University System; Texas A&amp;M University College Station; RWTH Aachen University; University of Glasgow; Colorado School of Mines; Stanford University; Western Michigan University; Kochi University; Japan Agency for Marine-Earth Science &amp; Technology (JAMSTEC); Kochi University; Korea Institute of Geoscience &amp; Mineral Resources (KIGAM); Victoria University Wellington; State University System of Florida; University of South Florida; Montclair State University; City University of New York (CUNY) System; Queens College NY (CUNY); Goethe University Frankfurt; University of Bremen; Utsunomiya University; Geological Survey India; UiT The Arctic University of Tromso; University of California System; University of California San Diego; Scripps Institution of Oceanography; Tongji University; Imperial College London; University of Queensland; University of Tokyo; Consejo Superior de Investigaciones Cientificas (CSIC); CSIC - Instituto Andaluz de Ciencias de la Tierra (IACT); University of Granada; United States Department of the Interior; United States Geological Survey; Japan Agency for Marine-Earth Science &amp; Technology (JAMSTEC)</t>
  </si>
  <si>
    <t>Pross, J (corresponding author), Goethe Univ Frankfurt, Inst Geosci, Paleoenvironm Dynam Grp, Altenhoferallee 1, D-60438 Frankfurt, Germany.</t>
  </si>
  <si>
    <t>joerg.pross@em.uni-frankfurt.de</t>
  </si>
  <si>
    <t>Williams, Trevor/L-7670-2014; Röhl, Ursula/G-5986-2011; Passchier, Sandra/B-1993-2008; Jamieson, Stewart S.R./B-8330-2013; McKay, Robert/N-2449-2015; Riesselman, Christina R/H-5037-2012; Jimenez-Espejo, Francisco J/F-4486-2016; Passchier, Sandra/AAQ-2243-2021; Jimenez-Espejo, Francisco J./AAR-2318-2020; Raine, James I/D-5124-2009; Brinkhuis, Henk/IUO-8165-2023; Greenwood, David R./C-2758-2008; Welsh, Kevin/A-9808-2012; Escutia, Carlota/B-8614-2015; Flores, Jose-Abel/D-4218-2009</t>
  </si>
  <si>
    <t>Röhl, Ursula/0000-0001-9469-7053; Passchier, Sandra/0000-0001-7204-7025; Jamieson, Stewart S.R./0000-0002-9036-2317; McKay, Robert/0000-0002-5602-6985; Jimenez-Espejo, Francisco J/0000-0002-0335-8580; Passchier, Sandra/0000-0001-7204-7025; Brinkhuis, Henk/0000-0003-0253-6610; Greenwood, David R./0000-0002-8569-9695; Iwai, Masao/0000-0001-7489-1262; Yamane, Masako/0000-0002-5063-0719; Bijl, Peter/0000-0002-1710-4012; Raine, James Ian/0000-0001-5294-2102; Welsh, Kevin/0000-0002-4834-4190; Escutia, Carlota/0000-0002-4932-8619; Riesselman, Christina/0000-0002-2436-4306; Flores, Jose-Abel/0000-0003-1909-293X; Bendle, James/0000-0002-6826-8658; Dunbar, Robert/0000-0002-9728-5609</t>
  </si>
  <si>
    <t>US National Science Foundation; German Research Foundation [PR 651/10, RO 1113/6]; Biodiversity and Climate Research Center of the Hessian Initiative for Scientific and Economic Excellence; Netherlands Organisation for Scientific Research; Natural Sciences and Engineering Research Council of Canada [DG 311934]; Natural Environment Research Council [Ne/J019801/1, Ne/I00646X/1, Ne/I006257/1]; US National Science Foundation [OCE 1058858]; New Zealand Ministry of Science and Innovation; NERC [NE/J019801/1, NE/I00646X/2, NE/H020098/1, NE/I00646X/1, NE/I006257/1, NE/H014144/1, NE/H014616/1, NE/H025162/1] Funding Source: UKRI; Division Of Ocean Sciences; Directorate For Geosciences [1058858, 1129101] Funding Source: National Science Foundation; Natural Environment Research Council [NE/H025162/1, NE/I006257/1, NE/H014616/1, NE/I00646X/2, NE/J019801/1, NE/H020098/1, NE/H014144/1, NE/I00646X/1] Funding Source: researchfish</t>
  </si>
  <si>
    <t>US National Science Foundation(National Science Foundation (NSF)); German Research Foundation(German Research Foundation (DFG)); Biodiversity and Climate Research Center of the Hessian Initiative for Scientific and Economic Excellence; Netherlands Organisation for Scientific Research(Netherlands Organization for Scientific Research (NWO)); Natural Sciences and Engineering Research Council of Canada(Natural Sciences and Engineering Research Council of Canada (NSERC)CGIAR); Natural Environment Research Council(UK Research &amp; Innovation (UKRI)Natural Environment Research Council (NERC)); US National Science Foundation(National Science Foundation (NSF)); New Zealand Ministry of Science and Innovation; NERC(UK Research &amp; Innovation (UKRI)Natural Environment Research Council (NERC)); Division Of Ocean Sciences; Directorate For Geosciences(National Science Foundation (NSF)NSF - Directorate for Geosciences (GEO)); Natural Environment Research Council(UK Research &amp; Innovation (UKRI)Natural Environment Research Council (NERC))</t>
  </si>
  <si>
    <t>This research used samples and data provided by the Integrated Ocean Drilling Program (IODP). The IODP is sponsored by the US National Science Foundation and participating countries under the management of Joint Oceanographic Institutions, Inc. Financial support for this research was provided by the German Research Foundation, to J.P. (grant PR 651/10) and U. R. (grant RO 1113/6); the Biodiversity and Climate Research Center of the Hessian Initiative for Scientific and Economic Excellence, to J.P.; the Netherlands Organisation for Scientific Research, to H. B. and S. S. (VICI grant); the Natural Sciences and Engineering Research Council of Canada, to D. R. G. (grant DG 311934); the Natural Environment Research Council, to S. M. B. (grant Ne/J019801/1), J.A.B. (grant Ne/I00646X/1) and T.v.d.F. (grant Ne/I006257/1); the US National Science Foundation, to L. T. (grant OCE 1058858); and the New Zealand Ministry of Science and Innovation, to J.I.R.. We thank J. Francis, S. Gollner and M. Huber for discussions, and B. Coles, E. Hopmans, K. Kreissig, A. Mets, J. Ossebaar, B. Schminke, J. Treehorn and N. Welters for technical support.</t>
  </si>
  <si>
    <t>AUG 2</t>
  </si>
  <si>
    <t>10.1038/nature11300</t>
  </si>
  <si>
    <t>981ZE</t>
  </si>
  <si>
    <t>WOS:000307010700035</t>
  </si>
  <si>
    <t>Groat, LA; Evans, RJ; Grew, ES; Pieczka, A</t>
  </si>
  <si>
    <t>Groat, Lee A.; Evans, R. James; Grew, Edward S.; Pieczka, Adam</t>
  </si>
  <si>
    <t>THE CRYSTAL CHEMISTRY OF As- AND Sb-BEARING DUMORTIERITE</t>
  </si>
  <si>
    <t>CANADIAN MINERALOGIST</t>
  </si>
  <si>
    <t>dumortierite; holtite; borosilicate; electron microprobe; X-ray diffraction; disorder; twinning</t>
  </si>
  <si>
    <t>MASSIVE ROSE QUARTZ; ROCKS WESTERN ALPS; COMPOSITIONAL VARIATIONS; FIBROUS NANOINCLUSIONS; GRANITIC PEGMATITES; GRANULITE MASSIF; NAPIER COMPLEX; NATURAL STONES; MINERALS; HOLTITE</t>
  </si>
  <si>
    <t>Dumortierite samples from two pegmatite localities in Antarctica and one each in Germany and Russia show a range of As and Sb compositions (As + Sb + minor Bi = 0.001-0.212 apfu) and low Ta + Nb + Ti (0.001-0.079 apfu). Single-crystal diffraction data obtained from crystals from each sample refined to R1 = 0.0161-0.0285, the latter value for a twinned crystal. Initial refinements of three of the four crystals showed considerable electron density at the Sb1 and Sb2 sites; however, the atoms at these sites are also highly anisotropic, and consequently the sites were split into distinct As1, Sb1, As2, and Sb2 positions. Such distinct As and Sb sites are not seen in the isostructural mineral holtite, which contains considerably more As and Sb (and Ta, Nb, and Ti). Initial refinements also showed that in all four crystals, the atom at the Al1 site, with occupancies of 0.81-0.88, is highly anisotropic with most of the positional displacement in the a direction. The Al1 site was then split into Al1a, Al1, and Al1b positions, whose occupancies refined to Al1 &gt; Al1a &gt; Al1b. The unequal occupancy of Al1a, Al1, and Al1b suggests that the hexagonal channel contains a disordered mix of face-sharing octahedron dimers, trimers and longer units separated by vacancies. A plot of Si + P apfu versus As + Sb + Bi apfu for 340 dumortierite and 627 holtite compositions shows no gap between the two minerals. Although there is a pronounced gap in terms of As and Sb occupancy, it separates dumortierite and Sb-poor holtite from Sb-bearing holtite. The continuum of compositions between dumortierite and holtite, and the discovery of very (As, Sb)-rich, (Ta, Nb)-poor compositions, suggest that the distinction between what has been called dumortierite and what has been called holtite should be reconsidered.</t>
  </si>
  <si>
    <t>[Groat, Lee A.; Evans, R. James] Univ British Columbia, Dept Earth &amp; Ocean Sci, Vancouver, BC V6T 1Z4, Canada; [Grew, Edward S.] Univ Maine, Dept Earth Sci, Orono, ME 04469 USA; [Pieczka, Adam] AGH Univ Sci &amp; Technol, Dept Mineral Petrog &amp; Geochem, PL-30059 Krakow, Poland</t>
  </si>
  <si>
    <t>University of British Columbia; University of Maine System; University of Maine Orono; AGH University of Krakow</t>
  </si>
  <si>
    <t>Groat, LA (corresponding author), Univ British Columbia, Dept Earth &amp; Ocean Sci, Vancouver, BC V6T 1Z4, Canada.</t>
  </si>
  <si>
    <t>lgroat@eos.ubc.ca</t>
  </si>
  <si>
    <t>Evans, R. James/ITU-6206-2023; Groat, Lee/KHU-3832-2024; Evans, R.James/H-6948-2019</t>
  </si>
  <si>
    <t>Groat, Lee/0000-0003-0108-0842; Evans, R.James/0000-0002-8963-7299</t>
  </si>
  <si>
    <t>Natural Sciences and Engineering Research Council of Canada; Japanese and Australian Antarctic Research Expeditions; U.S. National Science Foundation [OPP-9813569, OPP-0228842]; Canadian Foundation for Innovation</t>
  </si>
  <si>
    <t>Natural Sciences and Engineering Research Council of Canada(Natural Sciences and Engineering Research Council of Canada (NSERC)CGIAR); Japanese and Australian Antarctic Research Expeditions; U.S. National Science Foundation(National Science Foundation (NSF)); Canadian Foundation for Innovation(Canada Foundation for Innovation)</t>
  </si>
  <si>
    <t>The authors are pleased to contribute this paper to a volume honoring Petr Cerny, in recognition of his many contributions to the study of granitic pegmatites and allied fields. The authors thank the Freiberg Bergakademie, P.M. Kartashov and G. Vaggelli for samples D21, D27 and D51, respectively, and J. Engelbrecht and J. Merola for typing the original tables. The manuscript was improved by comments from G. Ferraris, J.Cempirek, Guest Editor M. Novak, and Editor R.F. Martin. Financial support was provided by the Natural Sciences and Engineering Research Council of Canada in the form of a Discovery Grant to LAG. ESG's fieldwork in Antarctica was supported by the Japanese and Australian Antarctic Research Expeditions and by U.S. National Science Foundation grants OPP-9813569 and OPP-0228842 to the University of Maine. The equipment in C-HORSE was purchased with the help of a grant from the Canadian Foundation for Innovation.</t>
  </si>
  <si>
    <t>MINERALOGICAL ASSOC CANADA</t>
  </si>
  <si>
    <t>QUEBEC</t>
  </si>
  <si>
    <t>490, RUE DE LA COURONNE, QUEBEC, QC G1K 9A9, CANADA</t>
  </si>
  <si>
    <t>0008-4476</t>
  </si>
  <si>
    <t>1499-1276</t>
  </si>
  <si>
    <t>CAN MINERAL</t>
  </si>
  <si>
    <t>Can. Mineral.</t>
  </si>
  <si>
    <t>AUG</t>
  </si>
  <si>
    <t>10.3749/canmin.50.4.855</t>
  </si>
  <si>
    <t>Mineralogy</t>
  </si>
  <si>
    <t>079MK</t>
  </si>
  <si>
    <t>WOS:000314174400008</t>
  </si>
  <si>
    <t>Oliver, PG</t>
  </si>
  <si>
    <t>Oliver, P. Graham</t>
  </si>
  <si>
    <t>A MAGELLANIC MYSTERY MODIOLA CUPREA JEFFREYS 1859 A PROBABLE JUNIOR SYNONYM OF LISSARCA MILIARIS (PHILIPPI 1845) (BIVALVIA: PHILOBRYIDAE)</t>
  </si>
  <si>
    <t>JOURNAL OF CONCHOLOGY</t>
  </si>
  <si>
    <t>Modiola cuprea; nomenclature; Lissarca; Philobryidae</t>
  </si>
  <si>
    <t>The taxon Modiola cuprea Jeffreys 1859 is shown not to be the fry of Crenella faba (Muller 1776) and not to belong to the Mytiloidea. Rather it belongs to the Philobryidae and is proposed as a probable junior synonym of Lissarca miliaris (Philippi 1845). Lissarca miliaris and all Lissarca species are confined to the Antarctic and southern oceans in the magellanic and austral provinces. The supposed attribution of the type series of M. cuprea as coming from the crop of a bird, shot in Yorkshire, England must be discounted. Ranges, migration routes and flight times of both birds implicated, the Sanderling (Calidris alba) and the Brent Goose (Branta bernicla) do not support such an occurrence. The shell collection of William Bean is extensive and includes much material from around the world and it is proposed that Bean inadvertently gave a local origin to these shells before sending them to Jeffreys. Modiola cuprea can now be removed from the European checklist.</t>
  </si>
  <si>
    <t>Natl Museum Wales, BioSyB, Cardiff CF10 3NP, S Glam, Wales</t>
  </si>
  <si>
    <t>Oliver, PG (corresponding author), Natl Museum Wales, BioSyB, Cathays Pk, Cardiff CF10 3NP, S Glam, Wales.</t>
  </si>
  <si>
    <t>graham.oliver@museumwales.ac.uk</t>
  </si>
  <si>
    <t>CONCHOLOGICAL SOC GREAT BRITAIN &amp; IRELAND</t>
  </si>
  <si>
    <t>DREWSTEIGNTON</t>
  </si>
  <si>
    <t>MILLS HOUSE, CLIFFORD BRIDGE, DREWSTEIGNTON EX6 6QE, EXETER, ENGLAND</t>
  </si>
  <si>
    <t>0022-0019</t>
  </si>
  <si>
    <t>J CONCHOL</t>
  </si>
  <si>
    <t>J. Conchol.</t>
  </si>
  <si>
    <t>019JU</t>
  </si>
  <si>
    <t>WOS:000309736600009</t>
  </si>
  <si>
    <t>Lagerbom, C</t>
  </si>
  <si>
    <t>Lagerbom, Charles</t>
  </si>
  <si>
    <t>The Fate of Louise: A Maine-built 'down-easter' at Grytviken Harbor, South Georgia Island</t>
  </si>
  <si>
    <t>MARINERS MIRROR</t>
  </si>
  <si>
    <t>Located in a tiny harbour of Cumberland Bay, South Georgia Island is one of the last remaining examples of a Maine-built 'down-easter'. The barque, burnt to the waterline with one of her steel masts lying haphazardly across her remains, is what is left of the Louise. While not much remains now, Louise was one of the first vessels involved in commercial whaling in the Antarctic, but her history prior to that venture was noteworthy. She participated in the American cotton trade, survived numerous trans-Atlantic crossings and difficult Cape Horn passages, suffered a near-fatal and far-reaching mid-channel collision, toiled for years in the Baltic timber trade and witnessed a South American naval war. All this before she was selected for her South Georgia Island commercial whaling adventure, but it is the latter that makes Louise a special vessel, worthy of record and some form of historic preservation. This article relates her colourful history and makes a case that she should be duly recognized and possibly preserved for her role in the establishment of commercial whaling in the Antarctic. It has however, already been recommended that her construction and history be recorded, an achievable prospect.(2)</t>
  </si>
  <si>
    <t>[Lagerbom, Charles] Amer Polar Soc, Searsport, ME USA; [Lagerbom, Charles] Univ Maine, Orono, ME 04469 USA; [Lagerbom, Charles] Climate Change Inst, Glacial Geol Res Teams, Orono, ME USA</t>
  </si>
  <si>
    <t>University of Maine System; University of Maine Orono</t>
  </si>
  <si>
    <t>Lagerbom, C (corresponding author), Antarctican Soc, Clyde, ME 04855 USA.</t>
  </si>
  <si>
    <t>clagerbom@rsu2o.org</t>
  </si>
  <si>
    <t>SOC NAUTICAL RESEARCH</t>
  </si>
  <si>
    <t>NATIONAL MARITIME MUSEUM GREENWICH, LONDON SE10 9NF, ENGLAND</t>
  </si>
  <si>
    <t>0025-3359</t>
  </si>
  <si>
    <t>Mar. Mirror</t>
  </si>
  <si>
    <t>10.1080/00253359.2012.10709006</t>
  </si>
  <si>
    <t>History</t>
  </si>
  <si>
    <t>009ML</t>
  </si>
  <si>
    <t>WOS:000309029800006</t>
  </si>
  <si>
    <t>Miralles, I; Jorge-Villar, SE; Cantón, Y; Domingo, F</t>
  </si>
  <si>
    <t>Miralles, I.; Jorge-Villar, S. E.; Canton, Y.; Domingo, F.</t>
  </si>
  <si>
    <t>Using a Mini-Raman Spectrometer to Monitor the Adaptive Strategies of Extremophile Colonizers in Arid Deserts: Relationships Between Signal Strength, Adaptive Strategies, Solar Radiation, and Humidity</t>
  </si>
  <si>
    <t>ASTROBIOLOGY</t>
  </si>
  <si>
    <t>Hot desert; Raman spectroscopy; Topography; Terricolous lichens; Cyanobacteria; Planetary exploration</t>
  </si>
  <si>
    <t>THERMAL-ENERGY DISSIPATION; LICHEN COLONIZATION; EXTRACELLULAR POLYSACCHARIDES; SPECTROSCOPIC DETECTION; ANTARCTIC HABITATS; MARTIAN METEORITE; AMINO-ACIDS; SE SPAIN; IN-SITU; PHOTOPROTECTION</t>
  </si>
  <si>
    <t>The survival strategies of one cyanobacteria colony and three terricolous lichen species from the hot subdesert of Tabernas, Spain, were studied along with topographical attributes of the area to investigate whether the protective strategies adopted by these pioneer soil colonizers are related to the environmental stressors under which they survive. A handheld Raman spectrometer was used for biomolecular characterization, while the microclimatic and topographic parameters were estimated with a Geographic Information System (GIS). We found that the survival strategies adopted by those organisms are based on different combinations of protective biomolecules, each with diverse ecophysiological functions, such as UV-radiation screening, free-energy quenching, antioxidants, and the production of different types and amounts of calcium oxalates. Our results show that the cyanobacteria community and each lichen species preferentially colonized a particular microhabitat with specific moisture and incident solar radiation levels and exhibited different adaptive mechanisms. In recent years, a number of studies have provided consistent results that suggest a link between the strategies adopted by those extremophile organisms and the microclimatic environmental parameters. To date, however, far too little attention has been paid to results from Raman analyses on dry specimens. Therefore, the results of the present study, produced with the use of our miniaturized instrument, will be of interest to future studies in astrobiology, especially due to the likely use of Raman spectroscopy at the surface of Mars.</t>
  </si>
  <si>
    <t>[Miralles, I.; Domingo, F.] Expt Stn Arid Zones CSIC, Almeria, Spain; [Jorge-Villar, S. E.] Univ Burgos, Fac Humanidades &amp; Educ, Area Geodinam Interna, Burgos, Spain; [Canton, Y.] Univ Almeria, Dept Edafola &amp; Quim Agr, Almeria, Spain</t>
  </si>
  <si>
    <t>Consejo Superior de Investigaciones Cientificas (CSIC); CSIC - Estacion Experimental de Zonas Aridas (EEZA); Universidad de Burgos; Universidad de Almeria</t>
  </si>
  <si>
    <t>Miralles, I (corresponding author), EEZA CSIC, 04230 La Canada San Urbano, Almeria 04120, Spain.</t>
  </si>
  <si>
    <t>imirallesmellado@gmail.com</t>
  </si>
  <si>
    <t>Domingo, Francisco/P-7409-2019; Jorge-Villar, Susana E./A-8927-2011; Castilla, Yolanda Canton/ABG-2175-2020</t>
  </si>
  <si>
    <t>Domingo, Francisco/0000-0002-7145-7281; Jorge-Villar, Susana E./0000-0003-1676-4438; Castilla, Yolanda Canton/0000-0002-6848-019X; Miralles, Isabel/0000-0002-7385-3720</t>
  </si>
  <si>
    <t>regional government of Andalucia (Spain) [RNM-3721, RNM-3614]; Spanish Ministry of Science and Innovation [CGL2011-29429, CGL2011-27493]; European Regional Development Fund (ERDF); Juan de la Cierva Fellowship [2008-39669]</t>
  </si>
  <si>
    <t>regional government of Andalucia (Spain)(Junta de Andalucia); Spanish Ministry of Science and Innovation(Spanish Government); European Regional Development Fund (ERDF)(European Union (EU)); Juan de la Cierva Fellowship</t>
  </si>
  <si>
    <t>The authors wish to thank the GEOCARBO (Ref. RNM-3721) and the COSTRAS (Ref. RNM-3614) projects funded by the regional government of Andalucia (Spain); the BA-CARCOS project (Ref. CGL2011-29429) and CARBORAD (CGL2011-27493) projects funded by the Spanish Ministry of Science and Innovation, the European Regional Development Fund (ERDF), and the Juan de la Cierva Fellowship (Ref. 2008-39669).</t>
  </si>
  <si>
    <t>1531-1074</t>
  </si>
  <si>
    <t>1557-8070</t>
  </si>
  <si>
    <t>Astrobiology</t>
  </si>
  <si>
    <t>10.1089/ast.2011.0763</t>
  </si>
  <si>
    <t>006IA</t>
  </si>
  <si>
    <t>WOS:000308811500004</t>
  </si>
  <si>
    <t>Eichler, PPB; Rodrigues, AR; Eichler, BB; Braga, ES; Campos, EJD</t>
  </si>
  <si>
    <t>Eichler, P. P. B.; Rodrigues, A. R.; Eichler, B. B.; Braga, E. S.; Campos, E. J. D.</t>
  </si>
  <si>
    <t>Tracing latitudinal gradient, river discharge and water masses along the Subtropical South American Coast using benthic Foraminifera assemblages</t>
  </si>
  <si>
    <t>BRAZILIAN JOURNAL OF BIOLOGY</t>
  </si>
  <si>
    <t>foraminifera diversity; subantarctic and subtropical shelf water; subtropical shelf front; freshwater influence</t>
  </si>
  <si>
    <t>PLATA RIVER; CONTINENTAL-SHELF; SEA; BRAZIL; FRONT</t>
  </si>
  <si>
    <t>More than 30% of Buccella peruviana (D'Orbigny), Globocassidulina crassa porrecta (Earland &amp; Heron-Allen), Cibicides mackannai (Galloway &amp; Wissler) and C. refulgens (Montfort) indicate the presence of cold Sub Antarctic Shelf Water in winter, from 33.5 to 38.3 degrees S, deeper than 100 m, in the southern part of the study area. In summer, the abundance of this association decreases to less than 15% around 37.5-38.9 degrees S where two species (Globocassidulina subglobosa (Brady), Uvigerina peregrina (Cushman) take over. G. subglobosa, U. peregrina, and Hanzawaia boueana (D'Orbigny) are found at 27-33 degrees S in both seasons in less than 55 m deep in the northern part, and are linked with warm Subtropical Shelf Water and Tropical Water. Freshwater influence was signalized by high silicate concentration and by the presence of Pseudononion atlanticum (Cushman), Bolivina striatula (Cushman), Buliminella elegantissima (D'Orbigny), Bulimina elongata (D'Orbigny), Elphidium excavatum (Terquem), E. poeyanum (D'Orbigny), Ammobaculites exiguus (Cushman &amp; Bronnimann), Arenoparrella mexicana (Kornfeld), Gaudryina exillis (Cushman &amp; Bronnimann), Textularia earlandi (Parker) and thecamoebians in four sectors of the shelf. The presence of Bulimina marginata (D'Orbigny) between 34.1-32.8 degrees S in the winter and 34.2-32.7 degrees S in the summer indicates that the influence of the Subtropical Shelf Front on the sediment does not change seasonally, otherwise, the presence of Angulogerina angulosa (Williamson) in the winter, only in Mar del Plata (38.9 degrees S), show that Malvinas currents are not influencing the sediment in the summer.</t>
  </si>
  <si>
    <t>[Eichler, P. P. B.] Univ Fed Rio Grande do Norte, Ctr Ciencias Exatas &amp; Terra, PPGG, BR-59072970 Natal, RN, Brazil; [Rodrigues, A. R.; Eichler, B. B.; Braga, E. S.; Campos, E. J. D.] Univ Sao Paulo, Inst Oceanog, BR-05508120 Sao Paulo, Brazil</t>
  </si>
  <si>
    <t>Universidade Federal do Rio Grande do Norte; Universidade de Sao Paulo</t>
  </si>
  <si>
    <t>Eichler, PPB (corresponding author), Univ Fed Rio Grande do Norte, Ctr Ciencias Exatas &amp; Terra, PPGG, Campus Univ, BR-59072970 Natal, RN, Brazil.</t>
  </si>
  <si>
    <t>patriciaeichler@gmail.com</t>
  </si>
  <si>
    <t>Eichler, Patricia/I-3083-2013; Campos, edmo/G-6995-2012; Braga, Elisabete/E-5285-2012; Rodrigues, Andre/D-4131-2015</t>
  </si>
  <si>
    <t>Campos, edmo/0000-0001-6399-5496; Braga, Elisabete/0000-0001-5780-3814; Rodrigues, Andre/0000-0003-1665-1708</t>
  </si>
  <si>
    <t>Brazilian National Council of Research [CNPq/PDE OC 200424/2005]; U.S. Office of Naval Research (ONR) [N00014-02-1-0295]; Inter-American Institute for Global Change Research (IAI) [SACC/CRN-061]; Fundacao de Amparo a Pesquisa do Estado de Sao Paulo (FAPESP) [2004/01950-3]; Capes (Coordenacao de aperfeicoamento de Pessoal de nivel superior) through the Edital Ciencias do Mar; Directorate For Geosciences [1138881] Funding Source: National Science Foundation</t>
  </si>
  <si>
    <t>Brazilian National Council of Research; U.S. Office of Naval Research (ONR)(Office of Naval Research); Inter-American Institute for Global Change Research (IAI); Fundacao de Amparo a Pesquisa do Estado de Sao Paulo (FAPESP)(Fundacao de Amparo a Pesquisa do Estado de Sao Paulo (FAPESP)); Capes (Coordenacao de aperfeicoamento de Pessoal de nivel superior) through the Edital Ciencias do Mar(Coordenacao de Aperfeicoamento de Pessoal de Nivel Superior (CAPES)); Directorate For Geosciences(National Science Foundation (NSF)NSF - Directorate for Geosciences (GEO))</t>
  </si>
  <si>
    <t>The first author thanks the Brazilian National Council of Research (CNPq/PDE OC 200424/2005) for a postdoctoral fellowship grant at the University of Delaware. The PLATA Cruises and some laboratory work were financially supported by the U.S. Office of Naval Research (ONR, Grant N00014-02-1-0295), the Inter-American Institute for Global Change Research (IAI, Grant SACC/CRN-061), and the Fundacao de Amparo a Pesquisa do Estado de Sao Paulo (FAPESP, Grant 2004/01950-3). We are also grateful for the analytical contribution (Suspension matter, organic matter, silicate, nitrate and nitrite) from Elisabete de Santis Braga, Vitor Chiozzine and Glaucia Berbel from Oceanographic Institute of Sao Paulo, Brazil. We gratefully acknowledge the help of personnel from DHN (Brazil), SHN (Argentina), and SOHMA (Uruguay) in obtaining all necessary clearance. SeCIRM provided fuel for the Summer Cruise. Special thanks are due to the crew of the Argentinean oceanographic vessel Ara Puerto Deseado and the Brazilian oceanographic vessel Antares for their help with sample collection. Our last thanks goes to Dra. Helenice Vital and the funding agency Capes (Coordenacao de aperfeicoamento de Pessoal de nivel superior) through the Edital Ciencias do Mar 207/2010 for the Post Doc Fellowship for the first author at Laboratorio de Geologia e Geofisica Marinha e Monitoramento Ambiental da Universidade Federal do Rio Grande do Norte (GGEMMA-UFRN-Brazil) providing means for this research to be published.</t>
  </si>
  <si>
    <t>INT INST ECOLOGY</t>
  </si>
  <si>
    <t>SAO CARLOS</t>
  </si>
  <si>
    <t>RUA BENTO CARLOS, 750 - CENTRO, SAO CARLOS, SP 00000, BRAZIL</t>
  </si>
  <si>
    <t>1519-6984</t>
  </si>
  <si>
    <t>1678-4375</t>
  </si>
  <si>
    <t>BRAZ J BIOL</t>
  </si>
  <si>
    <t>Braz. J. Biol.</t>
  </si>
  <si>
    <t>S</t>
  </si>
  <si>
    <t>10.1590/S1519-69842012000400010</t>
  </si>
  <si>
    <t>011UN</t>
  </si>
  <si>
    <t>WOS:000309190900008</t>
  </si>
  <si>
    <t>Liu, C; Chen, CX; Zhang, XY; Yu, Y; Liu, A; Li, GW; Chen, XL; Chen, B; Zhou, BC; Zhang, YZ</t>
  </si>
  <si>
    <t>Liu, Chang; Chen, Chun-Xiao; Zhang, Xi-Ying; Yu, Yong; Liu, Ang; Li, Guo-Wei; Chen, Xiu-Lan; Chen, Bo; Zhou, Bai-Cheng; Zhang, Yu-Zhong</t>
  </si>
  <si>
    <t>Marinobacter antarcticus sp nov., a halotolerant bacterium isolated from Antarctic intertidal sandy sediment</t>
  </si>
  <si>
    <t>MODERATELY HALOPHILIC BACTERIUM; SEA-WATER; DEOXYRIBONUCLEIC-ACID; DNA HYBRIDIZATION; MARINE; IDENTIFICATION; BRINE</t>
  </si>
  <si>
    <t>A Gram-staining-negative, aerobic, motile, oxidase- and catalase-positive, rod-shaped strain, designated ZS2-30(T), was isolated from Antarctic intertidal sandy sediment. The strain grew at 4-35 degrees C (optimum, 25 degrees C) and in 0-25% (w/v) NaCl (optimum, 3.0-4.0%). It could reduce nitrate to nitrite and hydrolyse Tween 80. The predominant cellular fatty acids of strain ZS2-30(T) were summed feature 3 (C-16:1 omega 7c and/or C-16:1 omega 6c), C-16:0, C-18:1 omega 9c, C-16:1 omega 9c, C-12:0 3-OH and C-12:0. The major polar lipids were phosphatidylethanolamine, phosphatidylglycerol, diphosphatidylglycerol and an unidentified aminophospholipid. The genomic DNA G+C content of strain ZS2-30(T) was 55.8 mol%. Analyses of 16S rRNA gene sequences revealed that strain ZS2-30(T) was affiliated with the genus Marinobacter. It showed highest 16S rRNA gene sequence similarities to the type strains of three species of the genus Marinobacter, namely Marinobacter maritimus (98.3 %), Marinobacter psychrophilus (98.1 %) and Marinobacter goseongensis (97.1%), but the DNA DNA relatedness values between strain ZS2-30(T) and the above three species were all lower than 45%. Moreover, strain ZS2-30(T) could be distinguished from closely related species of the genus Marinobacter by various phenotypic properties. Based on this taxonomic study using a polyphasic approach, strain ZS2-30(T) is considered to represent a novel species in the genus Marinobacter, for which the name Marinobacter antarcticus sp. nov. is proposed. The type strain of Marinobacter antarcticus is ZS2-30(T) (=CGMCC 1.10835(T)=KCTC 23684(T)).</t>
  </si>
  <si>
    <t>[Liu, Chang; Chen, Chun-Xiao; Zhang, Xi-Ying; Liu, Ang; Li, Guo-Wei; Chen, Xiu-Lan; Zhou, Bai-Cheng; Zhang, Yu-Zhong] Shandong Univ, Marine Biotechnol Res Ctr, State Key Lab Microbial Technol, Jinan 250100, Peoples R China; [Yu, Yong; Chen, Bo] Polar Res Inst China, SOA Key Lab Polar Sci, Shanghai 200136, Peoples R China</t>
  </si>
  <si>
    <t>Shandong University; Polar Research Institute of China</t>
  </si>
  <si>
    <t>Zhang, XY (corresponding author), Shandong Univ, Marine Biotechnol Res Ctr, State Key Lab Microbial Technol, Jinan 250100, Peoples R China.</t>
  </si>
  <si>
    <t>zhangxiying@sdu.edu.cn</t>
  </si>
  <si>
    <t>Yan, Miaochen/JLL-5061-2023; Zhang, Xi/HJH-1211-2023; Liu, Ang/AAJ-7281-2020</t>
  </si>
  <si>
    <t>National Natural Science Foundation of China [40876072, 31025001, 31070061]; Hi-Tech Research and Development program of China [2011AA090703]; Special Fund of China for Marine-scientific Research in the Public Interest [201005032-6]; Natural Science Foundation of Shandong Province, China [JQ200910, ZR2009DZ002]; Foundation for Young Excellent Scientists in Shandong Province, China [2007BS07007, BS2010SW015]</t>
  </si>
  <si>
    <t>National Natural Science Foundation of China(National Natural Science Foundation of China (NSFC)); Hi-Tech Research and Development program of China(National High Technology Research and Development Program of China); Special Fund of China for Marine-scientific Research in the Public Interest; Natural Science Foundation of Shandong Province, China(Natural Science Foundation of Shandong Province); Foundation for Young Excellent Scientists in Shandong Province, China</t>
  </si>
  <si>
    <t>The work was supported by National Natural Science Foundation of China (40876072, 31025001, 31070061), Hi-Tech Research and Development program of China (2011AA090703), Special Fund of China for Marine-scientific Research in the Public Interest (201005032-6), Natural Science Foundation of Shandong Province, China (JQ200910, ZR2009DZ002), Foundation for Young Excellent Scientists in Shandong Province, China (2007BS07007, BS2010SW015).</t>
  </si>
  <si>
    <t>10.1099/ijs.0.035774-0</t>
  </si>
  <si>
    <t>006VZ</t>
  </si>
  <si>
    <t>WOS:000308849000020</t>
  </si>
  <si>
    <t>Srinivas, TNR; Reddy, PVV; Begum, Z; Manasa, P; Shivaji, S</t>
  </si>
  <si>
    <t>Srinivas, T. N. R.; Reddy, P. Vishnu Vardhan; Begum, Z.; Manasa, P.; Shivaji, S.</t>
  </si>
  <si>
    <t>Oceanisphaera arctica sp nov., isolated from Arctic marine sediment, and emended description of the genus Oceanisphaera</t>
  </si>
  <si>
    <t>HALOPHILIC BACTERIUM; IDENTIFICATION; MICROORGANISMS; ANTARCTICA; SEQUENCES; TOOL; DNA</t>
  </si>
  <si>
    <t>A novel Gram-staining-negative, coccoid, non-motile bacterium, designated strain V1-41(T), was isolated from a sample of marine sediment collected, at a depth of 200 m, from Kongsfjorden (an inlet on the west coast of Spitsbergen, an island that forms part of the Svalbard archipelago in the Arctic Ocean). The strain formed cream brown colonies on marine agar. Cells of the novel strain were positive in tests for catalase, oxidase, lysine decarboxylase and ornithine decarboxylase activities but negative for gelatinase and lipase activities. They hydrolysed aesculin, starch and urea, but not casein or DNA. Most of the cellular fatty acids were medium-chain and saturated (37.1%) or long-chain and unsaturated (27.8 %), with C-12:0 (37.1 %), C-18:1 omega 7C, and summed features 2 (19.3%) and 3 (24.1%) predominating. The major respiratory quinone was Q-8. The polar lipids consisted of phosphatidylethanolamine, phosphatidylglycerol, diphosphatidylglycerol, two unidentified aminophospholipids, four unidentified phospholipids and one other unidentified lipid. Phylogenetic analysis based on 16S rRNA gene sequences indicated that the novel strain's closest known relatives were Oceanisphaera litoralis DSM 15406(T) (98.5 % sequence similarity) and Oceanisphaera donghaensis BL1(T) (98.3%). In DNA-DNA hybridizations, however, the levels of relatedness between strain V1-41(T) and O. litoralis DSM 15406(T) and between the novel strain and O. donghaensis DSM 17589(T) were found to be only 19% and 29%, respectively. Based on these low levels of similarity at the DNA DNA level and the phenotypic and chemotaxonomic differences from O. litoralis DSM 15406(T) and O. donghaensis DSM 17589(T), strain V1-41(T) represents a novel species of the genus Oceanisphaera for which the name Oceanisphaera arctica sp. nov. is proposed. The type strain is V1-41(T) (=CCUG 58690(T)=KCTC 23013(T)=NBRC 106171(T)).</t>
  </si>
  <si>
    <t>[Srinivas, T. N. R.; Reddy, P. Vishnu Vardhan; Begum, Z.; Manasa, P.; Shivaji, S.] Ctr Cellular &amp; Mol Biol, Hyderabad 500007, Andhra Pradesh, India</t>
  </si>
  <si>
    <t>National Centre for Antarctic and Ocean Research, Goa; Department of Biotechnology, New Delhi; Network Project on Biodiversity of the Indian Council of Scientific and Industrial Research (CSIR); CSIR</t>
  </si>
  <si>
    <t>National Centre for Antarctic and Ocean Research, Goa; Department of Biotechnology, New Delhi(Department of Biotechnology (DBT) India); Network Project on Biodiversity of the Indian Council of Scientific and Industrial Research (CSIR); CSIR(Council of Scientific &amp; Industrial Research (CSIR) - India)</t>
  </si>
  <si>
    <t>S.S. is thankful to the National Centre for Antarctic and Ocean Research, Goa, the Department of Biotechnology, New Delhi, and the Network Project on Biodiversity of the Indian Council of Scientific and Industrial Research (CSIR), for funding. T. N. R. S. also acknowledges the support of the CSIR, via the award of a Research Associateship.</t>
  </si>
  <si>
    <t>10.1099/ijs.0.036475-0</t>
  </si>
  <si>
    <t>WOS:000308849000034</t>
  </si>
  <si>
    <t>Fukuda, W; Yamada, K; Miyoshi, Y; Okuno, H; Atomi, H; Imanaka, T</t>
  </si>
  <si>
    <t>Fukuda, Wakao; Yamada, Kozo; Miyoshi, Yuki; Okuno, Hirokazu; Atomi, Haruyuki; Imanaka, Tadayuki</t>
  </si>
  <si>
    <t>Rhodoligotrophos appendicifer gen. nov., sp nov., an appendaged bacterium isolated from a freshwater Antarctic lake</t>
  </si>
  <si>
    <t>NONSULFUR BACTERIUM; ISOPRENOID QUINONES; RHODOBIUM-PFENNIGII; ALPHAPROTEOBACTERIA; ORIENTIS; SEQUENCE; MARINUM; MEMBER</t>
  </si>
  <si>
    <t>A Gram-stain-negative, non-spore-forming, non-motile, irregularly circular, aerobic/microaerobic appendaged bacterium (strain 120-1(T)) was isolated from Naga-ike, one of the freshwater lakes in the Skarvsnes ice-free area of Antarctica. Strain 120-1(T) grew between 5 and 35 degrees C, with optimum growth at 30 degrees C. The pH range for growth was between 6.0 and 9.0 (optimum of approximately pH 7.0). The range of NaCl concentration allowing growth of strain 120-1(T) was between 0 and 5.0%, with an optimum of 0.5-1.0%. Strain 120-1(T) was able to utilize organic compounds such as glucose, arabinose, gluconate, adipate and malate. Red colonies were formed on plate medium and the carotenoids were present in the cells. Ubiquinones Q-9 and Q-10 were the major respiratory quinones. The major cellular fatty acids were C-16:0, C-18:1 omega 9c and C-18:1 omega 7c. The G+C content of the genomic DNA was 61.1 mol%. Comparative analyses of 16S rRNA gene sequences and physiological characteristics of strain 120-1(T) indicate that strain 120-1(T) is a phylogenetically novel bacterium, and that it represents a novel species in a new genus, Rhodoligotrophos gen. nov., in the order Rhizobiales, family Rhodobiaceae. The name Rhodoligotrophos appendicifer gen. nov. sp. nov. is proposed as the type species of this new genus, with 120-1(T) (=JCM 16873(T)=ATCC BAA-2115(T)) as the type strain.</t>
  </si>
  <si>
    <t>[Fukuda, Wakao; Yamada, Kozo; Okuno, Hirokazu; Imanaka, Tadayuki] Ritsumeikan Univ, Dept Biotechnol, Coll Life Sci, Kusatsu, Shiga 5258577, Japan; [Miyoshi, Yuki; Atomi, Haruyuki] Kyoto Univ, Dept Synthet Chem &amp; Biol Chem, Grad Sch Engn, Nishikyo Ku, Kyoto 6158510, Japan</t>
  </si>
  <si>
    <t>Ritsumeikan University; Kyoto University</t>
  </si>
  <si>
    <t>Imanaka, T (corresponding author), Ritsumeikan Univ, Dept Biotechnol, Coll Life Sci, 1-1-1 Nojihigashi, Kusatsu, Shiga 5258577, Japan.</t>
  </si>
  <si>
    <t>imanaka@sk.ritsumei.ac.jp</t>
  </si>
  <si>
    <t>Atomi, Haruyuki/0000-0001-9687-6426</t>
  </si>
  <si>
    <t>JSPS KAKENHI [19205022, 23657068]; Grants-in-Aid for Scientific Research [23657068, 19205022] Funding Source: KAKEN</t>
  </si>
  <si>
    <t>The authors would like to express their sincere thanks to all members involved in the 46th Japanese Antarctic Research Expedition. This study was supported by JSPS KAKENHI (19205022 and 23657068).</t>
  </si>
  <si>
    <t>CHARLES DARWIN HOUSE, 12 ROGER ST, LONDON WC1N 2JU, ERKS, ENGLAND</t>
  </si>
  <si>
    <t>10.1099/ijs.0.032953-0</t>
  </si>
  <si>
    <t>WOS:000308849000037</t>
  </si>
  <si>
    <t>Kumar, PA; Srinivas, TNR; Manasa, P; Madhu, S; Shivaji, S</t>
  </si>
  <si>
    <t>Kumar, P. Anil; Srinivas, T. N. R.; Manasa, P.; Madhu, S.; Shivaji, S.</t>
  </si>
  <si>
    <t>Lutibaculum baratangense gen. nov., sp nov., a proteobacterium isolated from a mud volcano</t>
  </si>
  <si>
    <t>MARINE BACTERIUM; EPSILON-PROTEOBACTERIA; RECLASSIFICATION; IDENTIFICATION</t>
  </si>
  <si>
    <t>A novel Gram-negative, oval to rod-shaped, motile bacterium, strain AMV1(T), was isolated from a soil sample collected from a mud volcano of Baratang Island, Andamans, India. The predominant fatty acids were C-16:0 (5.7%), C-18:1 omega 7c (78.6%) and C-19:0 cyclo omega 8c (6.3%). Strain AMV1(T) contained ubiquinone 10 (Q-10) as the major respiratory quinone and minor quantities of ubiquinone 9 (Q-9). The polar lipids consisted of diphosphatidylglycerol, phosphatidylglycerol, phosphatidylethanolamine, three unidentified lipids, one unidentified phospholipid and one unidentified aminolipid. 16S rRNA gene sequence analysis indicated that strain AMV1(T) was related most closely to the type strains of Tepidamorphus gemmatus, Bauldia consociata, Afifella pfennigii and Amorphus coralli, four members of the order Rhizobiales (class Alphaproteobacteria), with pairwise sequence similarities of 95.0, 94.5, 94.4 and 94.0%, respectively; it shared &lt;94 % 16S rRNA gene sequence similarity with all the other members of the order Rhizobiales. Phylogenetic analyses indicated that strain AMV1(T) clustered with Tepidamorphus gemmatus and with species of the genera Amorphus, Rhodobium and Afifella. Phenotypic and phylogenetic characteristics thus suggest that strain AMV1(T) is a representative of a novel species of a new genus, for which the name Lutibaculum baratangense gen. nov., sp. nov. is proposed. The type strain of Lutibaculum baratangense is AMV1(T) (=KCTC 22669(T)=NBRC 105799(T)=CCUG 58046(T)).</t>
  </si>
  <si>
    <t>[Kumar, P. Anil; Srinivas, T. N. R.; Manasa, P.; Madhu, S.; Shivaji, S.] Ctr Cellular &amp; Mol Biol, Hyderabad 500007, Andhra Pradesh, India</t>
  </si>
  <si>
    <t>shivaji, sisinthy/0000-0003-0376-4658; Bhamidimarri, Poorna Manasa/0000-0002-7418-0492</t>
  </si>
  <si>
    <t>National Centre for Antarctic and Ocean Research, Goa; Department of Biotechnology, New Delhi; CSIR Network Project on Biodiversity; CSIR, Government of India</t>
  </si>
  <si>
    <t>National Centre for Antarctic and Ocean Research, Goa; Department of Biotechnology, New Delhi(Department of Biotechnology (DBT) India); CSIR Network Project on Biodiversity; CSIR, Government of India(Council of Scientific &amp; Industrial Research (CSIR) - India)</t>
  </si>
  <si>
    <t>S. S. is grateful to the National Centre for Antarctic and Ocean Research, Goa, Department of Biotechnology, New Delhi, and the CSIR Network Project on Biodiversity for funding. S. S. thanks S. Lalita for collecting the sample. T. N. R. S. acknowledges the CSIR, Government of India, for the award of a Research Associateship.</t>
  </si>
  <si>
    <t>10.1099/ijs.0.036350-0</t>
  </si>
  <si>
    <t>WOS:000308849000050</t>
  </si>
  <si>
    <t>Riet-Sapriza, FG; Duignan, PJ; Chilvers, BL; Wilkinson, IS; Lopez-Villalobos, N; Mackenzie, DDS; MacGibbon, A; Costa, DP; Gales, N</t>
  </si>
  <si>
    <t>Riet-Sapriza, Federico G.; Duignan, Padraig J.; Chilvers, B. Louise; Wilkinson, Ian S.; Lopez-Villalobos, Nicolas; Mackenzie, Duncan D. S.; MacGibbon, Alastair; Costa, Dan P.; Gales, Nick</t>
  </si>
  <si>
    <t>Interannual and individual variation in milk composition of New Zealand sea lions (Phocarctos hookeri)</t>
  </si>
  <si>
    <t>JOURNAL OF MAMMALOGY</t>
  </si>
  <si>
    <t>energy; lipid; milk; New Zealand sea lions; Phocarctos hookeri; protein</t>
  </si>
  <si>
    <t>ARCTOCEPHALUS-PUSILLUS; FUR-SEAL; LACTATION STRATEGIES; NEOPHOCA-CINEREA; BODY CONDITION; GROWTH; ENERGETICS; SURVIVAL; REPRODUCTION; VARIABILITY</t>
  </si>
  <si>
    <t>In this study 308 milk samples were collected and analyzed from 181 individual female New Zealand sea lions (NZ sea lions; Phocarctos hookeri) breeding on Enderby Island (Auckland Islands). Samples were collected from the 1st part of early lactation (January and February) over a period of 7 years (1997, 1999-2003, and 2005). The effect of year, month, and maternal characteristics (body mass, body condition index [BCI], and age class) on the composition of milk was evaluated using a mixed model for repeated measures. The gross composition (+/- SD) of the milk was lipid (21.3% +/- 8.1%), protein (9.4% +/- 2.4%), water (67.9% +/- 8.8%), ash (0.48% +/- 0.06%), and energy content (10.3 +/- 3.2 kJ/g). Overall, the quality of milk of the NZ sea lions in this study was relatively lower in solids and fats than that of other pinnipeds and, in particular, other sea lion species. There were significant effects of year and month on the concentration of lipids in milk, and of year and maternal age class on maternal body mass and BCI. There were significant relationships between various maternal characteristics and milk composition. Thus, the concentration of milk lipids was significantly correlated with maternal BCI, body mass, and pup age. Given that NZ sea lions are a nationally critical species in decline, the relationship between the temporal (yearly and monthly) variations in milk composition, maternal body mass, reproductive success, and changes in food supply in relation to natural perturbations or fisheries resource competition warrants further investigation to disentangle this relationship and implement appropriate management initiatives.</t>
  </si>
  <si>
    <t>[Chilvers, B. Louise; Wilkinson, Ian S.] Dept Conservat, Aquat &amp; Threats Unit, Wellington 6011, New Zealand; [Mackenzie, Duncan D. S.] Massey Univ, Inst Food Nutr &amp; Human Hlth, Palmerston North 4442, New Zealand; [MacGibbon, Alastair] Fonterra Res Ctr, Palmerston North 4442, New Zealand; [Costa, Dan P.] Univ Calif Santa Cruz, Dept Ecol &amp; Evolutionary Biol, Santa Cruz, CA 95064 USA; [Gales, Nick] Australian Antarctic Div, Kingston, Tas 7050, Australia; [Duignan, Padraig J.] Massey Univ, Inst Vet Anim &amp; Biomed Sci, New Zealand Wildlife Ctr, Palmerston North 4442, New Zealand</t>
  </si>
  <si>
    <t>Massey University; Fonterra; University of California System; University of California Santa Cruz; Australian Antarctic Division; Massey University</t>
  </si>
  <si>
    <t>Riet-Sapriza, FG (corresponding author), Fac Ciencias UDELAR, Secc Etol, Proyecto Pinnipedos, Cetaceos Uruguay, Igua 4225,CP 11400, Montevideo, Uruguay.</t>
  </si>
  <si>
    <t>frietsapriza@gmail.com</t>
  </si>
  <si>
    <t>Chilvers, B. Louise/AAV-1965-2021; Carlos, Universidade Federal de São/W-8832-2019; Wilkinson, Ian S/ABG-2772-2020; MacGibbon, Alastair Kenneth Hugh/AAE-4692-2022; Lopez-Villalobos, Nicolas/O-3267-2013; Costa, Daniel Paul/E-2616-2013</t>
  </si>
  <si>
    <t>Chilvers, B. Louise/0000-0002-7657-4217; Carlos, Universidade Federal de São/0000-0002-0334-3899; MacGibbon, Alastair Kenneth Hugh/0000-0002-1223-3501; Riet, Federico/0000-0002-6568-2802; Lopez-Villalobos, Nicolas/0000-0001-6611-907X; Costa, Daniel Paul/0000-0002-0233-5782</t>
  </si>
  <si>
    <t>Massey University Research Fund; Lewis Fitch and McGeorge Fund; Whale and Dolphin Adoption Project; Department of Conservation; Fonterra Research Centre, New Zealand</t>
  </si>
  <si>
    <t>Massey University Research Fund; Lewis Fitch and McGeorge Fund; Whale and Dolphin Adoption Project; Department of Conservation; Fonterra Research Centre, New Zealand(Fonterra)</t>
  </si>
  <si>
    <t>We appreciate valuable reviews and editorial comments of our manuscript provided by 2 anonymous referees. We are indebted to M. Langer and M. Stockman for reviewing and improving the grammar of the manuscript. We are grateful to L. Meynier for her ideas and comments on later drafts of the manuscript. We thank the Department of Conservation Southland, and also A. Castinel, W. Hockley, and all Department of Conservation staff for logistical support and assistance in the field. We are grateful to E. Conaghan, Y. van der Does, and D. Kreegher (milk mineral analysis) for their invaluable help and their technical support with laboratory analysis at Fonterra Research Centre, Palmerston North, New Zealand. Approval for the handling and capture of NZ sea lions and collection of milk samples was obtained from the Department of Conservation Animal Ethics Committee (approval AEC86; 1 July 1999). This project was supported by grants from Massey University Research Fund, Lewis Fitch and McGeorge Fund, Whale and Dolphin Adoption Project, Department of Conservation, and Fonterra Research Centre, New Zealand.</t>
  </si>
  <si>
    <t>0022-2372</t>
  </si>
  <si>
    <t>1545-1542</t>
  </si>
  <si>
    <t>J MAMMAL</t>
  </si>
  <si>
    <t>J. Mammal.</t>
  </si>
  <si>
    <t>10.1644/11-MAMM-A-220.2</t>
  </si>
  <si>
    <t>009GN</t>
  </si>
  <si>
    <t>WOS:000309014200011</t>
  </si>
  <si>
    <t>Campusano, CA; Ruz, PM; Oliva, ME</t>
  </si>
  <si>
    <t>Adriana Campusano, Carla; Mariela Ruz, Paula; Enrique Oliva, Marcelo</t>
  </si>
  <si>
    <t>Limatula chilensis sp nov A new Limidae (Mollusca: Bivalvia) from northern Chile</t>
  </si>
  <si>
    <t>REVISTA DE BIOLOGIA MARINA Y OCEANOGRAFIA</t>
  </si>
  <si>
    <t>Humboldt Current system; Chile; new species</t>
  </si>
  <si>
    <t>DEEP-WATER; BAY</t>
  </si>
  <si>
    <t>Limatula chilensis sp. nov. is described on the basis of shell morphology and soft tissue anatomy. Studied individuals were obtained periodically between June 2008 and January 2009 from sublittoral soft-sediments off Punta Coloso in northern Chile at depths of 22 to 33 m. Shell morphology of the new species differs from the 4 described species of Limatula from the Pacific coast of South America and Antarctic Peninsula (5 degrees-65 degrees S). Main characteristics of L. chilensis include an average height of 3.50 mm (range 2.36-4.42, SD +/- 0.60, n = 34), number of radial ribs 16-21 (mode = 20, SD= 1.69, n = 8) and greater shell obliqueness. L. chilensis is the only known species of the genus found off northern Chile.</t>
  </si>
  <si>
    <t>[Adriana Campusano, Carla; Mariela Ruz, Paula; Enrique Oliva, Marcelo] Univ Antofagasta, Fac Recursos Mar, Inst Invest Oceanol, Antofagasta, Chile</t>
  </si>
  <si>
    <t>Universidad de Antofagasta</t>
  </si>
  <si>
    <t>Campusano, CA (corresponding author), Univ Antofagasta, Fac Recursos Mar, Inst Invest Oceanol, POB 170, Antofagasta, Chile.</t>
  </si>
  <si>
    <t>meoliva@uantof.cl</t>
  </si>
  <si>
    <t>Ruz-Moreno, Paula M./AAZ-6693-2021; Oliva, Marcelo Enrique/O-7080-2016</t>
  </si>
  <si>
    <t>Ruz-Moreno, Paula M./0000-0001-5167-2999; Oliva, Marcelo Enrique/0000-0003-1759-2797</t>
  </si>
  <si>
    <t>UNIV VALPARAISO</t>
  </si>
  <si>
    <t>FACULTAD CIENCIAS MAR RECURSOS NATURALES, CASILLA 5080 - RENACA, VINA DEL MAR, 00000, CHILE</t>
  </si>
  <si>
    <t>0717-3326</t>
  </si>
  <si>
    <t>0718-1957</t>
  </si>
  <si>
    <t>REV BIOL MAR OCEANOG</t>
  </si>
  <si>
    <t>Rev. Biol. Mar. Oceanogr.</t>
  </si>
  <si>
    <t>10.4067/S0718-19572012000200012</t>
  </si>
  <si>
    <t>006CM</t>
  </si>
  <si>
    <t>WOS:000308797000012</t>
  </si>
  <si>
    <t>Leong, D; Ross, T; Lavery, A</t>
  </si>
  <si>
    <t>Leong, Doris; Ross, Tetjana; Lavery, Andone</t>
  </si>
  <si>
    <t>Anisotropy in high-frequency broadband acoustic backscattering in the presence of turbulent microstructure and zooplankton</t>
  </si>
  <si>
    <t>JOURNAL OF THE ACOUSTICAL SOCIETY OF AMERICA</t>
  </si>
  <si>
    <t>ANTARCTIC KRILL; SCATTERING; ORIENTATION; DISSIPATION; TEMPERATURE; CLASSIFICATION; EUPHAUSIIDS; GENERATION; INFERENCE; BEHAVIOR</t>
  </si>
  <si>
    <t>High-frequency broadband (120-600 kHz) acoustic backscattering measurements have been made in the vicinity of energetic internal waves. The transducers on the backscattering system could be adjusted so as to insonify the water-column either vertically or horizontally. The broadband capabilities of the system allowed spectral classification of the backscattering. The distribution of spectral shapes is significantly different for scattering measurements made with the transducers oriented horizontally versus vertically, indicating that scattering anisotropy is present. However, the scattering anisotropy could not be unequivocally explained by either turbulent microstructure or zooplankton, the two primary sources of scattering expected in internal waves. Daytime net samples indicate a predominance of short-aspect-ratio zooplankton. Using zooplankton acoustic scattering models, a preferential orientation of the observed zooplankton cannot explain the measured anisotropy. Yet model predictions of scattering from anisotropic turbulent microstructure, with inputs from coincident microstructure measurements, were not consistent with the observations. Possible explanations include bandwidth limitations that result in many spectra that cannot be unambiguously attributed to turbulence or zooplankton based on spectral shape. Extending the acoustic bandwidth to cover the range from 50 kHz to 2MHz could help improve identification of the dominant sources of backscattering anisotropy. (C) 2012 Acoustical Society of America. [http://dx.doi.org/10.1121/1.4730904]</t>
  </si>
  <si>
    <t>[Leong, Doris; Ross, Tetjana] Dalhousie Univ, Dept Oceanog, Halifax, NS B3H 4J1, Canada; [Lavery, Andone] Woods Hole Oceanog Inst, Woods Hole, MA 02543 USA</t>
  </si>
  <si>
    <t>Dalhousie University; Woods Hole Oceanographic Institution</t>
  </si>
  <si>
    <t>Leong, D (corresponding author), Dalhousie Univ, Dept Oceanog, Halifax, NS B3H 4J1, Canada.</t>
  </si>
  <si>
    <t>doris.leong@geog.ubc.ca</t>
  </si>
  <si>
    <t>Ross, Tetjana/E-4073-2010</t>
  </si>
  <si>
    <t>Ross, Tetjana/0000-0002-3351-2622</t>
  </si>
  <si>
    <t>ACOUSTICAL SOC AMER AMER INST PHYSICS</t>
  </si>
  <si>
    <t>MELVILLE</t>
  </si>
  <si>
    <t>STE 1 NO 1, 2 HUNTINGTON QUADRANGLE, MELVILLE, NY 11747-4502 USA</t>
  </si>
  <si>
    <t>0001-4966</t>
  </si>
  <si>
    <t>1520-8524</t>
  </si>
  <si>
    <t>J ACOUST SOC AM</t>
  </si>
  <si>
    <t>J. Acoust. Soc. Am.</t>
  </si>
  <si>
    <t>10.1121/1.4730904</t>
  </si>
  <si>
    <t>Acoustics; Audiology &amp; Speech-Language Pathology</t>
  </si>
  <si>
    <t>010FD</t>
  </si>
  <si>
    <t>WOS:000309079200026</t>
  </si>
  <si>
    <t>Niihara, T; Kaiden, H; Misawa, K; Sekine, T; Mikouchi, T</t>
  </si>
  <si>
    <t>Niihara, Takafumi; Kaiden, Hiroshi; Misawa, Keiji; Sekine, Toshimori; Mikouchi, Takashi</t>
  </si>
  <si>
    <t>U-Pb isotopic systematics of shock-loaded and annealed baddeleyite: Implications for crystallization ages of Martian meteorite shergottites</t>
  </si>
  <si>
    <t>U-Pb systematics; baddeleyite; shock-recovery experiments; annealing experiments; SHRIMP II; Martian meteorites</t>
  </si>
  <si>
    <t>TEMPERATURE PHASE-DIAGRAM; OXYGEN FUGACITY; HIGH-PRESSURE; SM-ND; NORTH KONA; RB-SR; DIFFUSION; BASALTS; EVOLUTION; ZIRCON</t>
  </si>
  <si>
    <t>Shock-recovery and annealing experiments on basalt-baddeleyite mixtures were undertaken to evaluate shock effects on U-Pb isotopic systematics of baddeleyite. Shock pressures up to 57 GPa caused fracturing of constituent phases, mosaicism of olivine, maskelynitization of plagioclase, and melting, but the phase transition from monoclinic baddeleyite structure to high-pressure/temperature polymorphs of ZrO2 was not confirmed. The U-Pb isotopic systems of the shock-loaded baddeleyite did not show a large-scale isotopic disturbance. The samples shock-recovered from 47 GPa were then employed for annealing experiments at 1000 or 1300 degrees C, indicating that the basalt-baddeleyite mixture was almost totally melted except olivine and baddeleyite. Fine-grained euhedral zircon crystallized from the melt was observed around the relict baddeleyite in the sample annealed at 1300 degrees C for 1 h. The U-Pb isotopic systems of baddeleyite showed isotopic disturbances: many data points for the samples annealed at 1000 degrees C plotted above the concordia. Both radiogenic lead loss/uranium gain and radiogenic lead gain/uranium loss were observed in the baddeleyite annealed at 1300 degrees C. Complete radiogenic lead loss due to shock metamorphism and subsequent annealing was not observed in the shock-loaded/annealed baddeleyites studied here. These results confirm that the U-Pb isotopic systematics of baddeleyite are durable for shock metamorphism. Since shergottites still preserve FeMg and/or Ca zonings in major constituent phases (i.e. pyroxene and olivine), the shock effects observed in Martian baddeleyites seem to be less intense compared to that under the present experimental conditions. An implication is that the U-Pb systems of baddeleyite in shergottites will provide crystallization ages of Martian magmatic rocks. (C) 2012 Elsevier B.V. All rights reserved.</t>
  </si>
  <si>
    <t>[Niihara, Takafumi; Kaiden, Hiroshi; Misawa, Keiji] Grad Univ Adv Studies, Dept Polar Sci, Tokyo 1908518, Japan; [Niihara, Takafumi; Kaiden, Hiroshi; Misawa, Keiji] Natl Inst Polar Res, Antarctic Meteorite Res Ctr, Tokyo 1908518, Japan; [Sekine, Toshimori] Natl Inst Mat Sci, Tsukuba, Ibaraki 3050044, Japan; [Mikouchi, Takashi] Univ Tokyo, Dept Earth &amp; Planetary Sci, Tokyo 1130033, Japan</t>
  </si>
  <si>
    <t>Graduate University for Advanced Studies - Japan; Research Organization of Information &amp; Systems (ROIS); National Institute of Polar Research (NIPR) - Japan; National Institute for Materials Science; University of Tokyo</t>
  </si>
  <si>
    <t>Niihara, T (corresponding author), Univ Space Res Assoc, Ctr Lunar Sci &amp; Explorat, Lunar &amp; Planetary Inst, 3600 Bay Area Blvd, Houston, TX 77058 USA.</t>
  </si>
  <si>
    <t>niihara@lpi.usra.edu</t>
  </si>
  <si>
    <t>Mikouchi, Takashi/AAY-7355-2021</t>
  </si>
  <si>
    <t>Niihara, Takafumi/0000-0001-9535-6728; Mikouchi, Takashi/0000-0002-9998-8754</t>
  </si>
  <si>
    <t>JSPS [B-13440151]; NIPR research project funds [B-22340167, KP-6]; NIPR; Grants-in-Aid for Scientific Research [13440151, 22340167] Funding Source: KAKEN</t>
  </si>
  <si>
    <t>JSPS(Ministry of Education, Culture, Sports, Science and Technology, Japan (MEXT)Japan Society for the Promotion of Science); NIPR research project funds; NIPR(National Institute of Polar Research (NIPR) - Japan); Grants-in-Aid for Scientific Research(Ministry of Education, Culture, Sports, Science and Technology, Japan (MEXT)Japan Society for the Promotion of ScienceGrants-in-Aid for Scientific Research (KAKENHI))</t>
  </si>
  <si>
    <t>Terrestrial basalt and Phalaborwa baddeleyite samples were kindly supplied by T. Kani of Kumamoto University and M. Ogasawara of Geological Survey of Japan, AIST, respectively. Sample collection of anorthositic gabbro from the Duluth complex was supported by JSPS, Grant-in-Aid for Scientific Research (B-13440151) to K. Shiraishi. We thank T. Kobayashi (NIMS) and NIPR staff, especially, T. Tomiyama, O. Tachikawa, T. Yokoyama, S. Ono, H. Sasaki, D. J. Dunkley, A. Yamaguchi and T. Hokada for their assistance in the laboratory work. Authors are also grateful to the staff of SHRIMP Laboratory at NIPR. Constructive comments from K. Righter, D.A. Kring, C.D.K. Herd and anonymous reviewers improved and clarified the manuscript. Furthermore, we would like to thank B. Marty for editorial handling of the manuscript. This research is partly supported by JSPS, Grant-in-Aid for Scientific Research (B-22340167) to KM and by the NIPR research project funds (KP-6). The production of this paper was supported by an NIPR publication subsidy. This is LPI contribution 1674.</t>
  </si>
  <si>
    <t>10.1016/j.epsl.2012.06.002</t>
  </si>
  <si>
    <t>003PW</t>
  </si>
  <si>
    <t>WOS:000308624800019</t>
  </si>
  <si>
    <t>Ovando, F; Gimpel, C; Cardenas, C; Da Silva, JRMC; De Lorgeril, J; Gonzalez, M</t>
  </si>
  <si>
    <t>Ovando, Fernanda; Gimpel, Carla; Cardenas, Constanza; Machado Cunha Da Silva, Jose Roberto; De Lorgeril, Julien; Gonzalez, Marcelo</t>
  </si>
  <si>
    <t>CLONING AND EXPRESSION ANALYSIS OF ALLOGRAFT INFLAMMATORY FACTOR TYPE 1 IN COELOMOCYTES OF ANTARCTIC SEA URCHIN (STERECHINUS NEUMAYERI)</t>
  </si>
  <si>
    <t>JOURNAL OF SHELLFISH RESEARCH</t>
  </si>
  <si>
    <t>Antarctica; sea urchin; Sterechinus neumayeri; coelomocytes; gene expression; AIF-1</t>
  </si>
  <si>
    <t>ODONTASTER-VALIDUS KOEHLER; IN-VITRO PHAGOCYTOSIS; SMOOTH-MUSCLE-CELLS; COMPLEMENT HOMOLOG; GENE-EXPRESSION; CALCIUM-BINDING; IMMUNE-RESPONSE; SWISS-MODEL; SPC3; IDENTIFICATION</t>
  </si>
  <si>
    <t>We have cloned and characterized for the first time an allograft inflammatory factor 1 (Sn-AIF-1) from the Antarctic sea urchin. We report the cloning of Sn-AIF-1 cDNA and the characterization of its expression in coelomocytes after a bacterial challenge. The cDNA Sn-AIF-1 has a size of 608 bp and encodes a polypeptide of 151 aa. The deduced amino acid sequence has a putative size of 17.430 Da, an isoelectric point of 4.92, and shows 2 elongation factor handlike motifs that normally bind calcium ions. BLAST analysis revealed close matches with other known AIF-1. The deduced amino acid sequence of Sn-AIF-1 showed high homology with AIF-1 in vertebrates such as fish, mice, and humans; and in the case of invertebrates, the major degree of identity (55%) was with a predicted sequence of the purple sea urchin AIF-1, and 52% corresponded to a sponge. Expression of Sn-AIF-1 mRNA was analyzed by qPCR. Sn-AIF-1 mRNA expression was measured from coelomocytes after a bacterial challenge using RT-PCR and revealed that the gene was upregulated after 24 h. Sn-AIF-1 could participate in the inflammatory response, particularly in the activation of coelomocytes and their survival.</t>
  </si>
  <si>
    <t>[Ovando, Fernanda; Gimpel, Carla; Gonzalez, Marcelo] Inst Antartico Chileno, Lab Biorrecursos Antarticos, Punta Arenas, Chile; [Cardenas, Constanza] Pontificia Univ Catolica Valparaiso, Nucleo Biotecnol Curauma, Valparaiso, Chile; [Machado Cunha Da Silva, Jose Roberto] Univ Sao Paulo, CEBIMar, Inst Ciencias Biomed 1, Dept Histol &amp; Embriol, BR-05508 Sao Paulo, Brazil; [De Lorgeril, Julien] IFREMER, CNRS, Univ Montpellier 2, IRD,UMR Ecosyst Lagunaires 5119, F-34095 Montpellier 5, France</t>
  </si>
  <si>
    <t>Pontificia Universidad Catolica de Valparaiso; Universidade de Sao Paulo; Universite de Montpellier; Centre National de la Recherche Scientifique (CNRS); Ifremer; Institut de Recherche pour le Developpement (IRD)</t>
  </si>
  <si>
    <t>Gonzalez, M (corresponding author), Inst Antartico Chileno, Lab Biorrecursos Antarticos, Plaza Munoz Gamero 1055, Punta Arenas, Chile.</t>
  </si>
  <si>
    <t>mgonzalez@inach.cl</t>
  </si>
  <si>
    <t>Cárdenas, Constanza/ABA-6477-2021; Silva, J.R.M.C./H-7496-2016; González, Marcelo/ABF-1450-2020; Julien, de Lorgeril/O-7488-2014</t>
  </si>
  <si>
    <t>Silva, J.R.M.C./0000-0002-1687-8526; Julien, de Lorgeril/0000-0002-6400-5455; Cardenas Carvajal, Constanza/0000-0002-3673-9320; Gonzalez, Marcelo/0000-0001-9986-9504</t>
  </si>
  <si>
    <t>CONICYT-Chile [Fondecyt 11090265]; Chilean Antarctic Institute (INACH) [OA-03-07]</t>
  </si>
  <si>
    <t>CONICYT-Chile(Comision Nacional de Investigacion Cientifica y Tecnologica (CONICYT)); Chilean Antarctic Institute (INACH)</t>
  </si>
  <si>
    <t>This study was supported by grants from the CONICYT-Chile (Fondecyt 11090265) and logistic support by the Chilean Antarctic Institute (INACH) by project OA-03-07. We thank Emma Newcomb and Cesar Cardenas for diving support. We acknowledge Rigofredo Veneros at the Servicio Agricola Ganadero (SAG, Punta Arenas) for providing technical facilities.</t>
  </si>
  <si>
    <t>NATL SHELLFISHERIES ASSOC</t>
  </si>
  <si>
    <t>GROTON</t>
  </si>
  <si>
    <t>C/O DR. SANDRA E. SHUMWAY, UNIV CONNECTICUT, 1080 SHENNECOSSETT RD, GROTON, CT 06340 USA</t>
  </si>
  <si>
    <t>0730-8000</t>
  </si>
  <si>
    <t>1943-6319</t>
  </si>
  <si>
    <t>J SHELLFISH RES</t>
  </si>
  <si>
    <t>J. Shellfish Res.</t>
  </si>
  <si>
    <t>10.2983/035.031.0336</t>
  </si>
  <si>
    <t>998QF</t>
  </si>
  <si>
    <t>WOS:000308254800036</t>
  </si>
  <si>
    <t>Pavlova, K; Zlatanov, M; Antova, G; Angelova-Romova, M; Georgieva, K</t>
  </si>
  <si>
    <t>Pavlova, Kostanca; Zlatanov, Magdalen; Antova, Ginka; Angelova-Romova, Maria; Georgieva, Katerina</t>
  </si>
  <si>
    <t>BIOSYNTHESIS AND CHARACTERIZATION OF EXOPOLYSACCHARIDES AND LIPIDS FROM ANTARCTIC YEASTS</t>
  </si>
  <si>
    <t>BIOTECHNOLOGY &amp; BIOTECHNOLOGICAL EQUIPMENT</t>
  </si>
  <si>
    <t>Antarctic yeasts; biosynthesis of extracellular polymeric substances; exopolysaccharides and biomass; lipids; phospholipids; fatty acids</t>
  </si>
  <si>
    <t>XYLANASE</t>
  </si>
  <si>
    <t>A laboratory technological scheme for biosynthesis of exopolysaccharides and biomass from Antarctic yeasts and extraction of phospho lipids and fatty acids from the biomass was developed. The strains Sporobolomyces salmonicolor AL(34), Cryptococcus laurentii AL(62), Isolate AL(65), Isolate AL(66), Cryptococcus laurentii AL(100) and Isolate AL(102) were selected as active producers of exopolysaccharides, and the biomass was a source of biologically active compounds. The chemical composition of the extracellular polymeric substances was analyzed and it was established that they contained about 80.0% carbohydrates, 11.4% protein, 6.0 - 9.2% ash, nucleic acids -4.7 - 6.0% and the biomass contained 10.5 - 13.5% lipids. The accumulation of polar and non-polar lipids in the biomass produced at submerged and surface cultivation of the strains was studied. The content of phospholipids was found to be 0.1 - 0.4% in the biomas and 6.3 - 50.0% in the lipid fraction. In the submerged and surface cultures of the investigated Antarctic yeasts the long-chain unsaturated fatty acids were predominant (more than 45.0%), mainly oleic acid. High contents of them were found in strain Sp. salmonicolor AL(34) (79.0%) as a result of surface cultivation and Cr laurentii AL(100)(71.3%), and Isolate AL(102) (73.4%) at submerged cultivation.</t>
  </si>
  <si>
    <t>[Zlatanov, Magdalen; Antova, Ginka; Angelova-Romova, Maria] Paisij Hilendarski Univ Plovdiv, Dept Chem Technol, BG-4000 Plovdiv, Bulgaria; [Pavlova, Kostanca; Georgieva, Katerina] Bulgarian Acad Sci, Inst Microbiol, Plovdiv, Bulgaria</t>
  </si>
  <si>
    <t>Plovdiv University; Medical University Plovdiv; Bulgarian Academy of Sciences</t>
  </si>
  <si>
    <t>Zlatanov, M (corresponding author), Paisij Hilendarski Univ Plovdiv, Dept Chem Technol, BG-4000 Plovdiv, Bulgaria.</t>
  </si>
  <si>
    <t>magzlat@uni-plovdiv.bg</t>
  </si>
  <si>
    <t>Antova, Ginka/J-9865-2019</t>
  </si>
  <si>
    <t>Antova, Ginka/0000-0002-6660-4531; Angelova-Romova, Maria/0000-0003-4704-8039</t>
  </si>
  <si>
    <t>National Science Fund of Bulgaria [DVU-02/38]; Institute of Microbiology, Bulgarian Academy of Sciences [DTK-02/46]</t>
  </si>
  <si>
    <t>National Science Fund of Bulgaria(National Science Fund of Bulgaria); Institute of Microbiology, Bulgarian Academy of Sciences</t>
  </si>
  <si>
    <t>The investigations were carried out with the financial support of the National Science Fund of Bulgaria, grant DVU-02/38 and the Institute of Microbiology, Bulgarian Academy of Sciences, Grant DTK-02/46.</t>
  </si>
  <si>
    <t>1310-2818</t>
  </si>
  <si>
    <t>1314-3530</t>
  </si>
  <si>
    <t>BIOTECHNOL BIOTEC EQ</t>
  </si>
  <si>
    <t>Biotechnol. Biotechnol. Equip.</t>
  </si>
  <si>
    <t>10.5504/BBEQ.2012.0038</t>
  </si>
  <si>
    <t>992TW</t>
  </si>
  <si>
    <t>WOS:000307803600010</t>
  </si>
  <si>
    <t>Spectral reflectance properties of carbonaceous chondrites-5: CO chondrites</t>
  </si>
  <si>
    <t>Asteroids, Composition; Mineralogy; Meteorites; Spectroscopy</t>
  </si>
  <si>
    <t>ISOLATED OLIVINE GRAINS; ISOTOPIC COMPOSITIONS; ORGANIC-MATTER; THERMAL HISTORIES; RICH INCLUSIONS; CM CHONDRITES; PARENT-BODY; METEORITES; SPECTROSCOPY; ASTEROIDS</t>
  </si>
  <si>
    <t>We examined the spectral reflectance properties of 16 CO-type carbonaceous chondrites (CCs) in order to better understand their range of spectral properties, develop spectral-compositional correlations, and provide information that may aid in the search for CO parent bodies. As a group, our CO powder spectra have some similarities and differences. COs have experienced varying degree of thermal metamorphism, with petrologic subgrades ranging from similar to CO3.0 to similar to CO3.8. Their reflectance spectra are characterized by a ubiquitous absorption feature in the 1 mu m region, and a nearly ubiquitous feature in the 2 mu m region that appears in CO &gt;3.1 spectra. The 1 mu m region feature is attributable to abundant Fe-bearing amorphous phases (and Fe-poor olivine) in the lower petrologic subtypes, which gradually transforms to more abundant and Fe-rich olivine with increasing metamorphism. The increase in depth and decrease in wavelength position of this feature are consistent with this transformation. All but the least-altered COs also exhibit an absorption feature in the 2 mu m region whose depth also generally increases with increasing metamorphic grade, resulting in increasingly blue-sloped spectra and larger band area ratios. The wavelength position and change in depth of this feature (ranging from 0% to 12.2%) is consistent with increasing Fe2+ in spinel, which is present in calcium-aluminum and ameboid olivine inclusions. Reflectance of a local reflectance maximum near 0.8 mu m increases with increasing thermal metamorphism and this is likely due to the loss and aggregation of carbonaceous phases. The increasing reflectance is negatively correlated with various measures of spectral slope (i.e., brighter = bluer), and while this cannot be uniquely attributed to any one cause, it is consistent with increasing spinel Fe2+ content and decreasing carbonaceous material abundance or aggregation. With decreasing grain size. CO spectra normally become brighter and more red-sloped. The 0.6/0.5 mu m ratios of CO falls are consistently higher than CO finds, suggesting that terrestrial weathering has affected the visible wavelength region spectral properties of finds. Unmetamorphosed CO spectra may be difficult to distinguish from the least altered CM chondrites. However above petrologic grade similar to 3.1, COs can be uniquely discriminated from Cl, CM, metamorphosed Cl and CM, and CR chondrites, by the presence of both olivine and spinel absorption bands. Some K-class asteroids exhibit olivine and spinel absorption bands, consistent with CO chondrites, although modeled olivine:spinel ratios are generally lower in these asteroids than in CO chondrites. (C) 2012 Elsevier Inc. All rights reserved.</t>
  </si>
  <si>
    <t>[Cloutis, E. A.; Mann, P.] Univ Winnipeg, Dept Geog, Winnipeg, MB R3B 2E9, Canada; [Hudon, P.] NASA Johnson Space Ctr, Astromat Res &amp; Explorat Sci Off, Houston, TX 77058 USA; [Hiroi, T.] Brown Univ, Dept Geol Sci, Providence, RI 02912 USA; [Gaffey, M. J.] Univ N Dakota, Dept Space Studies, Grand Forks, ND 58202 USA</t>
  </si>
  <si>
    <t>We wish to thank the invaluable and generous assistance provided by many individuals which made this study possible. In particular we thank the US and Japanese Antarctic meteorite programs for recovering the majority of the samples included in this study. The RELAB facility at Brown University is a multi-user facility operated with support from NASA Planetary Geology and Geophysics Grant NNG06GJ31G, whose support is gratefully acknowledged. This study was supported by an NSERC Discovery grant to EAC. We also thank the two anonymous reviewers for their insightful comments and suggestions.</t>
  </si>
  <si>
    <t>10.1016/j.icarus.2012.05.019</t>
  </si>
  <si>
    <t>996AU</t>
  </si>
  <si>
    <t>WOS:000308057200014</t>
  </si>
  <si>
    <t>Amsler, CD; McClintock, JB; Baker, BJ</t>
  </si>
  <si>
    <t>Amsler, C. D.; McClintock, J. B.; Baker, B. J.</t>
  </si>
  <si>
    <t>PALATABILITY OF LIVING AND DEAD DETACHED ANTARCTIC MACROALGAE TO CONSUMERS</t>
  </si>
  <si>
    <t>JOURNAL OF PHYCOLOGY</t>
  </si>
  <si>
    <t>[Amsler, C. D.; McClintock, J. B.] Univ Alabama Birmingham, Birmingham, AL USA; [Baker, B. J.] Univ S Florida, Tampa, FL 33620 USA</t>
  </si>
  <si>
    <t>University of Alabama System; University of Alabama Birmingham; State University System of Florida; University of South Florida</t>
  </si>
  <si>
    <t>amsler@uab.edu</t>
  </si>
  <si>
    <t>Baker, Bill/N-4312-2019</t>
  </si>
  <si>
    <t>0022-3646</t>
  </si>
  <si>
    <t>J PHYCOL</t>
  </si>
  <si>
    <t>J. Phycol.</t>
  </si>
  <si>
    <t>S35</t>
  </si>
  <si>
    <t>Plant Sciences; Marine &amp; Freshwater Biology</t>
  </si>
  <si>
    <t>982NU</t>
  </si>
  <si>
    <t>WOS:000307053000099</t>
  </si>
  <si>
    <t>Amsler, MO; Amsler, CD; Aumack, CF; McClintock, JB; Baker, BJ</t>
  </si>
  <si>
    <t>Amsler, M. O.; Amsler, C. D.; Aumack, C. F.; McClintock, J. B.; Baker, B. J.</t>
  </si>
  <si>
    <t>A POISONED RED ALGA - NO SNOW WHITE SLEEPING FAIRY TALE FOR ONE ANTARCTIC AMPHIPOD</t>
  </si>
  <si>
    <t>[Amsler, M. O.; Amsler, C. D.; McClintock, J. B.] Univ Alabama Birmingham, Birmingham, AL 35294 USA; [Baker, B. J.] Univ S Florida, Tampa, FL 33620 USA</t>
  </si>
  <si>
    <t>mamsler@uab.edu; amsler@uab.edu; caumack@ldeo.columbia.edu; mcclinto@uab.edu; bjbaker@usf.edu</t>
  </si>
  <si>
    <t>S43</t>
  </si>
  <si>
    <t>WOS:000307053000121</t>
  </si>
  <si>
    <t>Schoenrock, KM; Amsler, CD; Baker, BJ; McClintock, JB</t>
  </si>
  <si>
    <t>Schoenrock, K. M.; Amsler, C. D.; Baker, B. J.; McClintock, J. B.</t>
  </si>
  <si>
    <t>AN INVESTIGATION OF ENDOPHYTE IMPACTS ON MACROPHYTE HOST PHYSIOLOGY ALONG THE WESTERN ANTARCTIC PENINSULA</t>
  </si>
  <si>
    <t>[Schoenrock, K. M.; Amsler, C. D.; McClintock, J. B.] Univ Alabama Birmingham, Birmingham, AL USA; [Baker, B. J.] Univ S Florida, Tampa, FL 33620 USA</t>
  </si>
  <si>
    <t>ksrock@uab.edu; amsler@uab.edu; bjbaker@usf.edu; mcclinto@uab.edu</t>
  </si>
  <si>
    <t>Schoenrock, Kathryn/B-9082-2018; Baker, Bill/N-4312-2019</t>
  </si>
  <si>
    <t>S25</t>
  </si>
  <si>
    <t>S26</t>
  </si>
  <si>
    <t>WOS:000307053000071</t>
  </si>
  <si>
    <t>Birkel, SD; Putnam, AE; Denton, GH; Koons, PO; Fastook, JL; Putnam, DE; Maasch, KA</t>
  </si>
  <si>
    <t>Birkel, Sean D.; Putnam, Aaron E.; Denton, George H.; Koons, Peter O.; Fastook, James L.; Putnam, David E.; Maasch, Kirk A.</t>
  </si>
  <si>
    <t>Climate Inferences from a Glaciological Reconstruction of the Late Pleistocene Wind River Ice Cap, Wind River Range, Wyoming</t>
  </si>
  <si>
    <t>LAST GLACIAL MAXIMUM; PAST 21,000 YEARS; ROCKY-MOUNTAINS; UINTA MOUNTAINS; YOUNGER DRYAS; NORTH-AMERICA; SOUTHERN; BONNEVILLE; INCEPTION; SHEET</t>
  </si>
  <si>
    <t>We reconstructed the former ice cap of the Wind River Range, Wyoming, using a glaciological model with scaled modern temperature and precipitation inputs to examine probable climate during the local Last Glacial Maximum (LGM) (or Pinedale glaciation). A key result is that temperature anomalies of -10 degrees C, -8.5 degrees C, 6.5 degrees C, and -5 degrees C must compensate respective precipitation values of 50%, 100%, 200%, and 300% that of modern in order for the maximum glacier system to attain equilibrium. In further sensitivity tests, we find that ice-cap area and volume shrink by 75% under a climate forcing 50% modern and 50% LGM. The glacier system disappears altogether in similar to 100 years when subjected to sustained modern conditions. Our results are consistent with other interpretations of western U.S. LGM climate, and demonstrate that the Wind River Ice Cap could have disintegrated rapidly during the first phase of the termination. In future work we will simulate glacier-climate evolution as constrained by emerging Be-10 moraine chronologies.</t>
  </si>
  <si>
    <t>[Birkel, Sean D.; Putnam, Aaron E.; Denton, George H.; Koons, Peter O.; Fastook, James L.; Maasch, Kirk A.] Univ Maine, Climate Change Inst, Orono, ME 04469 USA; [Putnam, Aaron E.] Columbia Univ, Lamont Doherty Earth Observ, Palisades, NY 10964 USA; [Denton, George H.; Koons, Peter O.; Maasch, Kirk A.] Univ Maine, Dept Earth Sci, Orono, ME 04469 USA; [Fastook, James L.] Univ Maine, Dept Comp Sci, Orono, ME 04469 USA; [Putnam, David E.] Univ Maine, Sch Sci &amp; Math, Presque Isle, ME 04769 USA</t>
  </si>
  <si>
    <t>University of Maine System; University of Maine Orono; Columbia University; University of Maine System; University of Maine Orono; University of Maine System; University of Maine Orono; University of Maine System; University of Maine Orono; University of Maine Presque Isle</t>
  </si>
  <si>
    <t>Birkel, SD (corresponding author), Univ Maine, Climate Change Inst, Orono, ME 04469 USA.</t>
  </si>
  <si>
    <t>birkel@maine.edu</t>
  </si>
  <si>
    <t>Maasch, Kirk/JMQ-8426-2023; Fastook, James L./J-1465-2019; Birkel, Sean/W-2504-2019</t>
  </si>
  <si>
    <t>Fastook, James L./0000-0003-3900-671X; Maasch, Kirk Allen/0000-0002-8658-8030; Putnam, Aaron/0000-0002-5358-1473</t>
  </si>
  <si>
    <t>National Science Foundation [ITEST-0737583, EAR-1009626]; Comer Science Foundation; Quesada Family Foundation; Directorate For Geosciences; Division Of Earth Sciences [1102782] Funding Source: National Science Foundation; Directorate For Geosciences; Office of Polar Programs (OPP) [1229716] Funding Source: National Science Foundation</t>
  </si>
  <si>
    <t>National Science Foundation(National Science Foundation (NSF)); Comer Science Foundation; Quesada Family Foundation; Directorate For Geosciences; Division Of Earth Sciences(National Science Foundation (NSF)NSF - Directorate for Geosciences (GEO)); Directorate For Geosciences; Office of Polar Programs (OPP)(National Science Foundation (NSF)NSF - Directorate for Geosciences (GEO))</t>
  </si>
  <si>
    <t>We are grateful for funding of this work provided by the National Science Foundation (ITEST-0737583, EAR-1009626), Comer Science Foundation, and the Quesada Family Foundation. Three anonymous reviewers provided thoughtful suggestions that improved this manuscript. Sean Birkel would also like to thank his postdoctoral mentor Dr. Paul Mayewski for guidance and support.</t>
  </si>
  <si>
    <t>10.1657/1938-4246-44.3.265</t>
  </si>
  <si>
    <t>995EN</t>
  </si>
  <si>
    <t>WOS:000307990800001</t>
  </si>
  <si>
    <t>Graham, EA; Rundel, PW; Kaiser, W; Lam, Y; Stealey, M; Yuen, EM</t>
  </si>
  <si>
    <t>Graham, Eric A.; Rundel, Philip W.; Kaiser, William; Lam, Yeung; Stealey, Michael; Yuen, Eric M.</t>
  </si>
  <si>
    <t>Fine-Scale Patterns of Soil and Plant Surface Temperatures in an Alpine Fellfield Habitat, White Mountains, California</t>
  </si>
  <si>
    <t>KUPARUK RIVER BASIN; LEAF TEMPERATURES; GROWING-SEASON; FRONT-RANGE; N-FACTOR; RESPONSES; CLIMATE; TUNDRA; MICROCLIMATE; BALANCE</t>
  </si>
  <si>
    <t>Within alpine environments the interactions of air temperature, solar irradiance, wind, surface albedo, microtopography, and biotic traits all influence patterns of soil and plant canopy temperatures. The resulting mosaic of surface temperatures has a profound impact on ecosystem processes, plant survival, and ecophysiological performance. Previous studies have documented large and persistent variations in microhabitat temperatures over mesoscale alpine terrains. We have used a novel mobile system to examine changes in soil and plant canopy surface temperatures at spatial scales of centimeters and temporal scales of minutes in an alpine fellfield habitat in the White Mountains of California. In the middle of a summer day, the mean surface temperature differences between points 2, 5, and 10 cm apart were 2.9, 5.4, and 9.0 degrees C, respectively, and extreme differences of 18 degrees C or more were found over distances of a few centimeters. These thermal patterns are due not only to substrate material but also to biotic conditions of plant canopy architecture and ecophysiological traits of individual species. The magnitude of temperature variation at these fine scales is greater than the range of warming scenarios in Intergovernmental Panel on Climate Change (IPCC) projections, suggesting that these habitats offer the capacity of significant thermal heterogeneity for plant survival.</t>
  </si>
  <si>
    <t>[Graham, Eric A.; Rundel, Philip W.; Kaiser, William] Univ Calif Los Angeles, Ctr Embedded Networked Sensing, Los Angeles, CA 90095 USA; [Kaiser, William; Lam, Yeung; Stealey, Michael; Yuen, Eric M.] Univ Calif Los Angeles, Dept Elect Engn, Los Angeles, CA 90095 USA; [Kaiser, William; Lam, Yeung; Stealey, Michael; Yuen, Eric M.] Univ Calif Los Angeles, Dept Ecol &amp; Evolutionary Biol, Los Angeles, CA 90095 USA</t>
  </si>
  <si>
    <t>University of California System; University of California Los Angeles; University of California System; University of California Los Angeles; University of California System; University of California Los Angeles</t>
  </si>
  <si>
    <t>Rundel, PW (corresponding author), Univ Calif Los Angeles, Ctr Embedded Networked Sensing, Los Angeles, CA 90095 USA.</t>
  </si>
  <si>
    <t>rundel@biology.ucla.edu</t>
  </si>
  <si>
    <t>; Graham, Eric/L-1722-2018</t>
  </si>
  <si>
    <t>Stealey, Michael J./0009-0008-7661-5876; Graham, Eric/0000-0002-7495-4056</t>
  </si>
  <si>
    <t>National Science Foundation [ANI-00331481, CCR-0120778]</t>
  </si>
  <si>
    <t>We thank Mark Hansen and Sheela Nair for help with R and data analysis. The networked infomechanical systems (NIMS) development and deployment team also included Victor Chen, to whom we are also very grateful. This research was supported by the National Science Foundation under Grants ANI-00331481 and CCR-0120778.</t>
  </si>
  <si>
    <t>10.1657/1938-4246-44.3.288</t>
  </si>
  <si>
    <t>WOS:000307990800003</t>
  </si>
  <si>
    <t>Sun, WJ; Qin, X; Ren, JW; Yang, XG; Zhang, T; Liu, YS; Cui, XQ; Du, WT</t>
  </si>
  <si>
    <t>Sun, Weijun; Qin, Xiang; Ren, Jiawen; Yang, Xingguo; Zhang, Tong; Liu, Yushuo; Cui, Xiaoqing; Du, Wentao</t>
  </si>
  <si>
    <t>The Surface Energy Budget in the Accumulation Zone of the Laohugou Glacier No. 12 in the Western Qilian Mountains, China, in Summer 2009</t>
  </si>
  <si>
    <t>BALANCE; SNOW; ROUGHNESS</t>
  </si>
  <si>
    <t>The energy balance of a glacial surface can describe physical melting processes. To expand the understanding of how glaciers in arid regions respond to climate change, the energy budget in the accumulation zone of the Laohugou Glacier No. 12 was measured. Input variables were meteorological data (1 June-30 September 2009) from an automatic weather station located on the accumulation zone at 5040 m above sea level (a.s.l.). Radiative fluxes directly measured, and turbulent fluxes calculated using the bulk aerodynamic approach, were involved in the surface energy budget. Net radiation flux was the primary source of the surface energy balance (72%) and was chiefly responsible for glacial melting, followed by sensible heat flux (28%). Melting energy was the main output of surface energy (48%), and was almost as large as the sum of latent heat flux (32%) and subsurface heat flux (20%). The modeled mass balance was -75 mm water equivalent, which compared well with sonic ranging sensor readings. Albedo varied between 0.52 and 0.88 on the glacial surface, and melting was prevented by high albedo. Under the assumption of neutral atmospheric conditions, turbulent fluxes were overestimated, especially the sensible heat flux by 54%; therefore, a stability correction was necessary.</t>
  </si>
  <si>
    <t>[Sun, Weijun; Qin, Xiang; Ren, Jiawen; Zhang, Tong; Liu, Yushuo; Cui, Xiaoqing; Du, Wentao] Chinese Acad Sci, Cold &amp; Arid Reg Environm &amp; Engn Res Inst, Oilan Shan Stn Glaciol &amp; Ecol Environm, State Key Lab Cryospher Sci, Lanzhou 730000, Peoples R China; [Yang, Xingguo] CMA, Inst Arid Meteorol, Key Lab Arid Climat Change &amp; Reducing Disaster, Lanzhou 730020, Peoples R China</t>
  </si>
  <si>
    <t>Chinese Academy of Sciences; Cold &amp; Arid Regions Environmental &amp; Engineering Research Institute, CAS; China Meteorological Administration</t>
  </si>
  <si>
    <t>Sun, WJ (corresponding author), Chinese Acad Sci, Cold &amp; Arid Reg Environm &amp; Engn Res Inst, Oilan Shan Stn Glaciol &amp; Ecol Environm, State Key Lab Cryospher Sci, Lanzhou 730000, Peoples R China.</t>
  </si>
  <si>
    <t>sun1982wj@163.com</t>
  </si>
  <si>
    <t>sun, weijun/GZB-2595-2022; Jiawen, Ren/K-7734-2012</t>
  </si>
  <si>
    <t>Natural Science Foundation of China [41071046, 41130638]; State Key Laboratory of Cryospheric Sciences [SKLCS-zz-2009-04, SKLCS-2011-09]</t>
  </si>
  <si>
    <t>Natural Science Foundation of China(National Natural Science Foundation of China (NSFC)); State Key Laboratory of Cryospheric Sciences</t>
  </si>
  <si>
    <t>We would like to express our gratitude to the editors and two anonymous reviewers for their suggestions. We thank Tingjun Zhang, Junying Sun, Yetang Wang, and Jinkui Wu for English editing and suggestions. We thank all the crew members during the field observation. This work was supported by the Natural Science Foundation of China (No. 41071046, 41130638) and the Project from the State Key Laboratory of Cryospheric Sciences (SKLCS-zz-2009-04 and SKLCS-2011-09).</t>
  </si>
  <si>
    <t>10.1657/1938-4246-44.3.296</t>
  </si>
  <si>
    <t>WOS:000307990800004</t>
  </si>
  <si>
    <t>Fausto, RS; Mernild, SH; Hasholt, B; Ahlstrom, AP; Knudsen, NT</t>
  </si>
  <si>
    <t>Fausto, Robert S.; Mernild, Sebastian H.; Hasholt, Bent; Ahlstrom, Andreas P.; Knudsen, Niels T.</t>
  </si>
  <si>
    <t>Modeling Suspended Sediment Concentration and Transport, Mittivakkat Glacier, Southeast Greenland</t>
  </si>
  <si>
    <t>ICE-SHEET; AMMASSALIK ISLAND; SE GREENLAND; SUBGLACIAL DRAINAGE; WEST GREENLAND; WATER-FLOW; SNOW; RUNOFF; EVOLUTION; EROSION</t>
  </si>
  <si>
    <t>Suspended sediment concentration and transport is modeled for the Mittivakkat Glacier located on Ammassalik Island, South-East Greenland, using a numerical sediment model based on lumped-elements. Empirical equations calculate sediment erosion and deposition within a constant idealized glacier drainage system. The sediment model is forced by observations and an energy balance model based on meteorological observations that provide a simulated Surface Melt and liquid Precipitation available for supra-, en-, sub-, and proglacial flow processes after vertical percolation and potential storage within the snowpack (henceforth SMP) from the glacier surface which is available for subglacial erosion, glaciofluvial transport, and deposition within the drainage system. The idealized drainage system is constrained following the descriptions and conclusions from previous work. A model simulation run for summer 2005 shows that the cumulative modeled suspended sediment transport lies within 3% when compared with observations. Model results show that the temporal changes in the calculated suspended sediment concentrations vary over the melt season in some agreement with measured field data for the summer of 2005. Forcing the sediment model gives a correlation coefficient of 0.89 using observed proglacial meltwater discharge values and the correlation coefficient is 0.63 using modeled supraglacial meltwater runoff. The sediment model successfully captures the observed concentration and transport of suspended sediment which indicates a sufficient sediment reservoir available for transport through the idealized drainage system.</t>
  </si>
  <si>
    <t>[Fausto, Robert S.; Ahlstrom, Andreas P.] Geol Survey Denmark &amp; Greenland GEUS, DK-1350 Copenhagen, Denmark; [Mernild, Sebastian H.] Los Alamos Natl Lab, Climate Ocean &amp; Sea Ice Modeling Grp, Computat Phys &amp; Methods CCS 2, Los Alamos, NM 87545 USA; [Hasholt, Bent] Univ Copenhagen, Dept Geog &amp; Geol, DK-1350 Copenhagen, Denmark; [Knudsen, Niels T.] Aarhus Univ, Inst Geol, DK-8000 Aarhus, Denmark</t>
  </si>
  <si>
    <t>Geological Survey Of Denmark &amp; Greenland; United States Department of Energy (DOE); Los Alamos National Laboratory; University of Copenhagen; Aarhus University</t>
  </si>
  <si>
    <t>Fausto, RS (corresponding author), Geol Survey Denmark &amp; Greenland GEUS, Oster Voldgade 10, DK-1350 Copenhagen, Denmark.</t>
  </si>
  <si>
    <t>rsf@geus.dk</t>
  </si>
  <si>
    <t>Fausto, Robert S./K-6185-2018; Ahlstrøm, Andreas Peter/E-5257-2014; Knudsen, Niels Tvis/A-2461-2014; Mernild, Sebastian H./M-5516-2013</t>
  </si>
  <si>
    <t>Fausto, Robert S./0000-0003-1317-8185; Ahlstrøm, Andreas Peter/0000-0001-8235-8070; Mernild, Sebastian H./0000-0003-0797-3975</t>
  </si>
  <si>
    <t>10.1657/1938-4246-44.3.306</t>
  </si>
  <si>
    <t>WOS:000307990800005</t>
  </si>
  <si>
    <t>Mann, DH; Rupp, TS; Olson, MA; Duffy, PA</t>
  </si>
  <si>
    <t>Mann, Daniel H.; Rupp, T. Scott; Olson, Mark A.; Duffy, Paul A.</t>
  </si>
  <si>
    <t>Is Alaska's Boreal Forest Now Crossing a Major Ecological Threshold?</t>
  </si>
  <si>
    <t>CLIMATE-CHANGE; INTERIOR ALASKA; FIRE-REGIME; NORTHERN ALASKA; CARBON-CYCLE; PERMAFROST; VEGETATION; VULNERABILITY; ECOSYSTEMS; 20TH-CENTURY</t>
  </si>
  <si>
    <t>Many boreal forests grow in regions where climate is now warming rapidly. Changes in these vast, cold forests have the potential to affect global climate because they store huge amounts of carbon and because the relative abundances of their different tree species influence how much solar radiation reflects back to space. Both the carbon cycling and albedo of boreal forests are strongly affected by wildland fires, which in turn are closely controlled by summer climate. Here we use a forest disturbance model in both a retrospective and predictive manner to explore how the forests of Interior Alaska respond to changing climate. Results suggest that a widespread shift from coniferous to deciduous vegetation began around A.D. 1990 and will continue over the next several decades. This ecological regime shift is being driven by old, highly flammable spruce stands encountering a warmer climate conducive to larger and more frequent fires. Increased burning promotes the spread of early successional, deciduous species at the expense of spruce. These striking changes in the vegetation composition and fire regime are predicted to alter the biophysics of Alaska's forests. The ground will warm, and a surge of carbon emission is likely. Our modeling results support previous inferences that Alaska's boreal forest is now shifting to a new ecological state and that positive feedbacks to global warming will accompany this change.</t>
  </si>
  <si>
    <t>[Mann, Daniel H.] Univ Alaska, Geog Program, Sch Nat Resources &amp; Agr Sci, Fairbanks, AK 99775 USA; [Rupp, T. Scott; Olson, Mark A.] Univ Alaska, Scenarios Network Alaska &amp; Arct Planning, Sch Nat Resources &amp; Agr Sci, Fairbanks, AK 99775 USA; [Duffy, Paul A.] Neptune &amp; Co Inc, Lakewood, CO 80215 USA</t>
  </si>
  <si>
    <t>University of Alaska System; University of Alaska Fairbanks; University of Alaska System; University of Alaska Fairbanks</t>
  </si>
  <si>
    <t>Mann, DH (corresponding author), Univ Alaska, Geog Program, Sch Nat Resources &amp; Agr Sci, Fairbanks, AK 99775 USA.</t>
  </si>
  <si>
    <t>dhmann@alaska.edu</t>
  </si>
  <si>
    <t>National Science Foundation [ARC-0902169]; Division Of Environmental Biology; Direct For Biological Sciences [1026415] Funding Source: National Science Foundation; Office of Polar Programs (OPP); Directorate For Geosciences [0902169] Funding Source: National Science Foundation</t>
  </si>
  <si>
    <t>National Science Foundation(National Science Foundation (NSF)); Division Of Environmental Biology; Direct For Biological Sciences(National Science Foundation (NSF)NSF - Directorate for Biological Sciences (BIO)); Office of Polar Programs (OPP); Directorate For Geosciences(National Science Foundation (NSF)NSF - Directorate for Geosciences (GEO))</t>
  </si>
  <si>
    <t>Partial funding came from National Science Foundation grant ARC-0902169. We thank Randy Jandt, Jane Wolken, Chris Fastie, Pieter Beck, Glenn Juday, and Janet Wilmshurst for useful discussions in the course of this project.</t>
  </si>
  <si>
    <t>10.1657/1938-4246-44.3.319</t>
  </si>
  <si>
    <t>WOS:000307990800006</t>
  </si>
  <si>
    <t>Cieraad, E; McGlone, M; Barbour, MM; Huntley, B</t>
  </si>
  <si>
    <t>Cieraad, Ellen; McGlone, Matt; Barbour, Margaret M.; Huntley, Brian</t>
  </si>
  <si>
    <t>Seasonal Frost Tolerance of Trees in the New Zealand Treeline Ecotone</t>
  </si>
  <si>
    <t>PINE PINUS-CONTORTA; CHLOROPHYLL FLUORESCENCE; FREEZING RESISTANCE; TEMPERATURE; PHOTOSYNTHESIS; PLANTS; GROWTH; ELEVATION; CONIFERS; NEEDLES</t>
  </si>
  <si>
    <t>New Zealand treeline species have low frost tolerance compared to their northern hemisphere counterparts, and appear susceptible to out-of-season frosts. However, foliage from high altitude trees is rarely directly measured. This study compares seasonal frost tolerance of mature treeline trees with local temperatures to assess whether frost affects their performance. Photosystem efficiency and seasonal frost tolerance (temperatures causing 10% and 50% foliage mortality, LT10 and LT50, respectively) were measured on foliage from four native and one exotic species across the treeline ecotone. For all species, photosystem efficiency and frost tolerance were lower in spring and summer than in autumn. Frost tolerance changed with altitude only for exotic Pinus contorta in spring. Spring frosts regularly exceeded LT10 for all species. In all seasons over the last 20 years, the minimum temperature experienced was at least 4 degrees C warmer than the LT50; however, east of the Main Divide, a 1-in-40 year extreme minimum temperature in summer reached LT50 levels. This study suggests frosts may cause some foliar damage, especially in spring, but the effects of frosts on mature trees are unlikely to control the position of the New Zealand treeline.</t>
  </si>
  <si>
    <t>[Cieraad, Ellen; McGlone, Matt; Barbour, Margaret M.] Landcare Res, Lincoln 7640, New Zealand; [Cieraad, Ellen; Huntley, Brian] Univ Durham, Sch Biol &amp; Biomed Sci, Durham DH1 3LE, England; [Barbour, Margaret M.] Univ Sydney, Fac Agr Food &amp; Nat Resources, Narellan, NSW 2567, Australia</t>
  </si>
  <si>
    <t>Landcare Research - New Zealand; Durham University; University of Sydney</t>
  </si>
  <si>
    <t>Cieraad, E (corresponding author), Landcare Res, POB 40, Lincoln 7640, New Zealand.</t>
  </si>
  <si>
    <t>cieraade@landcareresearch.co.nz</t>
  </si>
  <si>
    <t>Cieraad, Ellen/AAJ-6535-2021</t>
  </si>
  <si>
    <t>Cieraad, Ellen/0000-0002-9813-9590; Barbour, Margaret/0000-0001-9220-0015</t>
  </si>
  <si>
    <t>Canterbury Botanical Society; Brian Mason Scientific and Technical Trust; Durham University</t>
  </si>
  <si>
    <t>We thank John Hunt, Tony McSeveny, and Graeme Rogers for technical assistance with frost treatments and climate data; Ian Payton for the temperature data from Camp Creek; Wayne Beggs, Phillip Cochrane, and Chris Morse for help with field work; Landcare Research Early Career Scientist group for helpful discussions; and Canterbury University Geography Department for the loan of the freezer control unit. We thank John Hunt and two anonymous referees for their comments and suggestions on earlier versions of this paper. The Department of Conservation gave permission to sample plants. This research was funded by the Canterbury Botanical Society and the Brian Mason Scientific and Technical Trust. Financial support for the first author was provided by a Durham University Doctoral Fellowship.</t>
  </si>
  <si>
    <t>10.1657/1938-4246-44.3.332</t>
  </si>
  <si>
    <t>WOS:000307990800007</t>
  </si>
  <si>
    <t>Mattana, E; Fenu, G; Bacchetta, G</t>
  </si>
  <si>
    <t>Mattana, Efisio; Fenu, Giuseppe; Bacchetta, Gianluigi</t>
  </si>
  <si>
    <t>Seed Production and in situ Germination of Lamyropsis microcephala (Asteraceae), a Threatened Mediterranean Mountain Species</t>
  </si>
  <si>
    <t>POPULATION-SIZE; PLANT; CONSERVATION; RARE; DORMANCY; HERB; ECOPHYSIOLOGY; REPRODUCTION; BIODIVERSITY; PERFORMANCE</t>
  </si>
  <si>
    <t>Seed reproduction is considered a critical bottleneck of the plant life cycle, constraining population growth, especially in the Mediterranean area. In this study, we investigated seed reproduction of Lamyropsis microcephala (Asteraceae), a threatened species occurring only in the Gennargentu massif (CE Sardinia, Italy). Seed output was quantified in two of the four localities where the species occurs, which differed in population size. Germination of seeds from all the four localities was assessed, both in the field and under controlled conditions, and the annual trend of soil temperature recorded by data-loggers. Plants had ca. 60 cypselas (i.e. the fruits of Asteraceae) per capitulum in the larger Rio Aratu and ca. 30 in the smaller Pisargiu locality, with only ca. 1.7 and 0.3 germinating cypselas per capitulum, respectively. Under controlled conditions, seeds of the two large localities (Bau 'e Laccos and Rio Aratu) germinated above 80%, while those of the two small ones (Bruncu Spina and Pisargiu) did not reach 55%. All seeds sown in the field germinated in April June, when diurnal fluctuations of temperatures were almost 10 times higher than in winter, limiting the length of the growing season before the onset of summer drought, and highlighting an increasing threat from global warming.</t>
  </si>
  <si>
    <t>[Mattana, Efisio; Fenu, Giuseppe; Bacchetta, Gianluigi] Univ Cagliari, CCB, Dipartimento Sci Vita &amp; Ambiente, I-09123 Cagliari, Italy</t>
  </si>
  <si>
    <t>University of Cagliari</t>
  </si>
  <si>
    <t>Mattana, E (corresponding author), Univ Cagliari, CCB, Dipartimento Sci Vita &amp; Ambiente, Via St Ignazio Laconi 13, I-09123 Cagliari, Italy.</t>
  </si>
  <si>
    <t>mattana.efisio@gmail.com</t>
  </si>
  <si>
    <t>Bacchetta, Gianluigi/AAD-5329-2020; Fenu, Giuseppe/AAR-8439-2021; Mattana, Efisio/H-7645-2019</t>
  </si>
  <si>
    <t>Mattana, Efisio/0000-0001-6235-4603; Fenu, Giuseppe/0000-0003-4762-5043; BACCHETTA, GIANLUIGI/0000-0002-1714-3978</t>
  </si>
  <si>
    <t>10.1657/1938-4246-44.3.343</t>
  </si>
  <si>
    <t>WOS:000307990800008</t>
  </si>
  <si>
    <t>Listl, D; Reisch, C</t>
  </si>
  <si>
    <t>Listl, Daniela; Reisch, Christoph</t>
  </si>
  <si>
    <t>Spatial Genetic Structure of the Sedge Carex nigra Reflects Hydrological Conditions in an Alpine Fen</t>
  </si>
  <si>
    <t>CLONAL DIVERSITY; SEED-GERMINATION; PLANT-POPULATIONS; PRIMULACEAE; DISPERSAL; GROWTH; FRAGMENTATION; CONSEQUENCES; RESTORATION; INDIVIDUALS</t>
  </si>
  <si>
    <t>Fine-scale genetic structure of plant populations depends on several ecological processes. In this study, we analyzed the impact of hydrological heterogeneity on the spatial genetic structure of the wind-pollinated black sedge Carex nigra in an alpine fen. We performed amplified fragment length polymorphisms (AFLPs) with 111 samples collected along a grid covering the whole area of the fen and studied fine-scale genetic structure using spatial autocorrelation and Bayesian cluster analyses. We observed a significant spatial genetic structure indicating isolation-by-distance, which can be ascribed to restricted seed dispersal. Bayesian cluster analysis revealed four groups of genetically related and patchy distributed samples within the fen. Two of these groups were distributed in the deeper and moister regions of the fen, while the two other groups were spatially restricted to the higher and drier regions of the fen. We think that the observed pattern of spatial genetic variation reflects hydrological heterogeneity within the fen and conclude that the four groups represent cohorts of individuals originating from different recruitment events in different parts of the fen. Genetic variation was much lower in the groups from the drier regions of the fen. Since Carex species require moist conditions for germination and establishment, the low level of genetic variation can most likely be ascribed to restricted seedling recruitment in the drier regions of the fen. Habitat heterogeneity affects, therefore, both spatial genetic structure and levels of genetic variation. This study clearly demonstrates that integrating fine-scale genetic analyses with complementary biological data can markedly improve the identification of processes that shape fine-scale genetic structure within plant populations.</t>
  </si>
  <si>
    <t>[Listl, Daniela; Reisch, Christoph] Univ Regensburg, Inst Bot, D-93040 Regensburg, Germany</t>
  </si>
  <si>
    <t>University of Regensburg</t>
  </si>
  <si>
    <t>Reisch, C (corresponding author), Univ Regensburg, Inst Bot, D-93040 Regensburg, Germany.</t>
  </si>
  <si>
    <t>christoph.reisch@biologie.uni-regensburg.de</t>
  </si>
  <si>
    <t>10.1657/1938-4246-44.3.350</t>
  </si>
  <si>
    <t>WOS:000307990800009</t>
  </si>
  <si>
    <t>McEwen, DJ; Sivjee, GG</t>
  </si>
  <si>
    <t>McEwen, D. J.; Sivjee, G. G.</t>
  </si>
  <si>
    <t>Photometry of dayside auroras during solar minimum</t>
  </si>
  <si>
    <t>CANADIAN JOURNAL OF PHYSICS</t>
  </si>
  <si>
    <t>SOUTH-POLE</t>
  </si>
  <si>
    <t>An examination is made of Antarctic dayside auroras to establish how they relate to solar wind strength under the quiet conditions of the recent extended solar minimum when the solar wind pressure was weak and the interplanetary magnetic field B-z is small. It is found that, during the many days of observation, the aurora is detected even with the most stable and quiet conditions. On such occasions the 630 nm OI emission can be as low as 50 R, but is unambiguously and continuously detectable through each noon. This is above an airglow intensity of about 30 R. For these quiet conditions there is no evident relation between the solar wind dynamic pressure or interplanetary magnetic field B-z and dayside auroral intensity. This suggests that there is no effective reconnection under these minimal conditions and the particle source for the dayside aurora could be within the magnetosphere.</t>
  </si>
  <si>
    <t>[McEwen, D. J.; Sivjee, G. G.] Embry Riddle Aeronaut Univ, Space Phys Res Lab, Daytona Beach, FL 32114 USA</t>
  </si>
  <si>
    <t>Embry-Riddle Aeronautical University</t>
  </si>
  <si>
    <t>McEwen, DJ (corresponding author), Univ Saskatchewan, Dept Phys &amp; Engn Phys, 116 Sci Crescent, Saskatoon, SK S7N 5E2, Canada.</t>
  </si>
  <si>
    <t>don.mcewen@usask.ca</t>
  </si>
  <si>
    <t>National Science Foundation of the USA; Natural Sciences and Engineering Research Council of Canada</t>
  </si>
  <si>
    <t>National Science Foundation of the USA(National Science Foundation (NSF)); Natural Sciences and Engineering Research Council of Canada(Natural Sciences and Engineering Research Council of Canada (NSERC)CGIAR)</t>
  </si>
  <si>
    <t>This work was supported by the National Science Foundation of the USA and the Natural Sciences and Engineering Research Council of Canada. The technical assistance of Raytheon Ltd. personnel at the South Pole is greatly appreciated. W. Guo assisted with data analysis. The OMNI solar wind data were obtained from J.H. King and N.E. Papitashvili via the GSFC/SPDF OMNIWeb database.</t>
  </si>
  <si>
    <t>CANADIAN SCIENCE PUBLISHING, NRC RESEARCH PRESS</t>
  </si>
  <si>
    <t>OTTAWA</t>
  </si>
  <si>
    <t>65 AURIGA DR, SUITE 203, OTTAWA, ON K2E 7W6, CANADA</t>
  </si>
  <si>
    <t>0008-4204</t>
  </si>
  <si>
    <t>1208-6045</t>
  </si>
  <si>
    <t>CAN J PHYS</t>
  </si>
  <si>
    <t>Can. J. Phys.</t>
  </si>
  <si>
    <t>10.1139/p11-137</t>
  </si>
  <si>
    <t>Physics, Multidisciplinary</t>
  </si>
  <si>
    <t>Physics</t>
  </si>
  <si>
    <t>993TE</t>
  </si>
  <si>
    <t>WOS:000307881700007</t>
  </si>
  <si>
    <t>Wu, YY; Wang, P; Li, LH; Yang, XQ; Diao, SQ</t>
  </si>
  <si>
    <t>Wu, Yanyan; Wang, Ping; Li, Laihao; Yang, Xianqing; Diao, Shiqiang</t>
  </si>
  <si>
    <t>Purification and characteristics of serine protease from the head of pacific white shrimp</t>
  </si>
  <si>
    <t>FOOD SCIENCE AND BIOTECHNOLOGY</t>
  </si>
  <si>
    <t>Pacific white shrimp; serine protease; purification; characteristics; enzyme activity</t>
  </si>
  <si>
    <t>TRYPSIN-LIKE ENZYMES; PENAEUS-MONODON; ANTARCTIC KRILL; PYLORIC CECA; INTESTINE; VISCERA</t>
  </si>
  <si>
    <t>Serine protease from the head of Pacific white shrimp was purified by the following techniques: ammonium sulfate fractionation, Q-Sepharose HP ion exchange chromatography, and Sephadex G-100 gel filtration. The molecular weight was estimated as 32.8 kDa using SDSPAGE. The optimum pH and temperature of the enzyme for the hydrolysis of casein were determined to be 10.0 and 40A degrees C. It was stable at pH range from 8.0 to 11.0 and had good thermal stability. Pb2+, Ca2+, Mg2+, Cu2+, and Mn2+ could active the enzyme certainly when Zn2+ and Hg2+ strongly inhibited the activity. The enzyme was inhibited by the general serine protease inhibitor (PMSF) and the specific trypsin inhibitors (TLCK, SBTI). The modification of various amino acid modifiers for the purified enzyme determined that the enzyme active center included tryptophan, histidine, and serine, moreover, arginine had a certain relationship with the enzyme activity.</t>
  </si>
  <si>
    <t>[Wu, Yanyan; Li, Laihao; Yang, Xianqing; Diao, Shiqiang] Chinese Acad Fishery Sci, S China Sea Fisheries Res Inst, Key Lab Aquat Prod Proc, Minist Agr, Guangzhou 510300, Guangdong, Peoples R China; [Wang, Ping] Shanghai Ocean Univ, Coll Food Sci &amp; Technol, Shanghai 201306, Peoples R China</t>
  </si>
  <si>
    <t>Ministry of Agriculture &amp; Rural Affairs; Chinese Academy of Fishery Sciences; South China Sea Fisheries Research Institute, CAFS; Shanghai Ocean University</t>
  </si>
  <si>
    <t>Wu, YY (corresponding author), Chinese Acad Fishery Sci, S China Sea Fisheries Res Inst, Key Lab Aquat Prod Proc, Minist Agr, Guangzhou 510300, Guangdong, Peoples R China.</t>
  </si>
  <si>
    <t>wuyanyanwp@yahoo.cn</t>
  </si>
  <si>
    <t>Yang, Xian/GVU-9087-2022</t>
  </si>
  <si>
    <t>Hainan Key Science and Technology project [ZDXM20100005]; Guangdong Marine Fishery Science and Technology extension project [A201001B02, A201101F02]</t>
  </si>
  <si>
    <t>Hainan Key Science and Technology project; Guangdong Marine Fishery Science and Technology extension project</t>
  </si>
  <si>
    <t>This work was financially supported by the Hainan Key Science and Technology project (ZDXM20100005) and Guangdong Marine Fishery Science and Technology extension project (A201001B02, A201101F02).</t>
  </si>
  <si>
    <t>KOREAN SOCIETY FOOD SCIENCE &amp; TECHNOLOGY-KOSFOST</t>
  </si>
  <si>
    <t>#605, KOREA SCI TECHNOL CENT, 635-4 YEOKSAM-DONG, KANGNAM-GU, SEOUL, 135-703, SOUTH KOREA</t>
  </si>
  <si>
    <t>1226-7708</t>
  </si>
  <si>
    <t>2092-6456</t>
  </si>
  <si>
    <t>FOOD SCI BIOTECHNOL</t>
  </si>
  <si>
    <t>Food Sci. Biotechnol.</t>
  </si>
  <si>
    <t>10.1007/s10068-012-0147-5</t>
  </si>
  <si>
    <t>Food Science &amp; Technology</t>
  </si>
  <si>
    <t>996RP</t>
  </si>
  <si>
    <t>WOS:000308112000027</t>
  </si>
  <si>
    <t>Núñez-Pons, L; Carbone, M; Vázquez, J; Rodríguez, J; Nieto, RM; Varela, MM; Gavagnin, M; Avila, C</t>
  </si>
  <si>
    <t>Nunez-Pons, Laura; Carbone, Marianna; Vazquez, Jennifer; Rodriguez, Jaime; Maria Nieto, Rosa; Mercedes Varela, Maria; Gavagnin, Margherita; Avila, Conxita</t>
  </si>
  <si>
    <t>Natural Products from Antarctic Colonial Ascidians of the Genera Aplidium and Synoicum: Variability and Defensive Role</t>
  </si>
  <si>
    <t>MARINE DRUGS</t>
  </si>
  <si>
    <t>Antarctic colonial tunicates; deterrent activity; sea star Odontaster validus; amphipod Cheirimedon femoratus; antibacterial activity</t>
  </si>
  <si>
    <t>POTENTIAL CHEMICAL DEFENSES; SECONDARY METABOLITES; NUDIBRANCH PREDATORS; PHYSICAL DEFENSES; MARINE EPIBIOSIS; INDOLE ALKALOIDS; COLOR MORPHS; TUNIC CELLS; ECOLOGY; PALATABILITY</t>
  </si>
  <si>
    <t>Ascidians have developed multiple defensive strategies mostly related to physical, nutritional or chemical properties of the tunic. One of such is chemical defense based on secondary metabolites. We analyzed a series of colonial Antarctic ascidians from deep-water collections belonging to the genera Aplidium and Synoicum to evaluate the incidence of organic deterrents and their variability. The ether fractions from 15 samples including specimens of the species A. falklandicum, A. fuegiense, A. meridianum, A. millari and S. adareanum were subjected to feeding assays towards two relevant sympatric predators: the starfish Odontaster validus, and the amphipod Cheirimedon femoratus. All samples revealed repellency. Nonetheless, some colonies concentrated defensive chemicals in internal body-regions rather than in the tunic. Four ascidian-derived meroterpenoids, rossinones B and the three derivatives 2,3-epoxy-rossinone B, 3-epi-rossinone B, 5,6-epoxy-rossinone B, and the indole alkaloids meridianins A-G, along with other minoritary meridianin compounds were isolated from several samples. Some purified metabolites were tested in feeding assays exhibiting potent unpalatabilities, thus revealing their role in predation avoidance. Ascidian extracts and purified compound-fractions were further assessed in antibacterial tests against a marine Antarctic bacterium. Only the meridianins showed inhibition activity, demonstrating a multifunctional defensive role. According to their occurrence in nature and within our colonial specimens, the possible origin of both types of metabolites is discussed.</t>
  </si>
  <si>
    <t>[Nunez-Pons, Laura; Vazquez, Jennifer; Avila, Conxita] Univ Barcelona, Fac Biol, Dept Anim Biol Invertebrates, E-08028 Barcelona, Catalunya, Spain; [Carbone, Marianna; Gavagnin, Margherita] CNR, Inst Biomol Chem, I-80078 Naples, Italy; [Rodriguez, Jaime; Maria Nieto, Rosa] Univ A Coruna, Fac Sci, Dept Fundamental Chem, La Coruna 15071, Spain; [Mercedes Varela, Maria] Univ Alicante, Dept Marine Sci &amp; Appl Biol, Alicante 03690, Spain</t>
  </si>
  <si>
    <t>University of Barcelona; Consiglio Nazionale delle Ricerche (CNR); Universidade da Coruna; Universitat d'Alacant</t>
  </si>
  <si>
    <t>Núñez-Pons, L (corresponding author), Univ Barcelona, Fac Biol, Dept Anim Biol Invertebrates, Av Diagonal 643, E-08028 Barcelona, Catalunya, Spain.</t>
  </si>
  <si>
    <t>lauguau@gmail.com; mcarbone@icb.cnr.it; jenvazk@gmail.com; jaime.rodriguez@udc.es; rnieto@udc.es; varelamercedes@gmail.com; mgavagnin@icb.cnr.it; conxita.avila@ub.edu</t>
  </si>
  <si>
    <t>Avila, Conxita/B-9466-2008; Rodriguez, Jaime/AAY-9780-2021; Gavagnin, Margherita/B-4584-2012; Rodriguez, Jaime/G-8984-2015; Nieto, Rosa M./G-8984-2015; Vazquez, Jennifer/K-7579-2017</t>
  </si>
  <si>
    <t>Avila, Conxita/0000-0002-5489-8376; Rodriguez, Jaime/0000-0001-5348-6970; Rodriguez, Jaime/0000-0001-5348-6970; Nieto, Rosa M./0000-0003-2022-184X; CARBONE, MARIANNA/0000-0003-3729-5714; Vazquez, Jennifer/0000-0002-1510-0034</t>
  </si>
  <si>
    <t>Ministry of Science and Innovation of Spain [CGL/2004-03356/ANT, CGL2007-65453/ANT, CGL2010-17415/ANT, CTQ2008-04024/BQU]</t>
  </si>
  <si>
    <t>Ministry of Science and Innovation of Spain(Spanish Government)</t>
  </si>
  <si>
    <t>We thank M. Paone, F. Castelluccio, C. Jimenez, S. Taboada, J. Cristobo, B. Figuerola, C. Angulo and J. Moles for their precious support and help in the lab. Thanks are due to S. Catazine for the artwork. Also we are grateful to W. Arntz and the crew of R/V Polarstern. UTM ( CSIC), Las Palmas, and BAE Gabriel de Castilla crews provided logistical support. Funding was provided by the Ministry of Science and Innovation of Spain (CGL/2004-03356/ANT, CGL2007-65453/ANT, CGL2010-17415/ANT and CTQ2008-04024/BQU).</t>
  </si>
  <si>
    <t>1660-3397</t>
  </si>
  <si>
    <t>MAR DRUGS</t>
  </si>
  <si>
    <t>Mar. Drugs</t>
  </si>
  <si>
    <t>10.3390/md10081741</t>
  </si>
  <si>
    <t>Chemistry, Medicinal; Pharmacology &amp; Pharmacy</t>
  </si>
  <si>
    <t>Pharmacology &amp; Pharmacy</t>
  </si>
  <si>
    <t>997ZQ</t>
  </si>
  <si>
    <t>WOS:000308207400008</t>
  </si>
  <si>
    <t>Bougamont, M; Christoffersen, P</t>
  </si>
  <si>
    <t>Bougamont, M.; Christoffersen, P.</t>
  </si>
  <si>
    <t>Hydrologic forcing of ice stream flow promotes rapid transport of sediment in basal ice</t>
  </si>
  <si>
    <t>WEST ANTARCTICA; ROSS SEA; TILL; MECHANICS; SIGNATURE; RETREAT; SYSTEM; MOTION; MODEL; WATER</t>
  </si>
  <si>
    <t>The geologic record from high-latitude continental margins shows that soft-bedded ice streams are capable of eroding, transporting, and depositing large volumes of sediment. Interpretation of these records relies on correct understanding of how sediments were transferred. We use a three-dimensional numerical ice-flow model, with physically based processes taking place in a Coulomb-plastic basal till layer, to test a new hypothesis related to sedimentary processes occurring beneath ice streams. Based on recent observations of a 15-m-thick debris-bearing basal ice layer (Bit) in Kamb Ice Stream, Antarctica, we propose that sediment entrainment by freeze-on, followed by englacial transport, and eventually meltout, represent efficient mechanisms whereby ice streams erode their bed and redistribute sediments. Our experimental setup produces results where ice stream flow is characterized by oscillations between fast and stagnant modes of flow. We show that there is a strong coupling between the amplitude of the ice stream oscillations and the amount of sediment eroded and transferred out of the modeled system due exclusively to the formation and advection of a BIL. We also show that increased incorporation of water from a basal water system amplifies the oscillations and thus the growth of the BIL. The patterns of ice stream flow, and associated sediment fluxes and transport seen in our model, are consistent with modern Antarctic ice streams as well as the seemingly erratic behavior of paleo-ice streams during the last deglaciation.</t>
  </si>
  <si>
    <t>[Bougamont, M.; Christoffersen, P.] Univ Cambridge, Scott Polar Res Inst, Cambridge CB2 1ER, England</t>
  </si>
  <si>
    <t>Bougamont, M (corresponding author), Univ Cambridge, Scott Polar Res Inst, Cambridge CB2 1ER, England.</t>
  </si>
  <si>
    <t>Christoffersen, Poul/W-3708-2019</t>
  </si>
  <si>
    <t>Christoffersen, Poul/0000-0003-2643-8724; Bougamont, Marion Heidi/0000-0001-7196-4171</t>
  </si>
  <si>
    <t>Natural Environment Research Council [NE/E005950/1]; Natural Environment Research Council [NE/E005950/1] Funding Source: researchfish; NERC [NE/E005950/1]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</si>
  <si>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</si>
  <si>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the Natural Environment Research Council grant NE/E005950/1. We thank P. Cowie and three anonymous reviewers for their constructive comments.</t>
  </si>
  <si>
    <t>10.1130/G33036.1</t>
  </si>
  <si>
    <t>983CF</t>
  </si>
  <si>
    <t>WOS:000307093100016</t>
  </si>
  <si>
    <t>Ramli, ANM; Mahadi, NM; Shamsir, MS; Rabu, A; Joyce-Tan, KH; Murad, AMA; Illias, RM</t>
  </si>
  <si>
    <t>Ramli, Aizi Nor Mazila; Mahadi, Nor Muhammad; Shamsir, Mohd Shahir; Rabu, Amir; Joyce-Tan, Kwee Hong; Murad, Abdul Munir Abdul; Illias, Rosli Md.</t>
  </si>
  <si>
    <t>Structural prediction of a novel chitinase from the psychrophilic Glaciozyma antarctica PI12 and an analysis of its structural properties and function</t>
  </si>
  <si>
    <t>JOURNAL OF COMPUTER-AIDED MOLECULAR DESIGN</t>
  </si>
  <si>
    <t>Chitinase; Psychrophilic; 3D model; Cold adaptation; Flexibility</t>
  </si>
  <si>
    <t>BACILLUS-CIRCULANS WL-12; X-RAY-STRUCTURE; SERRATIA-MARCESCENS; AROMATIC RESIDUES; CRYSTAL-STRUCTURE; COLD-ADAPTATION; MOLECULAR ANALYSIS; FOLD RECOGNITION; SEQUENCE; BACTERIUM</t>
  </si>
  <si>
    <t>The structure of psychrophilic chitinase (CHI II) from Glaciozyma antarctica PI12 has yet to be studied in detail. Due to its low sequence identity (&lt; 30 %), the structural prediction of CHI II is a challenge. A 3D model of CHI II was built by first using a threading approach to search for a suitable template and to generate an optimum target-template alignment, followed by model building using MODELLER9v7. Analysis of the catalytic insertion domain structure in CHI II revealed an increase in the number of aromatic residues and longer loops compared to mesophilic and thermophilic chitinases. A molecular dynamics simulation was used to examine the stability of the CHI II structure at 273, 288 and 300 K. Structural analysis of the substrate-binding cleft revealed a few exposed aromatic residues. Substitutions of certain amino acids in the surface and loop regions of CHI II conferred an increased flexibility to the enzyme, allowing for an adaptation to cold temperatures. A substrate binding comparison of CHI II with the mesophilic chitinase from Coccidioides immitis, 1D2K, suggested that the psychrophilic adaptation and catalytic activity at low temperatures were achieved through a reduction in the number of salt bridges, fewer hydrogen bonds and an increase in the exposure of the hydrophobic side chains to the solvent.</t>
  </si>
  <si>
    <t>[Ramli, Aizi Nor Mazila; Illias, Rosli Md.] Univ Teknol Malaysia, Fac Chem Engn, Dept Bioproc Engn, Skudai 81310, Johor, Malaysia; [Mahadi, Nor Muhammad] Malaysia Genome Inst, Kajang 43000, Selangor, Malaysia; [Shamsir, Mohd Shahir; Joyce-Tan, Kwee Hong] Univ Teknol Malaysia, Fac Biosci &amp; Bioengn, Skudai 81310, Johor, Malaysia; [Rabu, Amir; Murad, Abdul Munir Abdul] Univ Kebangsaan Malaysia, Fac Sci &amp; Technol, Sch Biosci &amp; Biotechnol, Bangi 43600, Selangor, Malaysia</t>
  </si>
  <si>
    <t>Universiti Teknologi Malaysia; Universiti Teknologi Malaysia; Universiti Kebangsaan Malaysia</t>
  </si>
  <si>
    <t>Illias, RM (corresponding author), Univ Teknol Malaysia, Fac Chem Engn, Dept Bioproc Engn, Skudai 81310, Johor, Malaysia.</t>
  </si>
  <si>
    <t>r-rosli@utm.my</t>
  </si>
  <si>
    <t>Shamsir, Mohd Shahir/AAG-1097-2021; Murad, Abdul/CAG-9324-2022; Abdul Murad, Abdul Munir/L-8575-2017; Shamsir, Mohd Shahir/H-7100-2012</t>
  </si>
  <si>
    <t>Abdul Murad, Abdul Munir/0000-0001-6402-7198; Shamsir, Mohd Shahir/0000-0002-1191-1294; ramli, aizi nor mazila/0000-0001-5593-9515</t>
  </si>
  <si>
    <t>Molecular Biology &amp; Genomic Initiative Program of the Malaysia Genome Institute [07-05-16-MGI-GMB02]; Malaysia Antarctic Research Programme</t>
  </si>
  <si>
    <t>Molecular Biology &amp; Genomic Initiative Program of the Malaysia Genome Institute; Malaysia Antarctic Research Programme</t>
  </si>
  <si>
    <t>We would like to thank our colleagues Dr. Low Kheng Oon and Dr. Nurul Bahiyah Ahmad Khairudin from Faculty of Chemical Engineering, UTM for their valuable discussions. This work was supported by a research grant from the Molecular Biology &amp; Genomic Initiative Program of the Malaysia Genome Institute (Project No. 07-05-16-MGI-GMB02). We would also like to express our appreciation to the Malaysia Antarctic Research Programme for their support.</t>
  </si>
  <si>
    <t>0920-654X</t>
  </si>
  <si>
    <t>1573-4951</t>
  </si>
  <si>
    <t>J COMPUT AID MOL DES</t>
  </si>
  <si>
    <t>J. Comput.-Aided Mol. Des.</t>
  </si>
  <si>
    <t>10.1007/s10822-012-9585-7</t>
  </si>
  <si>
    <t>Biochemistry &amp; Molecular Biology; Biophysics; Computer Science, Interdisciplinary Applications</t>
  </si>
  <si>
    <t>Biochemistry &amp; Molecular Biology; Biophysics; Computer Science</t>
  </si>
  <si>
    <t>993WL</t>
  </si>
  <si>
    <t>WOS:000307890600005</t>
  </si>
  <si>
    <t>Shakespeare, CJ; Hogg, AM</t>
  </si>
  <si>
    <t>Shakespeare, Callum J.; Hogg, Andrew McC.</t>
  </si>
  <si>
    <t>An Analytical Model of the Response of the Meridional Overturning Circulation to Changes in Wind and Buoyancy Forcing</t>
  </si>
  <si>
    <t>ANTARCTIC CIRCUMPOLAR CURRENT; OCEANIC PYCNOCLINE; SOUTHERN-OCEAN; EDDY TRANSFER; THERMOHALINE; WATER</t>
  </si>
  <si>
    <t>An analytical model of the full-depth ocean stratification and meridional overturning circulation for an idealized Atlantic basin with a circumpolar channel is presented. The model explicitly describes the ocean response to both Southern Ocean winds and the global pattern and strength of prescribed surface buoyancy fluxes. The construction of three layers, defined by the two isopycnals of overturning extrema, allows the description of circulation and stratification in both the upper and abyssal ocean. The system is fully solved in the adiabatic limit to yield scales for the surface layer thickness, buoyancies of each layer, and overturning magnitudes. The analytical model also allows scaling of the Antarctic Circumpolar Current (ACC) transport. The veracity of the three-layer framework and derived scales is confirmed by applying the analytical model to an idealized geometry, eddy-permitting ocean general circulation model. Consistent with previous results, the abyssal overturning is found to scale inversely with wind stress, whereas the North Atlantic overturning and surface-layer thickness scale linearly with wind stress. In terms of the prescribed surface buoyancy fluxes, increased negative fluxes (buoyancy removal) in the North Atlantic increase the North Atlantic overturning and surface-layer thickness, whereas increased positive fluxes in the middle and low latitudes lead to a decrease in both parameters. Increased negative surface buoyancy fluxes to the south of Drake Passage increase the abyssal overturning and reduce the abyssal buoyancy. The ACC transport scales to first order with the sum of the Ekman transport and the abyssal overturning and thus increases with both wind stress and southern surface buoyancy flux magnitude.</t>
  </si>
  <si>
    <t>[Hogg, Andrew McC.] Australian Natl Univ, Res Sch Earth Sci, Canberra, ACT 0200, Australia; [Hogg, Andrew McC.] Australian Natl Univ, ARC Ctr Excellence Climate Syst Sci, Canberra, ACT 0200, Australia</t>
  </si>
  <si>
    <t>Australian National University; Australian National University; ARC Centre of Excellence for Climate System Science</t>
  </si>
  <si>
    <t>Hogg, AM (corresponding author), Australian Natl Univ, Res Sch Earth Sci, GPO Box 4, Canberra, ACT 0200, Australia.</t>
  </si>
  <si>
    <t>andy.hogg@anu.edu.au</t>
  </si>
  <si>
    <t>Shakespeare, Callum/A-2167-2013; Hogg, Andy/AAZ-8733-2021; Hogg, Andy McC./A-7553-2011; Shakespeare, Callum/L-1839-2015</t>
  </si>
  <si>
    <t>Hogg, Andy/0000-0001-5898-7635; Hogg, Andy McC./0000-0001-5898-7635; Shakespeare, Callum/0000-0002-8109-0751</t>
  </si>
  <si>
    <t>A. L. Hales Scholarship; ARC Centre of Excellence for Climate System Science [CE11E0098]; Australian Commonwealth Government</t>
  </si>
  <si>
    <t>A. L. Hales Scholarship; ARC Centre of Excellence for Climate System Science(Australian Research Council); Australian Commonwealth Government(Australian Government)</t>
  </si>
  <si>
    <t>We thank Adele Morrison and Henk Dijkstra for their discussions and comments that have improved this manuscript. Additionally, we are grateful to our three anonymous reviewers for helping to improve the clarity and rigor of the manuscript. This work was conducted while CJS was studying Honours at RSES, with the support of an A. L. Hales Scholarship. Both authors were supported by the ARC Centre of Excellence for Climate System Science (CE11E0098). This research was undertaken on the NCI National Facility in Canberra, Australia, which is supported by the Australian Commonwealth Government.</t>
  </si>
  <si>
    <t>10.1175/JPO-D-11-0198.1</t>
  </si>
  <si>
    <t>992QF</t>
  </si>
  <si>
    <t>WOS:000307794100002</t>
  </si>
  <si>
    <t>Urakawa, LS; Hasumi, H</t>
  </si>
  <si>
    <t>Urakawa, L. Shogo; Hasumi, Hiroyasu</t>
  </si>
  <si>
    <t>Eddy-Resolving Model Estimate of the Cabbeling Effect on the Water Mass Transformation in the Southern Ocean</t>
  </si>
  <si>
    <t>GLOBAL THERMOHALINE CIRCULATION; ANTARCTIC MODE; HEAT; TRANSPORT; ADVECTION; ENERGETICS; FLUXES</t>
  </si>
  <si>
    <t>Cabbeling effect on the water mass transformation in the Southern Ocean is investigated with the use of an eddy-resolving Southern Ocean model. A significant amount of water is densified by cabbeling: water mass transformation rates are about 4 Sv (1 Sv equivalent to 10(6) m(3) s(-1)) for transformation from surface/thermocline water to Subantarctic Mode Water (SAMW), about 7 Sv for transformation from SAMW to Antarctic Intermediate Water (AAIW), and about 5 Sv for transformation from AAIW to Upper Circumpolar Deep Water. These diapycnal volume transports occur around the Antarctic Circumpolar Current (ACC), where mesoscale eddies are active. The water mass transformation by cabbeling in this study is also characterized by a large amount of densification of Lower Circumpolar Deep Water (LCDW) into Antarctic Bottom Water (AABW) (about 9 Sv). Large diapycnal velocity is found not only along the ACC but also along the coast of Antarctica at the boundary between LCDW and AABW. It is found that about 3 Sv of LCDW is densified into AABW by cabbeling on the continental slopes of Antarctica in this study. This densification is not small compared with observational and numerical estimates on the AABW formation rate, which ranges from 10 to 20 Sv.</t>
  </si>
  <si>
    <t>[Urakawa, L. Shogo; Hasumi, Hiroyasu] Univ Tokyo, Atmosphere &amp; Ocean Res Inst, Chiba, Japan</t>
  </si>
  <si>
    <t>Urakawa, LS (corresponding author), Univ Tokyo, Atmosphere &amp; Ocean Res Inst, 5-1-5 Kashiwanoha, Kashiwa, Chiba 2778568, Japan.</t>
  </si>
  <si>
    <t>surakawa@aori.u-tokyo.ac.jp</t>
  </si>
  <si>
    <t>Urakawa, Shogo/0000-0001-8087-3239</t>
  </si>
  <si>
    <t>Japan Science and Technology Agency/Core Research for Evolutional Science and Technology; Japan Society for the Promotion of Science for Young Scientists; Grants-in-Aid for Scientific Research [23340138, 20221002] Funding Source: KAKEN</t>
  </si>
  <si>
    <t>Japan Science and Technology Agency/Core Research for Evolutional Science and Technology(Japan Science &amp; Technology Agency (JST)Core Research for Evolutional Science and Technology (CREST)); Japan Society for the Promotion of Science for Young Scientists(Ministry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</si>
  <si>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authors thank A. Oka, Y. Komuro, H. Tatebe, M. Kurogi, M. Watanabe, K. Kusahara, Y. Sasajima, Y. Matsumura, T. Kawasaki, and Y. Hiraike for their helpful comments and discussions. The authors are also grateful to Eric Firing and two anonymous reviewers for their comments. This study is supported by Japan Science and Technology Agency/Core Research for Evolutional Science and Technology; Research Fellowships of the Japan Society for the Promotion of Science for Young Scientists; and Initiative on Promotion of Supercomputing for Young Researchers, Supercomputing Division, Information Technology Center, University of Tokyo. Numerical calculations were done by HA8000 at Information Technology Center, University of Tokyo. Figures in this paper are produced by Grid Analysis and Display System and gnuplot.</t>
  </si>
  <si>
    <t>10.1175/JPO-D-11-0173.1</t>
  </si>
  <si>
    <t>WOS:000307794100003</t>
  </si>
  <si>
    <t>Emperor penguins threatened by Antarctic Sea ice loss</t>
  </si>
  <si>
    <t>MARINE POLLUTION BULLETIN</t>
  </si>
  <si>
    <t>0025-326X</t>
  </si>
  <si>
    <t>1879-3363</t>
  </si>
  <si>
    <t>MAR POLLUT BULL</t>
  </si>
  <si>
    <t>Mar. Pollut. Bull.</t>
  </si>
  <si>
    <t>Environmental Sciences; Marine &amp; Freshwater Biology</t>
  </si>
  <si>
    <t>988LP</t>
  </si>
  <si>
    <t>WOS:000307492800011</t>
  </si>
  <si>
    <t>Nicolas, AN; Plunkett, GM</t>
  </si>
  <si>
    <t>Nicolas, Antoine N.; Plunkett, Gregory M.</t>
  </si>
  <si>
    <t>Untangling generic limits in Azorella, Laretia, and Mulinum (Apiaceae: Azorelloideae): Insights from phylogenetics and biogeography</t>
  </si>
  <si>
    <t>TAXON</t>
  </si>
  <si>
    <t>Andes; Austral-Antarctic; Azorella; Mulinum; Paramos; Puna</t>
  </si>
  <si>
    <t>DISPERSAL-VICARIANCE ANALYSIS; NORTHERN ANDES; HISTORY; MIOCENE; CLIMATE; NUCLEAR; PLANT; DITERPENOIDS; UMBELLIFERAE; VEGETATION</t>
  </si>
  <si>
    <t>The taxonomic histories and generic delimitations of the Andean-Subantarctic genera Azorella, Laretia, and Mulinum are among the most complex in Apiaceae subfam. Azorelloideae. To understand the evolutionary underpinnings of this complexity, we reconstructed the phylogenetic and biogeographic relationships of these genera, using for the first time a sampling strategy that includes all of their recognized species as well as representatives from the related genera Huanaca, Schizeilema, and Stilbocarpa. Sequences from the plastid rpl16 intron and trnD-trnT region were generated and phylogenies based on maximum likelihood, parsimony, and Bayesian inference were compared. The resulting phylogenies show many areas of disagreement with the current taxonomic circumscription of the genera. Four genera (Azorella, Mulinum, Huanaca, Schizeilema) are not monophyletic, and a fifth, Laretia, is embedded in one of the Azorella subclades. Each of the two large clades, informally named the Mulinum clade and the Schizeilema clade, include species currently placed in Azorella. The Mulinum clade is further divided into six subclades, which collectively include 23 of 26 species of Azorella, the monotypic Laretia and all species of Mulinum. Biogeographic reconstructions, conducted using RASP, suggest that the group most likely has an Austral-Antarctic origin, with subantarctic South America as the ancestral area of the ingroup. The Mulinum clade and the Schizeilema clade appear to have followed opposite dispersal routes out of subantarctic South America either across the Subantarctics into New Zealand and Australia (Schizeilema clade), or into Patagonia and then to the upper Andes (Mulinum clade).</t>
  </si>
  <si>
    <t>[Nicolas, Antoine N.; Plunkett, Gregory M.] New York Bot Garden, Cullman Program Mol Systemat, Bronx, NY 10458 USA</t>
  </si>
  <si>
    <t>New York Botanical Garden</t>
  </si>
  <si>
    <t>Nicolas, AN (corresponding author), New York Bot Garden, Cullman Program Mol Systemat, Bronx, NY 10458 USA.</t>
  </si>
  <si>
    <t>anicolas77@yahoo.com</t>
  </si>
  <si>
    <t>National Science Foundation [DEB 0949819]; National Geographic Society [CRE 8355-07]; Department of Biology; Virginia Commonwealth University; Cullman Program for Molecular Systematics at the New York Botanical Garden; Direct For Biological Sciences; Division Of Environmental Biology [0949819] Funding Source: National Science Foundation</t>
  </si>
  <si>
    <t>National Science Foundation(National Science Foundation (NSF)); National Geographic Society(National Geographic Society); Department of Biology; Virginia Commonwealth University; Cullman Program for Molecular Systematics at the New York Botanical Garden; Direct For Biological Sciences; Division Of Environmental Biology(National Science Foundation (NSF)NSF - Directorate for Biological Sciences (BIO))</t>
  </si>
  <si>
    <t>The authors thank the following people and institutions for providing assistance in obtaining plant samples: G.T. Chandler, J. Wen, L. Hufford, Missouri Botanical Garden (MO), Museum National d'Histoire Naturelle (P), United States National Herbarium (US), University of Waikato (WAIK), Australian National Herbarium (CANB), Australian National Botanic Garden (CBG), Royal Botanic Gardens Kew (K), New York Botanical Garden (NY), Instituto de Botanica Darwinion (SI), Universidad Nacional del Comahue (BCRU), and Universidad de Concepcion (CONC). We also thank C.I. Calvino, C. Ezcurra, S. Martinez, E. Ruiz Ponce, and O. Toro for field and herbarium assistance, and two anonymous reviewers for constructive criticism. Support for field and laboratory work was provided by the National Science Foundation (DEB 0949819), the National Geographic Society (CRE 8355-07), the Department of Biology and the Integrative Life Sciences Program at Virginia Commonwealth University, and the Cullman Program for Molecular Systematics at the New York Botanical Garden.</t>
  </si>
  <si>
    <t>0040-0262</t>
  </si>
  <si>
    <t>1996-8175</t>
  </si>
  <si>
    <t>Taxon</t>
  </si>
  <si>
    <t>10.1002/tax.614008</t>
  </si>
  <si>
    <t>Plant Sciences; Evolutionary Biology</t>
  </si>
  <si>
    <t>992AI</t>
  </si>
  <si>
    <t>WOS:000307746700008</t>
  </si>
  <si>
    <t>Margolles, A; Gueimonde, M; Sánchez, B</t>
  </si>
  <si>
    <t>Margolles, Abelardo; Gueimonde, Miguel; Sanchez, Borja</t>
  </si>
  <si>
    <t>Genome Sequence of the Antarctic Psychrophile Bacterium Planococcus antarcticus DSM 14505</t>
  </si>
  <si>
    <t>Planococcus antarcticus DSM 14505 is a psychrophile bacterium that was isolated from cyanobacterial mat samples, originally collected from ponds in McMurdo, Antarctica. This orange-pigmented bacterium grows at 4 C and may possess interesting enzymatic activities at low temperatures. Here we report the first genomic sequence of P. antarcticus DSM 14505.</t>
  </si>
  <si>
    <t>[Margolles, Abelardo; Gueimonde, Miguel; Sanchez, Borja] CSIC, IPLA, Dept Microbiol &amp; Biochem Dairy Prod, Villaviciosa, Asturias, Spain</t>
  </si>
  <si>
    <t>Consejo Superior de Investigaciones Cientificas (CSIC); CSIC - Instituto de Productos Lacteos de Asturias (IPLA)</t>
  </si>
  <si>
    <t>Sánchez, B (corresponding author), CSIC, IPLA, Dept Microbiol &amp; Biochem Dairy Prod, Villaviciosa, Asturias, Spain.</t>
  </si>
  <si>
    <t>borja.sanchez@csic.es</t>
  </si>
  <si>
    <t>Gueimonde, Miguel/A-2106-2008; Gueimonde, Miguel/A-4239-2010; Sanchez, Borja/B-7770-2009; Margolles, Abelardo/H-3871-2012</t>
  </si>
  <si>
    <t>Gueimonde, Miguel/0000-0002-0192-901X; Sanchez, Borja/0000-0003-1408-8018; Margolles, Abelardo/0000-0003-2278-1816</t>
  </si>
  <si>
    <t>Spanish Ministerio de Ciencia e Innovacion; Spanish Ministerio de Ciencia e Innovacion [AGL2010-14952, RM2010-00012-00-00]</t>
  </si>
  <si>
    <t>Spanish Ministerio de Ciencia e Innovacion(Instituto de Salud Carlos IIISpanish Government); Spanish Ministerio de Ciencia e Innovacion(Instituto de Salud Carlos IIISpanish Government)</t>
  </si>
  <si>
    <t>Borja Sanchez was the recipient of a Juan de la Cierva postdoctoral contract from the Spanish Ministerio de Ciencia e Innovacion. Research was supported by grants AGL2010-14952 and RM2010-00012-00-00 from the Spanish Ministerio de Ciencia e Innovacion.</t>
  </si>
  <si>
    <t>10.1128/JB.00888-12</t>
  </si>
  <si>
    <t>984NQ</t>
  </si>
  <si>
    <t>WOS:000307198100050</t>
  </si>
  <si>
    <t>Valdés, A; Moran, AL; Woods, HA</t>
  </si>
  <si>
    <t>Valdes, Angel; Moran, Amy L.; Woods, H. Arthur</t>
  </si>
  <si>
    <t>Revision of several poorly known Antarctic aeolid nudibranch species (Mollusca: Gastropoda), with the description of a new species</t>
  </si>
  <si>
    <t>taxonomy; systematics; Eubranchus; Cuthona; Guyvalvoria; McMurdo Sound; Ross Sea; Antarctica</t>
  </si>
  <si>
    <t>OPISTHOBRANCHIA; SEA</t>
  </si>
  <si>
    <t>Morphological examination of several specimens of aeolid nudibranchs collected from the Ross Sea, Antarctica, revealed an unexpectedly high number of species. Based on the collected material the following species are re-described and for the first time their colour, reproductive anatomy and radula are illustrated together: Eubranchus glacialis, Cuthona modesta, Cuthona crinita, Cuthona elioti and Guyvalvoria paradoxa. Additionally, a new species of Cuthona is described from this area. The new species differs from other Antarctic and sub-Antarctic species of Cuthona in its external appearance, radular morphology and reproductive anatomy. Information on the egg mass and embryonic development of several species is provided.</t>
  </si>
  <si>
    <t>[Valdes, Angel] Calif State Polytech Univ Pomona, Dept Biol Sci, Pomona, CA 91768 USA; [Moran, Amy L.] Clemson Univ, Dept Biol Sci, Clemson, SC 29634 USA; [Woods, H. Arthur] Univ Montana, Div Biol Sci, Missoula, MT 59812 USA</t>
  </si>
  <si>
    <t>California State University System; California State Polytechnic University Pomona; Clemson University; University of Montana System; University of Montana</t>
  </si>
  <si>
    <t>Valdés, A (corresponding author), Calif State Polytech Univ Pomona, Dept Biol Sci, 3801 W Temple Ave, Pomona, CA 91768 USA.</t>
  </si>
  <si>
    <t>aavaldes@csupomona.edu</t>
  </si>
  <si>
    <t>Moran, Amy L/F-7072-2011; Valdes, Angel A/Q-1729-2018; Valdes, Angel/K-3051-2012</t>
  </si>
  <si>
    <t>Moran, Amy/0000-0002-0604-5096; Valdes, Angel/0000-0002-2347-4896</t>
  </si>
  <si>
    <t>National Science Foundation [ANT-0551969, ANT-0440577, DEB-0329054]</t>
  </si>
  <si>
    <t>We thank ANUDE team members P. Kitaeff, B. Miller, L. Mullen, J. Sprague, and E. Schreiber for assistance with collecting and photographing specimens, R. Robbins and S. Rupp for collecting specimens and dive support, and the science support staff of McMurdo Station for facilitating this research. Riccardo Cattaneo-Vietti kindly provided us with a photograph of the live animal and a scanning electron micrograph of the radula of C. modesta. Lindsey Groves (LACM) assisted with the curation of the specimens. This project was supported by National Science Foundation grants ANT-0551969 to A. L. M., ANT-0440577 to H. A. W., and DEB-0329054 to T. M. Gosliner and A.V.</t>
  </si>
  <si>
    <t>10.1017/S0025315411000348</t>
  </si>
  <si>
    <t>984EO</t>
  </si>
  <si>
    <t>WOS:000307173100027</t>
  </si>
  <si>
    <t>Miljeteig, C; Gabrielsen, GW; Strom, H; Gavrilo, MV; Lie, E; Jenssen, BM</t>
  </si>
  <si>
    <t>Miljeteig, Cecilie; Gabrielsen, Geir Wing; Strom, Hallvard; Gavrilo, Maria V.; Lie, Elisabeth; Jenssen, Bjorn Munro</t>
  </si>
  <si>
    <t>Eggshell thinning and decreased concentrations of vitamin E are associated with contaminants in eggs of ivory gulls</t>
  </si>
  <si>
    <t>Pagophila eburnea; Retinol; alpha-Tocopherol; Organochlorines; Brominated flame retardants; Perfluorinated alkyl substances</t>
  </si>
  <si>
    <t>ENDOCRINE-DISRUPTING CHEMICALS; PERSISTENT ORGANIC POLLUTANTS; BROMINATED FLAME RETARDANTS; FEMALE POLAR BEARS; PAGOPHILA-EBURNEA; OXIDATIVE STRESS; SHELL THICKNESS; ORGANOCHLORINE CONTAMINANTS; POLYCHLORINATED-BIPHENYLS; PCB CONTAMINATION</t>
  </si>
  <si>
    <t>The ivory gull is a high Arctic seabird species threatened by climate change and contaminant exposure. High levels of contaminants have been reported in ivory gull Pagophila eburnea eggs from Svalbard and the Russian Arctic. The present study investigated associations between high levels of contaminants (organochlorinated pesticides (OCPs), polychlorinated biphenyls (PCBs), brominated flame retardants (BFRs), perfluorinated alkyl substances (PFASs) and mercury (Hg)) and three response variables: eggshell thickness, retinol (vitamin A) and alpha-tocopherol (vitamin E). Negative associations were found between levels of OCPs, PCBs and BFRs and eggshell thickness (p &lt; 0.021) and alpha-tocopherol (p&lt;0.023), but not with retinol (p &gt; 0.1). There were no associations between PFASs and mercury and the three response variables. Furthermore, the eggshell thickness was 7-17% thinner in the present study than in archived ivory gull eggs (&lt;= 1930). In general, a thinning above 16 to 20% has been associated with a decline in bird populations, suggesting that contaminant-induced eggshell thinning may constitute a serious threat to ivory gull populations globally. (C) 2012 Elsevier B.V. All rights reserved.</t>
  </si>
  <si>
    <t>[Miljeteig, Cecilie; Jenssen, Bjorn Munro] Norwegian Univ Sci &amp; Technol, Dept Biol, N-7491 Trondheim, Norway; [Miljeteig, Cecilie; Gabrielsen, Geir Wing; Strom, Hallvard] Norwegian Polar Res Inst, N-9296 Tromso, Norway; [Gavrilo, Maria V.] Arctic &amp; Antarctic Res Inst, St Petersburg 199226, Russia; [Lie, Elisabeth] Norwegian Sch Vet Sci, Dept Food Safety &amp; Infect Biol, N-0033 Oslo, Norway</t>
  </si>
  <si>
    <t>Norwegian University of Science &amp; Technology (NTNU); Norwegian Polar Institute; Arctic &amp; Antarctic Research Institute; Norwegian University of Life Sciences</t>
  </si>
  <si>
    <t>Miljeteig, C (corresponding author), Norwegian Univ Sci &amp; Technol, Dept Biol, N-7491 Trondheim, Norway.</t>
  </si>
  <si>
    <t>cecilie.miljeteig@bio.ntnu.no</t>
  </si>
  <si>
    <t>Jenssen, Bjorn Munro/O-3217-2019; Gabrielsen, Geir Wing/JDC-6415-2023; Gavrilo, Maria V/R-7091-2016</t>
  </si>
  <si>
    <t>Jenssen, Bjorn Munro/0000-0002-7042-2191; Gavrilo, Maria V/0000-0002-3500-9617; Miljeteig, Cecilie/0000-0003-1527-1703</t>
  </si>
  <si>
    <t>Norwegian Ministry of Environment; Norwegian Polar Institute; Norwegian University of Science and Technology; Norwegian Pollution Control Authority; Governor of Svalbard</t>
  </si>
  <si>
    <t>We thank Vidar Bakken, Audun Igesund, Andrey Volkov and Elena Volkova for their assistance with collection of samples. We also thank Jenny Bytingsvik and Helene Mathisen for technical analytical assistance. We thank Rene Corado for providing the measurements of the ivory gull eggshells in the collections of the Western Foundation of Vertebrate Zoology (WFVZ). Funding for this study was provided by the Norwegian Ministry of Environment, the Norwegian Polar Institute, the Norwegian University of Science and Technology, the Norwegian Pollution Control Authority and the Governor of Svalbard.</t>
  </si>
  <si>
    <t>AUG 1</t>
  </si>
  <si>
    <t>10.1016/j.scitotenv.2012.05.018</t>
  </si>
  <si>
    <t>980IX</t>
  </si>
  <si>
    <t>WOS:000306887900012</t>
  </si>
  <si>
    <t>Haranczyk, H; Nowak, P; Bacior, M; Lisowska, M; Marzec, M; Florek, M; Olech, MA</t>
  </si>
  <si>
    <t>Haranczyk, H.; Nowak, P.; Bacior, M.; Lisowska, M.; Marzec, M.; Florek, M.; Olech, M. A.</t>
  </si>
  <si>
    <t>Bound water freezing in Antarctic Umbilicaria aprina from Schirmacher Oasis</t>
  </si>
  <si>
    <t>DSC; foliose lichenized fungi; freezing resistance; lichens; NMR</t>
  </si>
  <si>
    <t>PROTON MAGNETIC-RELAXATION; DIFFERENT HYDRATION LEVELS; ICE NUCLEATION ACTIVITY; SORPTION ISOTHERM; PHOTOSYNTHETIC MEMBRANES; CLADONIA-MITIS; LICHEN MYCOBIONTS; DEEP DEHYDRATION; NMR; THALLUS</t>
  </si>
  <si>
    <t>The effect of low temperature on Umbilicaria aprina collected from Schirmacher Oasis, East Antarctica, was determined over a wide range of hydration using proton free induction decays, proton nuclear magnetic resonance (NMR) spectra and differential scanning calorimetry methods. The proton NMR line is a superposition of the broad component from the solid matrix of the thallus and a narrower component from the averaged bound water pool. Proton free induction decays may be resolved into three components: a solid component well described by the Abragam function and two exponentially decaying components from water loosely bound and water tightly bound in the thallus. With decreased temperature the loosely bound water pool (freezing water) is transferred to the tightly bound water pool (non-freezing water), and vanishes below -40 degrees C . Bound water freezing and melting temperatures decrease with the decrease of hydration level, suggesting that heterogeneous ice nucleation is responsible for water freezing. The onset of bound water freezing temperature is c. 10 degrees C lower than the melting temperature. The U aprina thalli do not reveal the ability to stimulated ice nucleation at higher temperature. Freeze-thaw cycles showed that for n &gt; 5 cycles no substantial change occurs in the difference between melting and freezing temperatures.</t>
  </si>
  <si>
    <t>[Haranczyk, H.; Nowak, P.; Bacior, M.; Marzec, M.; Florek, M.] Jagiellonian Univ, Inst Phys, PL-30059 Krakow, Poland; [Lisowska, M.; Olech, M. A.] Jagiellonian Univ, Inst Bot, PL-31501 Krakow, Poland</t>
  </si>
  <si>
    <t>Jagiellonian University; Jagiellonian University</t>
  </si>
  <si>
    <t>Haranczyk, H (corresponding author), Jagiellonian Univ, Inst Phys, Ul Reymonta 4, PL-30059 Krakow, Poland.</t>
  </si>
  <si>
    <t>hubert.haranczyk@uj.edu.pl</t>
  </si>
  <si>
    <t>Nowak, Piotr/AAU-2296-2020; Bacior, Magdalena/JNR-7147-2023; Lisowska, Maja/F-9773-2012; Florek-Wojciechowska, Malgorzata/G-5431-2014</t>
  </si>
  <si>
    <t>Bacior, Magdalena/0000-0003-4615-9458; Marzec, Monika/0000-0002-4854-9567; Lisowska, Maja/0000-0003-1056-1779; Florek-Wojciechowska, Malgorzata/0000-0002-1206-8841</t>
  </si>
  <si>
    <t>European Regional Development Fund in the framework of Polish Innovation Economy Operational Program [POIG.02.01.00-12-023/08]</t>
  </si>
  <si>
    <t>European Regional Development Fund in the framework of Polish Innovation Economy Operational Program</t>
  </si>
  <si>
    <t>The research was carried out with the equipment purchased thanks to the financial support of the European Regional Development Fund in the framework of the Polish Innovation Economy Operational Program (contract no. POIG.02.01.00-12-023/08). We are thankful to colleagues from Maitri Station and participants of the 23rd Indian Antarctic Expedition for their help during the field studies. We would like to thank the reviewers for their comments and suggested improvements.</t>
  </si>
  <si>
    <t>10.1017/S0954102012000041</t>
  </si>
  <si>
    <t>983TM</t>
  </si>
  <si>
    <t>WOS:000307141600004</t>
  </si>
  <si>
    <t>Singh, SM; Ochyra, R; Pednekar, SM; Asthana, R; Ravindra, R</t>
  </si>
  <si>
    <t>Singh, S. M.; Ochyra, R.; Pednekar, S. M.; Asthana, R.; Ravindra, R.</t>
  </si>
  <si>
    <t>A Holocene moss species preserved in lake sediment core and the present moss diversity at Schirmacher Oasis, Antarctica</t>
  </si>
  <si>
    <t>biogeography; Dronning Maud Land; palaeobotany; Pohlia nutans; stratigraphy</t>
  </si>
  <si>
    <t>LAST GLACIAL MAXIMUM; CONTINENTAL ANTARCTICA; EAST ANTARCTICA; HISTORY; RECORD; PLANTS; ISLAND; LAND</t>
  </si>
  <si>
    <t>The sub-fossil moss Pohlia nutans is recorded from lake sediment cores at Schirmacher Oasis, Dronning Maud Land, Antarctica. It was isolated from 160-162 cm depth of a sediment core. Radiocarbon (C-14) dates by accelerator mass spectrometry confirmed its age to be 10.65 kyr BP. The preserved Holocene sub-fossil moss includes delicate leaves, axes and rhizoids and matches perfectly the extant specimens of P. nutans. This is the first record of this sub-fossil from Dronning Maud Land, although the species is common as present-day flora in other parts of the Antarctic. The present status of the moss flora of Schirmacher Oasis is also discussed, including its diversity, ecology and biogeography.</t>
  </si>
  <si>
    <t>[Singh, S. M.; Pednekar, S. M.; Ravindra, R.] Natl Ctr Antarctic &amp; Ocean Res, Vasco Da Gama 403804, Goa, India; [Ochyra, R.] Polish Acad Sci, Inst Bot, PL-31512 Krakow, Poland; [Asthana, R.] Geol Survey India, Antarctica Div, Faridabad 121001, India</t>
  </si>
  <si>
    <t>Ministry of Earth Sciences (MoES) - India; National Centre for Polar and Ocean Research (NCPOR); Polish Academy of Sciences; Geological Survey India</t>
  </si>
  <si>
    <t>Singh, SM (corresponding author), Natl Ctr Antarctic &amp; Ocean Res, Vasco Da Gama 403804, Goa, India.</t>
  </si>
  <si>
    <t>smsingh@ncaor.org</t>
  </si>
  <si>
    <t>Ochyra, Ryszard/0000-0002-2541-0722</t>
  </si>
  <si>
    <t>10.1017/S0954102012000211</t>
  </si>
  <si>
    <t>WOS:000307141600005</t>
  </si>
  <si>
    <t>Berrocoso, M; Torrecillas, C; Jigena, B; Fernández-Ros, A</t>
  </si>
  <si>
    <t>Berrocoso, M.; Torrecillas, C.; Jigena, B.; Fernandez-Ros, A.</t>
  </si>
  <si>
    <t>Determination of geomorphological and volumetric variations in the 1970 land volcanic craters area (Deception Island, Antarctica) from 1968 using historical and current maps, remote sensing and GNSS</t>
  </si>
  <si>
    <t>Digital elevation model; geodetic transformations; geoid; GPS; volcanic erosion rate; volcanic sedimentation rate</t>
  </si>
  <si>
    <t>BRANSFIELD STRAIT; PLATE BOUNDARY; EVOLUTION; ERUPTION; BASIN</t>
  </si>
  <si>
    <t>During the nearly 40 years covered by the study, major height differences of over +/- 25 m have been revealed in the volcanic landscape of the 1970 craters in Deception Island, an active volcano in the South Shetland Islands (West Antarctica). In the last 14 years, the mean volcanic filling rate has been 1 m yr(-1) and the mean erosion rate has been -0.2 m yr(-1). There has been considerable landform modification mainly associated with landslide-induced accumulation, and erosion may indicate the craters' fill over the next 30-40 years. Deception Island's eruptions have been recorded since 1842. Special attention was paid to the zones affected by the most recent volcanic events and the geomorphological changes that have taken place in those zones since then (e.g. the 1970 volcanic craters area in the last episode occurring between 1967 and 1970). Historical maps (produced before and just after the 1970 eruption) were compared with maps plotted in 1992 and updated using a 2003 image from the Quickbird satellite and data obtained with Global Navigation Satellite System technology in 2006. Techniques used included both geodetic transformation and the geometric correcting of maps.</t>
  </si>
  <si>
    <t>[Berrocoso, M.; Jigena, B.; Fernandez-Ros, A.] Univ Cadiz, Lab Astron Geodesia &amp; Cartog, Cadiz 11510, Spain; [Torrecillas, C.] Univ Seville, Escuela Tecn Super Ingn, Dept Ingn Graf, Seville 41092, Spain</t>
  </si>
  <si>
    <t>Universidad de Cadiz; Consejo Superior de Investigaciones Cientificas (CSIC); CSIC-UCM - Instituto de Astronomia y Geodesia (IAG); University of Sevilla</t>
  </si>
  <si>
    <t>Berrocoso, M (corresponding author), Univ Cadiz, Lab Astron Geodesia &amp; Cartog, Campus Rio San Pedro S-N, Cadiz 11510, Spain.</t>
  </si>
  <si>
    <t>torrecillas@us.es</t>
  </si>
  <si>
    <t>Torrecillas, Cristina/D-9178-2011; Jigena-Antelo, Bismarck/N-8079-2015; BERROCOSO, MANUEL/O-3818-2014</t>
  </si>
  <si>
    <t>Torrecillas, Cristina/0000-0002-3650-3174; Jigena-Antelo, Bismarck/0000-0002-4858-3415; BERROCOSO, MANUEL/0000-0002-1878-9658</t>
  </si>
  <si>
    <t>Spanish Ministry of Education and Science [CGL2005-07589-C03-01/ANT, CGL2004-21547-E, CGL2007-28768-E/ANT, CTM2009-07251]; Spanish CGE</t>
  </si>
  <si>
    <t>Spanish Ministry of Education and Science(Spanish Government); Spanish CGE</t>
  </si>
  <si>
    <t>This geodetic research has been carried out with the support of the Spanish Ministry of Education and Science as part of the National Antarctic Program: Volcanotectonic activity on Deception Island: geodetic, geophysical research and remote sensing on Deception Island and its surrounding area (VOLTEDEC, CGL2005-07589-C03-01/ANT), Geodetic Control of the volcanic activity on Deception Island (CONGEODEC, CGL2004-21547-E), Geodetic monitoring of the volcanic activity on Deception Island (SEGAVDEC, CGL2007-28768-E/ANT) and Geodetic and geothermal research, time serial analysis and volcanic developments in Antarctica (South Shetland Islands and Antarctic Peninsula) (GEOTINANT, CTM2009-07251). We would also like to acknowledge the collaboration and cordiality of the Spanish CGE and its support for Spanish Antarctic research. Reviews by Paul Cooper and John Smellie were much appreciated.</t>
  </si>
  <si>
    <t>10.1017/S0954102012000193</t>
  </si>
  <si>
    <t>WOS:000307141600007</t>
  </si>
  <si>
    <t>De Andrade, RP; Michel, RFM; Schaefer, CEGR; Simas, FNB; Windmöller, CC</t>
  </si>
  <si>
    <t>De Andrade, Renato Pereira; Machado Michel, Roberto Ferreira; Goncalves Reynaud Schaefer, Carlos Ernerto; Bello Simas, Felipe Nogueira; Windmoeller, Claudia Carvalhinho</t>
  </si>
  <si>
    <t>Hg distribution and speciation in Antarctic soils of the Fildes and Ardley peninsulas, King George Island</t>
  </si>
  <si>
    <t>direct mercury analyser; Hg contamination; omithogenic soils; soil analysis; total mercury</t>
  </si>
  <si>
    <t>MERCURY BINDING FORMS; CONTAMINATED SOILS; MARITIME ANTARCTICA; SEDIMENTS; CRYOSOLS; EXTRACTIONS; DEPOSITION; EVOLUTION; STATION</t>
  </si>
  <si>
    <t>Data on the content and speciation of mercury (Hg) in the soils of Antarctica are scarce and vary greatly between the regions studied, but overall Hg concentrations found were generally very low. We investigated the Hg quantity and speciation by solid-phase Hg pyrolysis and chemical fractionation in selected maritime Antarctic soils, comparing ornithogenic and non-ornithogenic areas of the Fildes and Ardley peninsulas of King George Island. The total Hg contents ranged from 4.3-256 ng g(-1), and values for ornithogenic soils were the highest recorded for Antarctic soils. A close correlation between Hg and organic matter was observed in the ornithogenic soils, with levels decreasing with depth. In the non-ornithogenic soils, a correlation between Hg content and soil depth was also observed, but the values were found to increase with depth. Thermograms showed that all Hg was in the 2(+) oxidation state and was predominantly linked to organic matter, corroborating the chemical fractionation results for the ornithogenic soils. These results show the need for further refined studies about the interactions of Hg with organic matter in order to better understand the biogeochemistry of this metal in the Antarctic environment.</t>
  </si>
  <si>
    <t>[Windmoeller, Claudia Carvalhinho] Univ Fed Minas Gerais, Dept Chem, BR-31270901 Belo Horizonte, MG, Brazil; [Goncalves Reynaud Schaefer, Carlos Ernerto; Bello Simas, Felipe Nogueira] Univ Fed Vicosa, Dept Soil Sci, BR-36570000 Vicosa, MG, Brazil; [Machado Michel, Roberto Ferreira] State Environm Fdn Minas Gerais, BR-31630900 Belo Horizonte, MG, Brazil</t>
  </si>
  <si>
    <t>Universidade Federal de Minas Gerais; Universidade Federal de Vicosa</t>
  </si>
  <si>
    <t>Windmöller, CC (corresponding author), Univ Fed Minas Gerais, Dept Chem, BR-31270901 Belo Horizonte, MG, Brazil.</t>
  </si>
  <si>
    <t>claucw@netuno.lcc.ufmg.br</t>
  </si>
  <si>
    <t>Schaefer, Carlos Ernesto/AAY-4977-2020; Windmoller, Claudia C/H-3647-2012; Michel, Roberto Ferreira Machado/H-4578-2016; Criosfera, Inct/J-8639-2013</t>
  </si>
  <si>
    <t>Michel, Roberto Ferreira Machado/0000-0001-5951-4610; Ernesto Goncalves Reynaud Schaefer, Carlos/0000-0001-5735-3227; Ernesto Goncalves Reynaud Schaefer, Carlos/0000-0001-7060-1598; Windmolller, Claudia/0000-0001-9621-1117</t>
  </si>
  <si>
    <t>Brazilian Antarctic Program (PROANTAR); CNPq; FAPEMIG; PRPq/UFMG; FEAM; Brazilian Navy; Brazilian Research Agency CNPq</t>
  </si>
  <si>
    <t>Brazilian Antarctic Program (PROANTAR); CNPq(Conselho Nacional de Desenvolvimento Cientifico e Tecnologico (CNPQ)); FAPEMIG(Fundacao de Amparo a Pesquisa do Estado de Minas Gerais (FAPEMIG)); PRPq/UFMG; FEAM; Brazilian Navy; Brazilian Research Agency CNPq(Conselho Nacional de Desenvolvimento Cientifico e Tecnologico (CNPQ))</t>
  </si>
  <si>
    <t>The authors thank the Brazilian Antarctic Program (PROANTAR), CNPq, FAPEMIG, PRPq/UFMG and FEAM and the Brazilian Navy for logistical and financial support. This study received contributions from the International Polar Year ANTPAS Project (Cryosols Project), and is part of the INCT-Criosfera Program, currently supported by the Brazilian Research Agency CNPq. The constructive comments of the reviewers are also gratefully acknowledged.</t>
  </si>
  <si>
    <t>10.1017/S0954102012000107</t>
  </si>
  <si>
    <t>WOS:000307141600009</t>
  </si>
  <si>
    <t>Gazdzicki, A; Majewski, W</t>
  </si>
  <si>
    <t>Gazdzicki, Andrzej; Majewski, Wojciech</t>
  </si>
  <si>
    <t>Foraminifera from the Eocene La Meseta Formation of Isla Marambio (Seymour Island), Antarctic Peninsula</t>
  </si>
  <si>
    <t>benthic foraminifera; microfossils; Paleogene; West Antarctica</t>
  </si>
  <si>
    <t>EAST ANTARCTICA; BIOSTRATIGRAPHY; STRATIGRAPHY; PLIOCENE; STRATA; BASIN; HILLS</t>
  </si>
  <si>
    <t>Benthic foraminiferal assemblages are described for the first time from the early Eocene of West Antarctica. They come from the lower member (Telm1) of the La Meseta Formation of Isla Marambio (Seymour Island). Two distinctive assemblages, dominated by Nonionellina, Nonionella, Globocassidulina, and Eilohedra, as well as by Globocassidulina, Cribroelphidium, Guttulina, and Lobatula, indicate restricted, shallow marine, nearshore conditions. Their most characteristic species show distinct affinities with Eocene faunas of New Zealand and Patagonia, as well as with stratigraphically younger Antarctic foraminiferal communities.</t>
  </si>
  <si>
    <t>[Gazdzicki, Andrzej; Majewski, Wojciech] Polish Acad Sci, Inst Paleobiol, PL-00818 Warsaw, Poland</t>
  </si>
  <si>
    <t>Polish Academy of Sciences; Institute of Paleobiology of the Polish Academy of Sciences</t>
  </si>
  <si>
    <t>Andrzej, Gazdzicki/AAW-2137-2020; Majewski, Wojciech/D-9255-2017</t>
  </si>
  <si>
    <t>Andrzej, Gazdzicki/0000-0003-2001-3282; Majewski, Wojciech/0000-0002-5407-1782</t>
  </si>
  <si>
    <t>Instituto Antartico Argentino; Fuerza Aerea Argentina; Polish Ministry of Science and Higher Education [2011/01/B/ST10/06956]</t>
  </si>
  <si>
    <t>Instituto Antartico Argentino; Fuerza Aerea Argentina; Polish Ministry of Science and Higher Education(Ministry of Science and Higher Education, Poland)</t>
  </si>
  <si>
    <t>We would like to thank Bruce W. Hayward and Brian T. Huber for their reviews, which helped to improve the manuscript. Fieldwork on Isla Marambio was supported by the Instituto Antartico Argentino and the Fuerza Aerea Argentina. The latest stages of this study were supported by a grant of the Polish Ministry of Science and Higher Education No. 2011/01/B/ST10/06956.</t>
  </si>
  <si>
    <t>10.1017/S095410201200020X</t>
  </si>
  <si>
    <t>WOS:000307141600010</t>
  </si>
  <si>
    <t>Di Biagio, C; di Sarra, A; Eriksen, P; Ascanius, SE; Muscari, G; Holben, B</t>
  </si>
  <si>
    <t>Di Biagio, C.; di Sarra, A.; Eriksen, P.; Ascanius, S. E.; Muscari, G.; Holben, B.</t>
  </si>
  <si>
    <t>Effect of surface albedo, water vapour, and atmospheric aerosols on the cloud-free shortwave radiative budget in the Arctic</t>
  </si>
  <si>
    <t>Arctic radiative balance; Surface albedo; Atmospheric aerosols; Water vapour; Direct radiative forcing; Arctic amplification</t>
  </si>
  <si>
    <t>OPTICAL-PROPERTIES; SEA-ICE; TRENDS; ALGORITHM; POLLUTION; AERONET; EVENTS; SHEBA</t>
  </si>
  <si>
    <t>This study is based on ground-based measurements of downward surface shortwave irradiance (SW), columnar water vapour (wv), and aerosol optical depth (tau) obtained at Thule Air Base (Greenland) in 2007-2010, together with MODIS observations of the surface shortwave albedo (A). Radiative transfer model calculations are used in combination with measurements to separate the radiative effect of A (Delta SWA), wv (Delta SWwv), and aerosols (Delta SW tau) in modulating SW in cloud-free conditions. The shortwave radiation at the surface is mainly affected by water vapour absorption, which produces a reduction of SW as low as -100 Wm(-2) (-18%). The seasonal change of A produces an increase of SW by up to +25 Wm(-2) (+4.5%). The annual mean radiative effect is estimated to be -(21-22) Wm(-2) for wv, and +(2-3) Wm(-2) for A. An increase by +0.065 cm in the annual mean wv, to which corresponds an absolute increase in Delta SWwv by 0.93 Wm(-2) (4.3%), has been observed to occur between 2007 and 2010. In the same period, the annual mean A has decreased by -0.027, with a corresponding decrease in Delta SWA by 0.41 Wm(-2) (-14.9%). Atmospheric aerosols produce a reduction of SW as low as -32 Wm(-2) (-6.7%). The instantaneous aerosol radiative forcing (RF tau) reaches values of -28 Wm(-2) and shows a strong dependency on surface albedo. The derived radiative forcing efficiency (FE tau) for solar zenith angles between 55A degrees and 70A degrees is estimated to be (-120.6 +/- A 4.3) for 0.1 &lt; A &lt; 0.2, and (-41.2 +/- A 1.6) Wm(-2) for 0.5 &lt; A &lt; 0.6.</t>
  </si>
  <si>
    <t>[Di Biagio, C.; di Sarra, A.] ENEA, Lab Earth Observat &amp; Anal, I-00123 Rome, Italy; [Di Biagio, C.] Univ Siena, Dept Earth Sci, I-53100 Siena, Italy; [Eriksen, P.] DMI, Danish Climate Ctr, DK-2100 Copenhagen, Denmark; [Ascanius, S. E.] DMI, Qaanaaq, Greenland; [Muscari, G.] INGV, I-00143 Rome, Italy; [Holben, B.] NASA, Goddard Space Flight Ctr, Greenbelt, MD 20771 USA</t>
  </si>
  <si>
    <t>Italian National Agency New Technical Energy &amp; Sustainable Economics Development; University of Siena; Danish Meteorological Institute DMI; Istituto Nazionale Geofisica e Vulcanologia (INGV); National Aeronautics &amp; Space Administration (NASA); NASA Goddard Space Flight Center</t>
  </si>
  <si>
    <t>Di Biagio, C (corresponding author), ENEA, Lab Earth Observat &amp; Anal, Via Anguillarese 301, I-00123 Rome, Italy.</t>
  </si>
  <si>
    <t>claudia.dibiagio@enea.it; alcide.disarra@enea.it; pe@dmi.dk; geobsthl@greennet.gl; giovanni.muscari@ingv.it; brent@aeronet.gsfc.nasa.gov</t>
  </si>
  <si>
    <t>; di Sarra, Alcide/J-1491-2016</t>
  </si>
  <si>
    <t>Di Biagio, Claudia/0000-0001-8273-6211; di Sarra, Alcide/0000-0002-2405-2898; Muscari, Giovanni/0000-0001-6326-2612</t>
  </si>
  <si>
    <t>project PRIN (Dirigibile Italia''); Italian Ministry for University and Research; Italian Antarctic Program; Div Atmospheric &amp; Geospace Sciences; Directorate For Geosciences [0936365] Funding Source: National Science Foundation</t>
  </si>
  <si>
    <t>project PRIN (Dirigibile Italia''); Italian Ministry for University and Research(Ministry of Education, Universities and Research (MIUR)); Italian Antarctic Program; Div Atmospheric &amp; Geospace Sciences; Directorate For Geosciences(National Science Foundation (NSF)NSF - Directorate for Geosciences (GEO))</t>
  </si>
  <si>
    <t>This work was supported by the project PRIN 2007 (Dirigibile Italia''), funded by the Italian Ministry for University and Research, and by the Italian Antarctic Program. MODIS data are distributed by the Land Processes Distributed Active Archive Center (LP DAAC), located at the US Geological Survey (USGS) Earth Resources Observation and Science (EROS) Center (lpdaac.usgs.gov). We thank two anonymous reviewers for their helpful comments.</t>
  </si>
  <si>
    <t>3-4</t>
  </si>
  <si>
    <t>10.1007/s00382-011-1280-1</t>
  </si>
  <si>
    <t>985MQ</t>
  </si>
  <si>
    <t>WOS:000307271200027</t>
  </si>
  <si>
    <t>Backeberg, BC; Penven, P; Rouault, M</t>
  </si>
  <si>
    <t>Backeberg, Bjoern C.; Penven, Pierrick; Rouault, Mathieu</t>
  </si>
  <si>
    <t>Impact of intensified Indian Ocean winds on mesoscale variability in the Agulhas system</t>
  </si>
  <si>
    <t>ADVECTION SCHEMES; CIRCULATION; EDDIES; HEAT</t>
  </si>
  <si>
    <t>South of Africa, the Agulhas Current retroflects and a portion of its waters flows into the South Atlantic Ocean(1), typically in the form of Agulhas rings(2). This flux of warm and salty water from the Indian to the Atlantic Ocean (the Agulhas leakage) is now recognized as a key element in global climate(3). An Agulhas leakage shutdown has been associated with extreme glacial periods(4), whereas a vigorous increase has preceded shifts towards interglacials(5). In the absence of a coherent observing system, studies of the Agulhas have relied heavily on ocean models, which have revealed a possible recent increase in Agulhas leakage(6-8). However, owing to the high levels of oceanic turbulence, model solutions of the region are highly sensitive to their numerical choices(9,10), stressing the need for observations to confirm these important model results. Here, using satellite altimetry observations from 1993 to 2009, we show that the mesoscale variability of the Agulhas system, in particular in the Mozambique Channel and south of Madagascar, has intensified. This seems to result from an increased South Equatorial Current driven by enhanced trade winds over the tropical Indian Ocean. Overall, the intensified mesoscale variability of the Agulhas system is reflected in accelerated eddy propagation, in its source regions as well as the retroflection from which eddies propagate into the South Atlantic Ocean. This suggests that the Agulhas leakage may have increased from 1993 to 2009, confirming previous modelling studies that have further implied an increased Agulhas leakage may compensate a deceleration of meridional overturning circulation associated with a freshening of the North Atlantic Ocean(6,11).</t>
  </si>
  <si>
    <t>[Backeberg, Bjoern C.; Rouault, Mathieu] Univ Cape Town, Nansen Tutu Ctr Marine Environm Res, ZA-7701 Cape Town, South Africa; [Backeberg, Bjoern C.; Penven, Pierrick; Rouault, Mathieu] Univ Cape Town, MA RE Inst, Dept Oceanog, ZA-7701 Cape Town, South Africa; [Penven, Pierrick] UBO, CNRS, IRD, IFREMER,UMR 6523,LMI ICEMASA,Lab Phys Oceans, F-29280 Plouzane, France</t>
  </si>
  <si>
    <t>University of Cape Town; University of Cape Town; Centre National de la Recherche Scientifique (CNRS); Ifremer; Institut de Recherche pour le Developpement (IRD); Universite de Bretagne Occidentale; Institut Universitaire Europeen de la Mer (IUEM); CNRS - National Institute for Earth Sciences &amp; Astronomy (INSU)</t>
  </si>
  <si>
    <t>Backeberg, BC (corresponding author), Univ Cape Town, Nansen Tutu Ctr Marine Environm Res, ZA-7701 Cape Town, South Africa.</t>
  </si>
  <si>
    <t>bjorn.backeberg@nersc.no</t>
  </si>
  <si>
    <t>Rouault, Mathieu/A-5022-2008; Penven, Pierrick/A-6665-2008</t>
  </si>
  <si>
    <t>Rouault, Mathieu/0000-0002-3207-6777; Penven, Pierrick/0000-0001-6456-3142; Backeberg, Bjorn/0000-0001-7940-6975</t>
  </si>
  <si>
    <t>Nansen-Tutu Centre for Marine Environmental Research; International Centre for Education, Marine and Atmospheric Sciences over Africa; African Centre for Earth System Science; Water Research Commission; National Research Foundation</t>
  </si>
  <si>
    <t>This work has been supported by the Nansen-Tutu Centre for Marine Environmental Research and the International Centre for Education, Marine and Atmospheric Sciences over Africa. M.R. thanks the African Centre for Earth System Science, Water Research Commission and the National Research Foundation for financial support. The altimeter products were produced by Ssalto/Duacs and distributed by Aviso, with support from Cnes (www.aviso.oceanobs.com/duacs/). The CFSR data were obtained from the Research Data Archive of the Computational and Information Systems Laboratory at the National Center for Atmospheric Research. We'would like to thank B. Pohl for his advice on the Antarctic Oscillation.</t>
  </si>
  <si>
    <t>10.1038/NCLIMATE1587</t>
  </si>
  <si>
    <t>986TU</t>
  </si>
  <si>
    <t>WOS:000307369300018</t>
  </si>
  <si>
    <t>Witowski, C; Maschek, A; Amsler, C; McClintock, J; Baker, BJ</t>
  </si>
  <si>
    <t>Witowski, C.; Maschek, A.; Amsler, C.; McClintock, J.; Baker, B. J.</t>
  </si>
  <si>
    <t>Principle component analysis of the Antarctic sponge Dendrilla membranosa secondary metabolome</t>
  </si>
  <si>
    <t>PLANTA MEDICA</t>
  </si>
  <si>
    <t>International Congress on Natural Products Research on Global Change, Natural Products and Human Health/8th Joint Meeting of AFERP, ASP, GA, PSE and SIF</t>
  </si>
  <si>
    <t>JUL 28-AUG 01, 2012</t>
  </si>
  <si>
    <t>New York, NY</t>
  </si>
  <si>
    <t>[Witowski, C.; Maschek, A.; Baker, B. J.] Univ S Florida, Dept Chem, Tampa, FL 33620 USA; [Amsler, C.; McClintock, J.] Univ Alabama Birmingham, Dept Biol Sci, Birmingham, AL 35294 USA; [Baker, B. J.] Ctr Drug Discovery &amp; Innovat, Tampa, FL 33620 USA</t>
  </si>
  <si>
    <t>State University System of Florida; University of South Florida; University of Alabama System; University of Alabama Birmingham</t>
  </si>
  <si>
    <t>GEORG THIEME VERLAG KG</t>
  </si>
  <si>
    <t>STUTTGART</t>
  </si>
  <si>
    <t>RUDIGERSTR 14, D-70469 STUTTGART, GERMANY</t>
  </si>
  <si>
    <t>0032-0943</t>
  </si>
  <si>
    <t>PLANTA MED</t>
  </si>
  <si>
    <t>Planta Med.</t>
  </si>
  <si>
    <t>Plant Sciences; Chemistry, Medicinal; Integrative &amp; Complementary Medicine; Pharmacology &amp; Pharmacy</t>
  </si>
  <si>
    <t>Plant Sciences; Pharmacology &amp; Pharmacy; Integrative &amp; Complementary Medicine</t>
  </si>
  <si>
    <t>982KT</t>
  </si>
  <si>
    <t>WOS:000307042800541</t>
  </si>
  <si>
    <t>Zhang, HS; Lu, DD; Yu, PS; Zhang, WG; Lu, B; Peter, HU; Vetter, W</t>
  </si>
  <si>
    <t>Zhang HaiSheng; Lu DouDing; Yu PeiSong; Zhang WeiGuo; Lu Bing; Peter, Hans-Ulrich; Vetter, Walter</t>
  </si>
  <si>
    <t>Biomarker records in penguin droppings and observed changes in penguin communities and their response to the ENSO in the Western Antarctic</t>
  </si>
  <si>
    <t>SCIENCE CHINA-EARTH SCIENCES</t>
  </si>
  <si>
    <t>Western Antarctic; penguin droppings; Pb-210; biomarker; penguin population; climate change</t>
  </si>
  <si>
    <t>FATTY-ACIDS; EL-NINO; SOUTHERN-OSCILLATION; SEA-ICE; ORGANIC GEOCHEMISTRY; ORNITHOGENIC SOILS; LIPID BIOMARKER; FOOD-WEB; SEDIMENTS; LAKE</t>
  </si>
  <si>
    <t>Lipid biomarkers in AD2 penguin droppings-amend soil core from the Ardley Island, Western Antarctic, were dated using Pb-210. Changes in the fatty acid ratios of nC(18:2)/nC(18:0) from the penguin droppings reflect climate changes coincident with ENNO events during 1931-2006. The occurrence of the minimum values in the depth of 2-3 and 6-7 cm are consistent with the end of ENSO in 1958 and 1983, respectively, reflecting a lag of the biomarker records in AD2 penguin droppings-amend soil in climatic signatures. This study also reveals that the changes in the relative concentration of n-alkanes nC(23), the ratios of nC(23)/nC(17) and I nC(21) pound (-)/I nC(22) pound (+), and carbon preferential index (CPI) values collectively indicate the variations of soil microorganism and lower plant, which are closely related to climate changes. The ratios of bacterial fatty acids iC(15:0)/aC(15:0) reflect the increasing significance of microorganism activities during the two periods that occurred at the end years of ENSO. Decrease in CPIA value and increase in I nC(21) pound (t-)/I nC(22) pound (+) indicate that low molecular weight fatty acids are derived from microorganism; and their insignificant correlation with Pr/Ph suggests microorganisms play an important role in the relatively simply ecosystem in the Antarctic and are closely linked to climatic conditions. In addition, the observed penguin community indicates the population of penguin can largely reflect the impacts of global climate changes on the ecosystem.</t>
  </si>
  <si>
    <t>[Zhang HaiSheng; Lu DouDing; Yu PeiSong; Lu Bing] State Ocean Adm, Inst Oceanog 2, Lab Marine Ecosyst &amp; Biogeochem, Hangzhou 310012, Zhejiang, Peoples R China; [Zhang WeiGuo] E China Normal Univ, State Key Lab Estuarine &amp; Coastal Res, Shanghai 201100, Peoples R China; [Peter, Hans-Ulrich; Vetter, Walter] Univ Jena, Inst Ecol, D-07743 Jena, Germany</t>
  </si>
  <si>
    <t>East China Normal University; Friedrich Schiller University of Jena</t>
  </si>
  <si>
    <t>Zhang, HS (corresponding author), State Ocean Adm, Inst Oceanog 2, Lab Marine Ecosyst &amp; Biogeochem, Hangzhou 310012, Zhejiang, Peoples R China.</t>
  </si>
  <si>
    <t>zhangsoa@163.com</t>
  </si>
  <si>
    <t>National Natural Science Foundation of China [40876104, 41006118]</t>
  </si>
  <si>
    <t>This study was supported by National Natural Science Foundation of China (Grant Nos. 40876104 and 41006118).</t>
  </si>
  <si>
    <t>1674-7313</t>
  </si>
  <si>
    <t>1869-1897</t>
  </si>
  <si>
    <t>SCI CHINA EARTH SCI</t>
  </si>
  <si>
    <t>Sci. China-Earth Sci.</t>
  </si>
  <si>
    <t>10.1007/s11430-012-4439-7</t>
  </si>
  <si>
    <t>985IB</t>
  </si>
  <si>
    <t>WOS:000307255500003</t>
  </si>
  <si>
    <t>Li, CJ; Xiao, CD; Hou, SG; Ren, JW; Ding, MH; Guo, R</t>
  </si>
  <si>
    <t>Li ChuanJin; Xiao CunDe; Hou ShuGui; Ren JiaWen; Ding MingHu; Guo Rui</t>
  </si>
  <si>
    <t>Dating a 109.9 m ice core from Dome A (East Antarctica) with volcanic records and a firn densification model</t>
  </si>
  <si>
    <t>Eastern Antarctic ice sheet; Dome A; volcanic events; ice core dating</t>
  </si>
  <si>
    <t>EXPLOSIVE VOLCANISM; SULFATE; ERUPTION; HISTORY; CLIMATE; SULFUR</t>
  </si>
  <si>
    <t>A 109.9 m ice core was extracted at a location about 300 m away from the Dome A summit (80A degrees 00'S, 77A degrees 21aEuro(3)E) by the Chinese team of the International Trans-Antarctic Science Expedition (ITASE) during the 21st Chinese National Antarctica Research Expedition (CHINARE) in January 2005. Two independent methods were used for dating the ice core, volcanic event markers shown by prominent non-sea-salt sulfate (nss-SO4 (2-)) and the Herron and Langway (H-L) firn densification model. Six prominent volcanic events (Agung 1963 AD, Tambora 1815 AD, Kuwae 1453 AD, Unknown 1259 AD, Taupo 186 AD and Pinatubo 1050 BC) were identified by comparison with other Antarctic ice cores. Based on the mean accumulation rates between adjacent events, we estimate the age at the firn pore close-off depth (102 m) was 3516 +/- 100 a BP. This is the oldest close-off age ever reported from the Antarctic and the Greenland ice sheets. Calculations using the H-L model show that the age at the same depth is 3581 +/- 100 a BP. The two dating techniques differ by 65 years, or 1.8% of the record. We calculated the bottom age of the ice core as 4009 +/- 150 a BP using the volcanic dating method and 4115 +/- 150 a BP using the H-L model method.</t>
  </si>
  <si>
    <t>[Li ChuanJin; Xiao CunDe; Hou ShuGui; Ren JiaWen; Ding MingHu] Chinese Acad Sci, State Key Lab Cryospher Sci, Cold &amp; Arid Reg Environm &amp; Engn Res Inst, Lanzhou 730000, Peoples R China; [Hou ShuGui] Nanjing Univ, Sch Geog &amp; Oceanog Sci, Nanjing 210093, Jiangsu, Peoples R China; [Ding MingHu] Chinese Acad Meteorol Sci, Beijing 100081, Peoples R China; [Guo Rui] Chinese Acad Sci, Alashan Desert Ecohydrol Expt Res Stn, Cold &amp; Arid Reg Environm &amp; Engn Res Inst, Lanzhou 730000, Peoples R China</t>
  </si>
  <si>
    <t>Chinese Academy of Sciences; Cold &amp; Arid Regions Environmental &amp; Engineering Research Institute, CAS; Nanjing University; China Meteorological Administration; Chinese Academy of Meteorological Sciences (CAMS); Chinese Academy of Sciences; Cold &amp; Arid Regions Environmental &amp; Engineering Research Institute, CAS</t>
  </si>
  <si>
    <t>Xiao, CD (corresponding author), Chinese Acad Sci, State Key Lab Cryospher Sci, Cold &amp; Arid Reg Environm &amp; Engn Res Inst, Lanzhou 730000, Peoples R China.</t>
  </si>
  <si>
    <t>cdxiao@cams.cma.gov.cn</t>
  </si>
  <si>
    <t>Hou, Shugui/J-3651-2015; Ding, Minghu/AFU-3600-2022; Jiawen, Ren/K-7734-2012</t>
  </si>
  <si>
    <t>Ding, Minghu/0000-0002-1142-6598; Hou, Shugui/0000-0002-0905-3542</t>
  </si>
  <si>
    <t>National Natural Scientific Foundation of China [40776002, 40825017, 41171052]; Hundred Talent Project of Chinese Academy of Sciences; Polar Scientific Explore Organizing Committee Foundation [20080202, 0852H71001]; State Oceanic Administration of People's Republic of China Project on Climate in Polar Regions [CHINARE2012-04-04, CHINARE2012-02-02]</t>
  </si>
  <si>
    <t>National Natural Scientific Foundation of China(National Natural Science Foundation of China (NSFC)); Hundred Talent Project of Chinese Academy of Sciences(Chinese Academy of Sciences); Polar Scientific Explore Organizing Committee Foundation; State Oceanic Administration of People's Republic of China Project on Climate in Polar Regions</t>
  </si>
  <si>
    <t>We thank all the members of the 21st CHINARE for their help in extracting the ice core. Mrs. Xiaoxiang Wang and Ms. Xiaoqing Cui helped in analyzing the ice core samples and Mr. Jianzhong Xu helped in dividing the ice core and the analysis work, and they also help us a lot in finishing the paper. Thanks are also duo to Professor P. A. Mayewski and three anonymous reviewers for their efforts in improving the quality of the paper. The study was supported by National Natural Scientific Foundation of China (Grant Nos. 40776002, 40825017, 41171052), the Hundred Talent Project of Chinese Academy of Sciences, the Polar Scientific Explore Organizing Committee Foundation (Grant Nos. 20080202, 0852H71001) and State Oceanic Administration of People's Republic of China Project on Climate in Polar Regions (Grant Nos. CHINARE2012-04-04 and CHINARE2012-02-02).</t>
  </si>
  <si>
    <t>10.1007/s11430-012-4393-4</t>
  </si>
  <si>
    <t>WOS:000307255500008</t>
  </si>
  <si>
    <t>Ikeda, T; Takahashi, T</t>
  </si>
  <si>
    <t>Ikeda, Tsutomu; Takahashi, Tomokazu</t>
  </si>
  <si>
    <t>Synthesis towards a global-bathymetric model of metabolism and chemical composition of marine pelagic chaetognaths</t>
  </si>
  <si>
    <t>Chaetognaths; Chemical composition; ETS activity; Global-bathymetric model; Respiration</t>
  </si>
  <si>
    <t>ELECTRON-TRANSPORT-SYSTEM; BIOCHEMICAL-COMPOSITION; VERTICAL-DISTRIBUTION; ELEMENTAL COMPOSITION; PARASAGITTA-ELEGANS; SEASONAL-VARIATION; RESPIRATION RATE; BODY-MASS; ZOOPLANKTON; SEA</t>
  </si>
  <si>
    <t>Respiration (=oxygen consumption) and chemical composition [water content, ash, carbon (C) and nitrogen (N)] were determined for seven chaetognaths (Parasagitta elegans, Caecosagitta macrocephala, Pseudosagitta scrippsae, Solidosagitta zetesios, Eukrohnia hamata, Eukrohnia bathypelagica and Eukrohnia fowleri) from the epipelagic through bathypelagic zones (&lt;3000 m) in the western subarctic Pacific Ocean. Enzyme activities of the electron transfer system (ETS) were also determined on mesopelagic and bathypelagic chaetognaths, and ET'S:Respiration ratios were calculated to confirm the validity of respiration rates measured at near in situ temperature but under normal pressure (1 atm). These data were combined with literature data from Arctic, Antarctic, temperate and tropical waters, and epipelagic through bathypelagic zones. A total of 25 data sets on 17 chaetognaths for respiration, and a total of 18-34 data sets on 18-21 chaetognaths for chemical composition were used to explore important parameters affecting their respiration rates and chemical composition. Designating body mass (dry mass, C or N), ambient temperature, oxygen saturation and sampling depth as independent variables, stepwise multiple regression analyses revealed that body mass, habitat temperature and sampling depth were significant, attributing 82-93% of the variance of respiration rates. No significant effect of sampling depth and habitat temperature was detected in the chemical composition. These results are compared with those of copepods to highlight unique features of chaetognaths. (C) 2012 Elsevier B.V. All rights reserved.</t>
  </si>
  <si>
    <t>[Ikeda, Tsutomu; Takahashi, Tomokazu] Hokkaido Univ, Grad Sch Fisheries Sci, Hakodate, Hokkaido 0418611, Japan</t>
  </si>
  <si>
    <t>JSPS [KAKENHI 14209001]</t>
  </si>
  <si>
    <t>JSPS(Ministry of Education, Culture, Sports, Science and Technology, Japan (MEXT)Japan Society for the Promotion of Science)</t>
  </si>
  <si>
    <t>We are grateful to an anonymous referee for comments, which improved the manuscript. We thank D.A. McKinnon for reading the earlier manuscript and for valuable comments. Thanks are due to the Captain, officers and crew members of T.S. Oshoro-Maru and T.S. Hokusei-Maru for their help in field sampling, and H. Matsumoto and A. Maeda of the Center for Instrumental Analysis of Hokkaido University for CHN elemental analysis. Part of this study was supported by a grant from JSPS KAKENHI 14209001 to T.I. [SS]</t>
  </si>
  <si>
    <t>10.1016/j.jembe.2012.05.003</t>
  </si>
  <si>
    <t>978SS</t>
  </si>
  <si>
    <t>WOS:000306766700011</t>
  </si>
  <si>
    <t>Sheen, KL; White, NJ; Caulfield, CP; Hobbs, RW</t>
  </si>
  <si>
    <t>Sheen, K. L.; White, N. J.; Caulfield, C. P.; Hobbs, R. W.</t>
  </si>
  <si>
    <t>Seismic imaging of a large horizontal vortex at abyssal depths beneath the Sub-Antarctic Front</t>
  </si>
  <si>
    <t>SOUTHERN-OCEAN; ARGENTINE BASIN; WATER; TURBULENCE; CIRCULATION; ENERGY</t>
  </si>
  <si>
    <t>The global ocean and climate systems are strongly influenced by physical oceanographic processess within the Southern Ocean(1). In particular, the exchange of water between subtropical North Atlantic Deep Water and the Antarctic Circumpolar Current controls the rate at which the latter upwells and mixes(2). Despite its significance, the details of this exchange are poorly understood. Acoustic imaging of the water column can reveal the detailed thermohaline structure(3). Here we present a subsurface acoustic image, acquired in October 1998, that crosses the Sub-Antarctic Front in the South Atlantic Ocean, where the two water masses converge and shear past each other. We find that down to a depth of 2.5 km, the vertical boundary between the North Atlantic Deep Water and the Antarctic Circumpolar Current is sharp and mass exchange is negligible. Below this depth, where cross-track velocities converge, we detect a prominent swirling structure that is 500 m high and 10 km wide. We analyse prestack acoustic records, which suggest that this structure rotates at an average speed of 0.3 +/- 0.1 ms(-1) about a horizontal axis. We suggest that the structure could either be a thermohaline intrusion created by frontal instability processes, or-more speculatively-a localized and intermittent overturning event.</t>
  </si>
  <si>
    <t>[Sheen, K. L.; White, N. J.] Univ Cambridge, Bullard Labs, Dept Earth Sci, Cambridge CB3 OEZ, England; [Sheen, K. L.] Univ Southampton, Natl Oceanog Ctr, Southampton SO14 3ZH, Hants, England; [Caulfield, C. P.] Univ Cambridge, BP Inst, Cambridge CB3 0EZ, England; [Caulfield, C. P.] Univ Cambridge, Dept Appl Math &amp; Theoret Phys, Cambridge CB3 0EZ, England; [Hobbs, R. W.] Univ Durham, Dept Earth Sci, Durham DH1 3LE, England</t>
  </si>
  <si>
    <t>University of Cambridge; NERC National Oceanography Centre; University of Southampton; BP; University of Cambridge; University of Cambridge; Durham University</t>
  </si>
  <si>
    <t>Sheen, KL (corresponding author), Univ Cambridge, Bullard Labs, Dept Earth Sci, Madingley Rd, Cambridge CB3 OEZ, England.</t>
  </si>
  <si>
    <t>K.Sheen@soton.ac.uk; njw10@cam.ac.uk</t>
  </si>
  <si>
    <t>Caulfield, Colm-cille/F-7691-2011; Hobbs, Richard/F-1054-2013</t>
  </si>
  <si>
    <t>Caulfield, Colm-cille/0000-0002-3170-9480; White, Nicky/0000-0002-4460-299X; Hobbs, Richard/0000-0001-5131-9239</t>
  </si>
  <si>
    <t>NERC UK; Schlumberger Cambridge Research; NERC</t>
  </si>
  <si>
    <t>NERC UK(UK Research &amp; Innovation (UKRI)Natural Environment Research Council (NERC)); Schlumberger Cambridge Research(Schlumberger); NERC(UK Research &amp; Innovation (UKRI)Natural Environment Research Council (NERC))</t>
  </si>
  <si>
    <t>K.L.S. was supported by the NERC UK and by Schlumberger Cambridge Research. Seismic acquisition was financially supported by the NERC. We thank P. Christie, A. Crosby, T. Hesse, K. Heywood, R. Jones, S. Jones, D. Koenitz, D. Lyness, A. Naveira Garabato, C. Richardson, S. Thorpe and C. Trowell for their help. S. Jones and R. Hardy discussed methods of velocity analysis with us. J. B. Sallee provided an incisive review. Department of Earth Sciences contribution number esc.2511.</t>
  </si>
  <si>
    <t>10.1038/NGEO1502</t>
  </si>
  <si>
    <t>983DR</t>
  </si>
  <si>
    <t>WOS:000307099000010</t>
  </si>
  <si>
    <t>Feakins, SJ; Warny, S; Lee, JE</t>
  </si>
  <si>
    <t>Feakins, Sarah J.; Warny, Sophie; Lee, Jung-Eun</t>
  </si>
  <si>
    <t>Hydrologic cycling over Antarctica during the middle Miocene warming</t>
  </si>
  <si>
    <t>ISOTOPIC COMPOSITION; CLIMATE; ICE; WATER; CORE</t>
  </si>
  <si>
    <t>From 20 to 15 million years (Myr) ago, a period of global warmth reversed the previous ice growth on Antarctica, leading to the retreat of the West Antarctic Ice Sheet and the contraction of the East Antarctic Ice Sheet(1,2). Pollen recovered from the Antarctic shelf indicates the presence of substantial vegetation on the margins of Antarctica 15.7 Myr ago(3). However, the hydrologic regime that supported this vegetation is unclear. Here we combine leaf-wax hydrogen isotopes and pollen assemblages from Ross Sea sediments with model simulations to reconstruct vegetation, precipitation and temperature in Antarctica during the middle Miocene. Average leaf-wax stable hydrogen isotope (delta D) values from 20 to 15.5 Myr ago translate to average delta D values of -50 parts per thousand h for precipitation at the margins of Antarctica, higher than modern values. We find that vegetation persisted from 20 to 15.5 Myr ago, with peak expansions 16.4 and 15.7 Myr ago coinciding with peak global warmth(4) and vegetation growth(5). Our model experiments are consistent with a local moisture source in the Southern Ocean(6). Combining proxy measurements with climate simulations, we conclude that summer temperatures were about 11 degrees C warmer than today, and that there was a substantial increase in moisture delivery to the Antarctic coast.</t>
  </si>
  <si>
    <t>[Feakins, Sarah J.] Univ So Calif, Dept Earth Sci, Los Angeles, CA 90089 USA; [Warny, Sophie] Louisiana State Univ, Dept Geol &amp; Geophys, Baton Rouge, LA 70803 USA; [Warny, Sophie] Louisiana State Univ, Museum Nat Sci, Baton Rouge, LA 70803 USA; [Lee, Jung-Eun] CALTECH, Jet Prop Lab, Pasadena, CA 91109 USA</t>
  </si>
  <si>
    <t>University of Southern California; Louisiana State University System; Louisiana State University; Louisiana State University System; Louisiana State University; California Institute of Technology; National Aeronautics &amp; Space Administration (NASA); NASA Jet Propulsion Laboratory (JPL)</t>
  </si>
  <si>
    <t>Feakins, SJ (corresponding author), Univ So Calif, Dept Earth Sci, Los Angeles, CA 90089 USA.</t>
  </si>
  <si>
    <t>feakins@usc.edu</t>
  </si>
  <si>
    <t>Lee, Jung-Eun/F-8981-2012; Feakins, Sarah/K-4149-2012; Warny, Sophie A/A-8226-2013</t>
  </si>
  <si>
    <t>Feakins, Sarah/0000-0003-3434-2423; Warny, Sophie/0000-0002-3451-040X</t>
  </si>
  <si>
    <t>US National Science Foundation [ANT-0342484, 25-0550-0001-155, 25-0550-0001-137, ANT-1048343, EAR-090919, 0342484]; NASA ROSES Aura Science Team [NNH07ZDA001N-AST07-0069]; Office of Polar Programs (OPP); Directorate For Geosciences [1048343] Funding Source: National Science Foundation</t>
  </si>
  <si>
    <t>US National Science Foundation(National Science Foundation (NSF)); NASA ROSES Aura Science Team; Office of Polar Programs (OPP); Directorate For Geosciences(National Science Foundation (NSF)NSF - Directorate for Geosciences (GEO))</t>
  </si>
  <si>
    <t>This research used samples acquired by the ANDRILL project and provided by the Antarctic Marine Geology Research Facility at Florida State University. The ANDRILL project is a multinational collaboration involving the Antarctic programmes of Germany, Italy, New Zealand and the USA. The Antarctic Marine Geology Research Facility is sponsored by the US National Science Foundation. Financial support for this research was provided by the US National Science Foundation (ANT-0342484 to D. Harwood and R. Levy, subawards 25-0550-0001-155 to S.J.F. and 25-0550-0001-137 to S.W., ANT-1048343 to S.W. and EAR-090919 to P.Molnar for J-E.L.). This material is based on work supported by the US National Science Foundation under cooperative agreement no. 0342484 through subawards administered and issued by the ANDRILL Science Management Office at the University of Nebraska-Lincoln, as part of the ANDRILL US Science Support program. Any opinions, findings, and conclusions or recommendations expressed in this material are those of the authors and do not necessarily reflect the views of the US National Science Foundation. . We acknowledge laboratory assistance from M. Rincon, M. Cheetham, Z. Zhang and L. Foersterling and discussions with D. Harwood, A. Tripati, A. Kahmen, J. West, J. Tierney, P. Bart, R. Askin, H. Bao, A. Sessions, G. Schmidt and J. Hayes. The simulations were carried out on the Division of Geological and Planetary Sciences' Dell cluster at the California Institute of Technology, and J-E.L. thanks T.Schneider, T. Merlis, and Z. Tan for their help in incorporating isotopes into GRAM and support by the NASA ROSES Aura Science Team NNH07ZDA001N-AST07-0069.</t>
  </si>
  <si>
    <t>10.1038/NGEO1498</t>
  </si>
  <si>
    <t>WOS:000307099000013</t>
  </si>
  <si>
    <t>Weijers, S; Alsos, IG; Eidesen, PB; Broekman, R; Loonen, MJJE; Rozema, J</t>
  </si>
  <si>
    <t>Weijers, Stef; Alsos, Inger Greve; Eidesen, Pernille Bronken; Broekman, Rob; Loonen, Maarten J. J. E.; Rozema, Jelte</t>
  </si>
  <si>
    <t>No divergence in Cassiope tetragona: persistence of growth response along a latitudinal temperature gradient and under multi-year experimental warming</t>
  </si>
  <si>
    <t>ANNALS OF BOTANY</t>
  </si>
  <si>
    <t>Cassiope tetragona; climate proxy; odivergence problem'; experimental warming; growth variables; high- to sub-arctic; North Sweden; Svalbard; temperature reconstruction</t>
  </si>
  <si>
    <t>ARCTIC DWARF-SHRUB; RETROSPECTIVE ANALYSIS; SUMMER TEMPERATURE; CLIMATE SIGNALS; TUNDRA; VEGETATION; RECONSTRUCTION; SITE</t>
  </si>
  <si>
    <t>The dwarf shrub Cassiope tetragona (Arctic bell-heather) is increasingly used for arctic climate reconstructions, the reliability of which depends on the existence of a linear climategrowth relationship. This relationship was examined over a high-arctic to sub-arctic temperature gradient and under multi-year artificial warming at a high-arctic site. Growth chronologies of annual shoot length, as well as total leaf length, number of leaves and average leaf length per year, were constructed for three sites. Cassiope tetragona was sampled near its cold tolerance limit at Ny-lesund, Svalbard, at its assumed climatic optimum in Endalen, Svalbard, and near its European southern limit at Abisko, Sweden. Together these sites represent the entire temperature gradient of this species. Leaf life span was also determined. Each growing season from 2004 to 2010, 17 open top chambers (OTCs) were placed near Ny-lesund, thus increasing the daily mean temperatures by 123C. At the end of the 2010 growing season, shoots were harvested from OTCs and control plots, and growth parameters were measured. All growth parameters, except average leaf length, exhibited a linear positive response (R-2 between 063 and 091) to mean July temperature over the temperature gradient. Average leaf life span was 14 years shorter in sub-arctic Sweden compared with arctic Svalbard. All growth parameters increased in response to the experimental warming; the leaf life span was, however, not significantly affected by OTC warming. The linear July temperaturegrowth relationships, as well as the 7 year effect of experimental warming, confirm that the growth parameters annual shoot length, total leaf length and number of leaves per year can reliably be used for monitoring and reconstructing temperature changes. Furthermore, reconstructing July temperature from these parameters is not hampered by divergence.</t>
  </si>
  <si>
    <t>[Weijers, Stef; Broekman, Rob; Rozema, Jelte] Vrije Univ Amsterdam, Inst Ecol Sci, Fac Earth &amp; Life Sci, Dept Syst Ecol, Amsterdam, Netherlands; [Weijers, Stef] Univ Bonn, Dept Geog, Bonn, Germany; [Alsos, Inger Greve; Eidesen, Pernille Bronken] Univ Ctr Svalbard, NO-9171 Longyearbyen, Norway; [Alsos, Inger Greve; Loonen, Maarten J. J. E.] Tromso Univ Museum, NO-9037 Tromso, Norway; [Loonen, Maarten J. J. E.] Univ Groningen, Arctic Ctr, Dept Arctic &amp; Antarctic Studies, NL-9700 AB Groningen, Netherlands</t>
  </si>
  <si>
    <t>Vrije Universiteit Amsterdam; University of Bonn; University Centre Svalbard (UNIS); UiT The Arctic University of Tromso; University of Groningen</t>
  </si>
  <si>
    <t>Weijers, S (corresponding author), Vrije Univ Amsterdam, Inst Ecol Sci, Fac Earth &amp; Life Sci, Dept Syst Ecol, Amsterdam, Netherlands.</t>
  </si>
  <si>
    <t>stef.weijers@uni-bonn.de</t>
  </si>
  <si>
    <t>Alsos, Inger Greve/A-9507-2016; Weijers, Stef/T-8944-2019; Alsos, Inger Greve/O-8154-2019</t>
  </si>
  <si>
    <t>Weijers, Stef/0000-0003-3386-5417; Alsos, Inger Greve/0000-0002-8610-1085; Loonen, Maarten J.J.E./0000-0002-3426-4595; Broekman, Rob/0000-0001-9430-3245</t>
  </si>
  <si>
    <t>Netherlands Organization for Scientific Research (NWO) [851.40.051]</t>
  </si>
  <si>
    <t>Netherlands Organization for Scientific Research (NWO)(Netherlands Organization for Scientific Research (NWO))</t>
  </si>
  <si>
    <t>We acknowledge Kings Bay AS, Ny-Alesund, for permission to install OTCs and control plots. We are indebted to Professor Dr T. V. Callaghan, Director Royal Swedish Academy of Sciences, Abisko Scientific Research Station, for providing the OTC panels. We thank James Weedon for collecting plants near Abisko. Furthermore, we are indebted to Mr Wojtek Moskal, Norsk Polarinstitutt, and Mr Nick Cox, BAS-NERC, Cambridge, UK, for their indispensable logistical support in Ny-Alesund. We thank the anonymous reviewers, whose constructive comments led to great improvement of the manuscript. The research presented is part of project 851.40.051 'Long-lived evergreen shrubs from polar ecosystems as monitors of present and past climate change', funded by The Netherlands Organization for Scientific Research (NWO) as part of the International Polar Year 2007-2008.</t>
  </si>
  <si>
    <t>0305-7364</t>
  </si>
  <si>
    <t>1095-8290</t>
  </si>
  <si>
    <t>ANN BOT-LONDON</t>
  </si>
  <si>
    <t>Ann. Bot.</t>
  </si>
  <si>
    <t>10.1093/aob/mcs123</t>
  </si>
  <si>
    <t>976UT</t>
  </si>
  <si>
    <t>WOS:000306612000010</t>
  </si>
  <si>
    <t>Oosthuizen, WC; de Bruyn, PJN; Bester, MN</t>
  </si>
  <si>
    <t>Oosthuizen, W. Chris; de Bruyn, P. J. Nico; Bester, Marthan N.</t>
  </si>
  <si>
    <t>Unmarked individuals in mark-recapture studies: Comparisons of marked and unmarked southern elephant seals at Marion Island</t>
  </si>
  <si>
    <t>AUSTRAL ECOLOGY</t>
  </si>
  <si>
    <t>dispersal; distribution; mark-resight; Mirounga leonina; unmarked</t>
  </si>
  <si>
    <t>MIROUNGA-LEONINA L.; SITE FIDELITY; POPULATION STATUS; DISPERSION; KERGUELEN; TRENDS; SURVIVAL; PHILOPATRY; MOVEMENTS; PATTERNS</t>
  </si>
  <si>
    <t>The presence of unmarked individuals is common in markrecapture study populations; however, their origin and significance in terms of population dynamics remain poorly understood. At Marion Island, southern Indian Ocean, where virtually all southern elephant seal Mirounga leonina pups born annually (19832008) were marked in a long-term markresight study, large numbers of unmarked seals occur. Unmarked seals originate either from marker (tag) loss or from immigration. We aimed to identify patterns in the occurrence of marked and unmarked individuals that will allude to the possible origin and significance of the untagged component of the population, predicting that tag loss will add untagged seals to mainly adult age categories whereas migrating untagged individuals will be mostly juveniles. We fitted a generalized linear model using the factors month, year and age-class to explain the relative abundance of untagged seals (tag ratio) from 1997 to 2009. Site usage of untagged seals relative to tagged seals was assessed using a binomial test. Untagged seals, predominantly juveniles, were present in the highest proportions relative to tagged seals during the winter haulout (tagged seals/total seals less than 0.3) and the lowest proportion (approximately 0.5) during the female breeding haulout, increasing in relative abundance from 1997 to 2009. Untagged seals were distributed evenly across suitable haulout sites while tagged seals displayed high local site fidelity and occurred in greater numbers at or near large breeding beaches. Untagged seals are considered to be mostly migrant seals that disperse from other islands within the southern Indian Ocean and haul out at Marion Island during non-breeding haulouts in particular. Some of these seals immigrate to the breeding population, which can be a key component of the local population dynamics. We emphasize the need for markrecapture studies to evaluate the role of the unmarked component of a population, thereby inducing a more confident estimation of demographic parameters from the marked sample.</t>
  </si>
  <si>
    <t>[Oosthuizen, W. Chris; de Bruyn, P. J. Nico; Bester, Marthan N.] Univ Pretoria, Dept Zool &amp; Entomol, Mammal Res Inst, ZA-0028 Pretoria, South Africa</t>
  </si>
  <si>
    <t>University of Pretoria</t>
  </si>
  <si>
    <t>Oosthuizen, WC (corresponding author), Univ Pretoria, Dept Zool &amp; Entomol, Mammal Res Inst, Private Bag X20, ZA-0028 Pretoria, South Africa.</t>
  </si>
  <si>
    <t>wcoosthuizen@zoology.up.ac.za</t>
  </si>
  <si>
    <t>Bester, Marthán N/E-5387-2010; Oosthuizen, W. Chris/I-2947-2016; de Bruyn, P. J. Nico/E-4176-2010</t>
  </si>
  <si>
    <t>Oosthuizen, W. Chris/0000-0003-2905-6297; de Bruyn, P. J. Nico/0000-0002-9114-9569</t>
  </si>
  <si>
    <t>Department of Science and Technology, through the National Research Foundation (NRF); NRF</t>
  </si>
  <si>
    <t>Department of Science and Technology, through the National Research Foundation (NRF)(Department of Science &amp; Technology (India)); NRF</t>
  </si>
  <si>
    <t>The authors thank the many devoted personnel who collected long-term mark-recapture data on elephant seals at Marion Island. Logistical support and research permits were provided by the South African Department of Environmental Affairs within the South African National Antarctic Programme. The Department of Science and Technology, through the National Research Foundation (NRF), provided financial support. WCO received financial support from a NRF Grantholder-linked bursary within the project 'Conservation of Seabirds, Shorebirds and Seals' led by L. Underhill of the Animal Demography Unit, Department of Zoology, University of Cape Town. The project has ethics clearance from the Animal Use and Care Committee (AUCC 040827-024) of the Faculty of Veterinary Science, University of Pretoria. We gratefully acknowledge the input of I. C. Field, R. R. Reisinger, M. Nevoux, an associate editor and three anonymous reviewers, whose comments greatly improved the manuscript.</t>
  </si>
  <si>
    <t>1442-9985</t>
  </si>
  <si>
    <t>1442-9993</t>
  </si>
  <si>
    <t>AUSTRAL ECOL</t>
  </si>
  <si>
    <t>Austral Ecol.</t>
  </si>
  <si>
    <t>10.1111/j.1442-9993.2011.02316.x</t>
  </si>
  <si>
    <t>977LU</t>
  </si>
  <si>
    <t>WOS:000306663600004</t>
  </si>
  <si>
    <t>Vincensini, A; Bouchard, A; Rabier, F; Guidard, V; Fourrié, N; Traullé, O</t>
  </si>
  <si>
    <t>Vincensini, Anais; Bouchard, Aurelie; Rabier, Florence; Guidard, Vincent; Fourrie, Nadia; Traulle, Olivier</t>
  </si>
  <si>
    <t>IASI Retrievals Over Concordia Within the Framework of the Concordiasi Program in Antarctica</t>
  </si>
  <si>
    <t>IEEE TRANSACTIONS ON GEOSCIENCE AND REMOTE SENSING</t>
  </si>
  <si>
    <t>Antarctica; Concordiasi; Infrared Atmospheric Sounding Interferometer (IASI); retrieval; skin temperature; 1-D variational (1D-Var)</t>
  </si>
  <si>
    <t>PREDICTION SYSTEM; DATA ASSIMILATION; SKIN TEMPERATURE; SATELLITE DATA; EMISSIVITY; RADIANCES; INSTRUMENTS; LAND; BIAS</t>
  </si>
  <si>
    <t>The Concordiasi campaign aimed to improve satellite data assimilation at high latitudes and, particularly, the assimilation of the Infrared Atmospheric Sounding Interferometer (IASI) radiances over Antarctica. This study focuses on the IASI data retrieval using a 1-D variational data assimilation system, which was carried out at the Concordia station and within the framework of Concordiasi. The study period lasted from November 20 to December 12, 2009. Radiosonde measurements are utilized to validate temperature and water vapor retrieved profiles. Baseline Surface Radiation Network data and manned measurements in Concordia are used to verify skin temperature retrievals and derive information about cloudy conditions. This study assesses the impact of several parameters on the retrieved profile quality. In particular, the background error specification is crucial. The background error covariance matrix is optimally tuned to provide the best possible retrievals, modifying the shape of these covariances for stratospheric temperatures, computing and maximizing the degree of freedom for signal (DFS). The DFS characterizes how the assimilation system uses the observation to pull the signal from the background. For the study period, the humidity and temperature retrieved profiles are optimally improved compared with background profiles, with the largest reduction in error for the skin temperature.</t>
  </si>
  <si>
    <t>[Vincensini, Anais; Bouchard, Aurelie; Rabier, Florence; Guidard, Vincent; Fourrie, Nadia; Traulle, Olivier] CNRS, CNRM, Grp Etud Atmosphere Meteorol GAME, Meteo France, F-31057 Toulouse, France</t>
  </si>
  <si>
    <t>Centre National de la Recherche Scientifique (CNRS)</t>
  </si>
  <si>
    <t>Vincensini, A (corresponding author), CNRS, CNRM, Grp Etud Atmosphere Meteorol GAME, Meteo France, F-31057 Toulouse, France.</t>
  </si>
  <si>
    <t>anais.vincensini@meteo.fr; aurelie.bouchard@meteo.fr; florence.rabier@meteo.fr; vincent.guidard@meteo.fr; nadia.fourrie@meteo.fr; olivier.traulle@meteo.fr</t>
  </si>
  <si>
    <t>GUIDARD, Vincent/X-3762-2019</t>
  </si>
  <si>
    <t>GUIDARD, Vincent/0000-0002-4136-3962; Rabier, Florence/0000-0002-3222-6712</t>
  </si>
  <si>
    <t>Meteo-France; Centre National d'Etudes Spatiales (CNES); Centre National de la Recherche Scientifique/Institut National des Sciences de l'Univers (CNRS/INSU); National Science Foundation (NSF); National Center for Atmospheric Research (NCAR); University of Wyoming; Purdue University; University of Colorado; Alfred Wegener Institute; Met Office; European Centre for Medium-Range Weather Forecasts (ECMWF); Programma Nazionale di Ricerche in Antartide (PNRA); United States Antarctic Program (USAP); Institut polaire francais (IPEV); British Antarctic Survey (BAS); Baseline Surface Radiation Network (BSRN) measurements at Concordia</t>
  </si>
  <si>
    <t>Meteo-France; Centre National d'Etudes Spatiales (CNES)(Centre National D'etudes Spatiales); Centre National de la Recherche Scientifique/Institut National des Sciences de l'Univers (CNRS/INSU)(Centre National de la Recherche Scientifique (CNRS)); National Science Foundation (NSF)(National Science Foundation (NSF)); National Center for Atmospheric Research (NCAR)(National Science Foundation (NSF)NSF - Directorate for Geosciences (GEO)); University of Wyoming; Purdue University; University of Colorado; Alfred Wegener Institute; Met Office; European Centre for Medium-Range Weather Forecasts (ECMWF); Programma Nazionale di Ricerche in Antartide (PNRA); United States Antarctic Program (USAP); Institut polaire francais (IPEV); British Antarctic Survey (BAS); Baseline Surface Radiation Network (BSRN) measurements at Concordia</t>
  </si>
  <si>
    <t>This study was realized owing to the Concordiasi project. Concordiasi is an international project, currently supported by the following agencies: Meteo-France, the Centre National d'Etudes Spatiales (CNES), the Centre National de la Recherche Scientifique/Institut National des Sciences de l'Univers (CNRS/INSU), the National Science Foundation (NSF), the National Center for Atmospheric Research (NCAR), the University of Wyoming, Purdue University, the University of Colorado, the Alfred Wegener Institute, the Met Office, and the European Centre for Medium-Range Weather Forecasts (ECMWF). Concordiasi also benefits from logistic or financial support from the operational polar agencies as the Institut polaire francais (IPEV), the Programma Nazionale di Ricerche in Antartide (PNRA), the United States Antarctic Program (USAP), and the British Antarctic Survey (BAS) and from Baseline Surface Radiation Network (BSRN) measurements at Concordia. Concordiasi is part of The Observing System Research and Predictability Experiment- International Polar Year (THORPEX-IPY).</t>
  </si>
  <si>
    <t>IEEE-INST ELECTRICAL ELECTRONICS ENGINEERS INC</t>
  </si>
  <si>
    <t>PISCATAWAY</t>
  </si>
  <si>
    <t>445 HOES LANE, PISCATAWAY, NJ 08855-4141 USA</t>
  </si>
  <si>
    <t>0196-2892</t>
  </si>
  <si>
    <t>IEEE T GEOSCI REMOTE</t>
  </si>
  <si>
    <t>IEEE Trans. Geosci. Remote Sensing</t>
  </si>
  <si>
    <t>10.1109/TGRS.2011.2177467</t>
  </si>
  <si>
    <t>Geochemistry &amp; Geophysics; Engineering, Electrical &amp; Electronic; Remote Sensing; Imaging Science &amp; Photographic Technology</t>
  </si>
  <si>
    <t>Geochemistry &amp; Geophysics; Engineering; Remote Sensing; Imaging Science &amp; Photographic Technology</t>
  </si>
  <si>
    <t>977UV</t>
  </si>
  <si>
    <t>WOS:000306691200001</t>
  </si>
  <si>
    <t>Vidal, V; Ortiz, J; Diaz, JI; de Ybañez, MRR; Amat, MT; Palacios, MJ; Benzal, J; Valera, F; de la Cruz, C; Motas, M; Barbosa, A</t>
  </si>
  <si>
    <t>Vidal, V.; Ortiz, J.; Diaz, J. I.; Ruiz de Ybanez, M. R.; Amat, M. T.; Palacios, M. J.; Benzal, J.; Valera, F.; de la Cruz, C.; Motas, M.; Barbosa, A.</t>
  </si>
  <si>
    <t>Gastrointestinal parasites in Chinstrap Penguins from Deception Island, South Shetlands, Antarctica</t>
  </si>
  <si>
    <t>PARASITOLOGY RESEARCH</t>
  </si>
  <si>
    <t>ECOLOGY; CESTODA; ALASKA</t>
  </si>
  <si>
    <t>Knowledge about parasites of Antarctic birds is fragmented and scarce. The aim of this work is to contribute to the knowledge of gastrointestinal parasites of the Chinstrap Penguin (Pygoscelis antarctica) from Deception Island (South Shetlands, Antarctica). Gastrointestinal tracts of 64 fresh dead individuals (61 chicks and three adults) were collected from December 2006 to February 2009 and examined for macroparasites. Three adult parasite species were found: two Cestoda species (Parorchites zederi and Tetrabothrius pauliani) and one Nematoda species (Stegophorus macronectes). Also, immature acanthocephalans (Corynosoma sp.) were found in one penguin. The low parasite richness observed could be related to the stenophagic and pelagic diet of the host species. False negatives were found in coprological studies.</t>
  </si>
  <si>
    <t>[Vidal, V.; Ortiz, J.; Ruiz de Ybanez, M. R.; Valera, F.; Motas, M.; Barbosa, A.] Univ Murcia, CSIC, Unidad Asociada Ecol &amp; Inmunol Parasitaria, Murcia, Spain; [Vidal, V.; Ortiz, J.; Ruiz de Ybanez, M. R.] Univ Murcia, Fac Vet, Dept Sanidad Anim Parasitol, Murcia, Spain; [Diaz, J. I.] UNLP, CONICET, CCT CONICET La Plata, Ctr Estudios Parasitol &amp; Vectores, La Plata, Buenos Aires, Argentina; [Amat, M. T.; Palacios, M. J.; Benzal, J.; Valera, F.; Barbosa, A.] CSIC, Dept Ecol Func &amp; Evolut, Estn Expt Zonas Aridas, Almeria, Spain; [de la Cruz, C.] Univ Extremadura, Fac Ciencias, Dept Biol Anim, Badajoz, Spain; [Motas, M.] Univ Murcia, Area Toxicol, Fac Vet, Murcia, Spain; [Barbosa, A.] CSIC, Museo Nacl Ciencias Nat, Dept Ecol Evolut, E-28006 Madrid, Spain</t>
  </si>
  <si>
    <t>University of Murcia; Consejo Superior de Investigaciones Cientificas (CSIC); University of Murcia; National University of La Plata; Consejo Nacional de Investigaciones Cientificas y Tecnicas (CONICET); Consejo Superior de Investigaciones Cientificas (CSIC); CSIC - Estacion Experimental de Zonas Aridas (EEZA); Universidad de Extremadura; University of Murcia; Consejo Superior de Investigaciones Cientificas (CSIC); CSIC - Museo Nacional de Ciencias Naturales (MNCN)</t>
  </si>
  <si>
    <t>Vidal, V (corresponding author), Univ Murcia, CSIC, Unidad Asociada Ecol &amp; Inmunol Parasitaria, Murcia, Spain.</t>
  </si>
  <si>
    <t>virvibur@gmail.com</t>
  </si>
  <si>
    <t>Motas, Miguel/L-3061-2014; Barbosa, Andrés/C-3208-2008; Ortiz, Juana/AAA-4874-2019; Benzal, Jesús/T-4555-2017; Cruz, Carlos/K-2314-2014; Ruiz de Ybáñez, M. Rocío/P-8866-2015; Valera, Francisco/R-3437-2019</t>
  </si>
  <si>
    <t>Barbosa, Andrés/0000-0001-8434-3649; Ortiz, Juana/0000-0002-0889-2985; Ruiz de Ybáñez, M. Rocío/0000-0003-1402-8023; Valera, Francisco/0000-0003-2266-8899; Motas Guzman, Miguel/0000-0002-2229-7779</t>
  </si>
  <si>
    <t>Spanish Ministry of Science and Innovation [CGL2004-01348, POL2006-05175, CGL2007-60369, BES2005-8465]; European Regional Development Fund; Spanish Council of Scientific Research; European Social Fund [JAEPre08-01053]; [PICT309]; [N628]</t>
  </si>
  <si>
    <t>Spanish Ministry of Science and Innovation(Spanish Government); European Regional Development Fund(European Union (EU)); Spanish Council of Scientific Research; European Social Fund(European Social Fund (ESF)); ;</t>
  </si>
  <si>
    <t>This study has been funded by the Spanish Ministry of Science and Innovation projects CGL2004-01348, POL2006-05175, and CGL2007-60369 and by the European Regional Development Fund. VV was supported by a Ph.D. grant from the Spanish Council of Scientific Research and the European Social Fund (JAEPre08-01053). MJP was supported by a Ph.D. grant from the Spanish Ministry of Science and Innovation (BES2005-8465). JID is partially supported by PICT309 and N628. We would like to thank the Spanish Antarctic Research base Gabriel de Castilla, the Spanish Polar Ship Las Palmas, the Argentinean Antarctic Institute and the Maritime Technology Unit (UTM-CSIC) for both logistical support and transport. Thanks also to Lucas Garbin for the English revision of the manuscript. Permission to work in the study area and to collect samples was given by the Spanish Polar Committee. This is a contribution to the International Polar Year project 172 BirdHealth and to the PINGUCLIM project. We also thank an anonymous referee who made helpful suggestions that very much improved an earlier version of this manuscript.</t>
  </si>
  <si>
    <t>0932-0113</t>
  </si>
  <si>
    <t>1432-1955</t>
  </si>
  <si>
    <t>PARASITOL RES</t>
  </si>
  <si>
    <t>Parasitol. Res.</t>
  </si>
  <si>
    <t>10.1007/s00436-012-2892-z</t>
  </si>
  <si>
    <t>977WB</t>
  </si>
  <si>
    <t>WOS:000306694400027</t>
  </si>
  <si>
    <t>Leitner, J; Kodolányi, J; Hoppe, P; Floss, C</t>
  </si>
  <si>
    <t>Leitner, J.; Kodolanyi, J.; Hoppe, P.; Floss, C.</t>
  </si>
  <si>
    <t>LABORATORY ANALYSIS OF PRESOLAR SILICATE STARDUST FROM A NOVA</t>
  </si>
  <si>
    <t>ASTROPHYSICAL JOURNAL LETTERS</t>
  </si>
  <si>
    <t>astrochemistry; circumstellar matter; novae, cataclysmic variables; nuclear reactions, nucleosynthesis, abundances; stars: winds, outflows</t>
  </si>
  <si>
    <t>GIANT BRANCH STARS; SI-ISOTOPIC COMPOSITIONS; CARBIDE GRAINS; CLASSICAL NOVAE; RED GIANT; LOW-MASS; NUCLEOSYNTHESIS; ORIGIN; METEORITES; SUPERNOVAE</t>
  </si>
  <si>
    <t>We report the major element as well as the oxygen, magnesium, and silicon isotope composition of a unique presolar silicate grain found in the fine-grained fraction of the Antarctic CR2 chondrite Graves Nunataks 95229. The grain is characterized by an extremely high O-17/O-16 ratio (6.3 +/- 0.2 x 10(-3)) relative to solar values, whereas its O-18/O-16 ratio is solar within measurement uncertainty. It also shows enrichments in Mg-25,Mg-26 and a significant excess in Si-30 relative to solar system compositions, with delta Mg-25 = 79 +/- 21%, delta Mg-26 = 70 +/- 20%, and delta Si-30 = 379 +/- 92%. This isotopic composition is consistent with an origin in the ejecta of a similar to 1.3-1.4 M-circle dot ONe nova with large contributions of material from a main-sequence companion star of roughly solar metallicity. However, many details of the stellar source remain undetermined, owing to the uncertainties of current nova nucleosynthesis models. Auger electron spectroscopic analyses identify O, Mg, Si, and Fe as the grain's major constituents. Its (Mg + Fe)/Si atomic ratios are lower than that of olivine and correspond on average to Fe-Mg-pyroxene. A complex texture and heterogeneous major element distribution within the grain attest to condensation under non-equilibrium conditions, which is consistent with the proposed nova origin.</t>
  </si>
  <si>
    <t>[Leitner, J.; Kodolanyi, J.; Hoppe, P.] Max Planck Inst Chem, Particle Chem Dept, D-55128 Mainz, Germany; [Kodolanyi, J.] Univ Ghent, Dept Geol &amp; Soil Sci, B-9000 Ghent, Belgium; [Floss, C.] Washington Univ, Space Sci Lab, St Louis, MO 63130 USA; [Floss, C.] Washington Univ, Dept Phys, St Louis, MO 63130 USA</t>
  </si>
  <si>
    <t>Max Planck Society; Ghent University; Washington University (WUSTL); Washington University (WUSTL)</t>
  </si>
  <si>
    <t>Leitner, J (corresponding author), Max Planck Inst Chem, Particle Chem Dept, Hahn Meitner Weg 1, D-55128 Mainz, Germany.</t>
  </si>
  <si>
    <t>jan.leitner@mpic.de</t>
  </si>
  <si>
    <t>Hoppe, Peter/B-3032-2015; Leitner, Jan/A-7391-2015</t>
  </si>
  <si>
    <t>Hoppe, Peter/0000-0003-3681-050X; Kodolanyi, Janos/0000-0001-5710-0537; Leitner, Jan/0000-0003-3655-6273</t>
  </si>
  <si>
    <t>DFG [SPP 1385]; NASA [NNX10AH43G]; NASA [NNX10AH43G, 133267] Funding Source: Federal RePORTER</t>
  </si>
  <si>
    <t>DFG(German Research Foundation (DFG)); NASA(National Aeronautics &amp; Space Administration (NASA)); NASA(National Aeronautics &amp; Space Administration (NASA))</t>
  </si>
  <si>
    <t>We thank Elmar Groner for technical support on the NanoSIMS, Joachim Huth for assistance with the SEM, Christoph Pauly for FIB-preparation, Frank Gyngard for helpful discussions on nova mixing calculations, and an anonymous reviewer for constructive comments. SN models from www.nucleosynthesis.org were provided by Alexander Heger. J.L. and P. H. acknowledge support by DFG through SPP 1385. The work at Washington University in St. Louis is funded by NASA grant NNX10AH43G (C.F.).</t>
  </si>
  <si>
    <t>IOP PUBLISHING LTD</t>
  </si>
  <si>
    <t>2041-8205</t>
  </si>
  <si>
    <t>ASTROPHYS J LETT</t>
  </si>
  <si>
    <t>Astrophys. J. Lett.</t>
  </si>
  <si>
    <t>L41</t>
  </si>
  <si>
    <t>10.1088/2041-8205/754/2/L41</t>
  </si>
  <si>
    <t>975QY</t>
  </si>
  <si>
    <t>WOS:000306527200023</t>
  </si>
  <si>
    <t>Leaper, R; Dunstan, PK; Foster, SD; Barrett, NJ; Edgar, GJ</t>
  </si>
  <si>
    <t>Leaper, Rebecca; Dunstan, Piers K.; Foster, Scott D.; Barrett, Neville J.; Edgar, Graham J.</t>
  </si>
  <si>
    <t>Comparing large-scale bioregions and fine-scale community-level biodiversity predictions from subtidal rocky reefs across south-eastern Australia</t>
  </si>
  <si>
    <t>JOURNAL OF APPLIED ECOLOGY</t>
  </si>
  <si>
    <t>biodiversity; bioregion; community; conservation planning; evenness; marine; rank abundance distributions; species richness; subtidal rocky reefs</t>
  </si>
  <si>
    <t>RANK-ABUNDANCE DISTRIBUTIONS; CONSERVATION; RICHNESS; SHELVES; BIOREGIONALIZATION; CIRCULATION; HABITAT; CANOPY; AREAS</t>
  </si>
  <si>
    <t>1. In the absence of knowledge of the large-scale structure and distribution of marine biota, bioregionalisations, that is, spatial classifications of data on a range of environmental and/or biological attributes, are often viewed as one of the most appropriate frameworks within which to develop networks of marine protected areas (MPAs). However, despite their potential usefulness, few studies have assessed whether bioregionalisations can be used for management of species other than those it was derived from or whether bioregionalisations capture fully fine-scale community-level biodiversity patterns. 2. We investigated the large-scale structure and distribution of demersal fishes and macroinvertebrates in south-eastern Australia, using rank abundance distributions (RADs). We used a recently developed community modelling method that allows their multivariate distribution to vary according to environmental gradients, assessing the congruency of mapped biogeographic patterns between the different taxa, and in the light of the Interim Marine and Coastal Regionalisation for Australia (IMCRA). 3. A clear pattern in our analysis based on RADs showed a large difference in assemblage structure (i.e. in abundance, richness and evenness) between South Australia, where assemblages were generally more species rich and even, and Victoria and Tasmania, where assemblages were generally more species poor and uneven. The strong longitudinal pattern in species richness and evenness was generally congruent for both demersal fishes and macroinvertebrates and related to regional differences in oceanography. 4. We found that the regions of highest species richness were found in the core bioregions rather than transition bioregions as defined in the IMCRA and for both taxa. Moreover, we found that not all assemblage structures were equally alike and that South Australia had the greatest range of unique assemblage structures. 5. Synthesis and applications. While bioregionalisations are typically based on data from a single taxon, our findings highlight that they can be used as a surrogate for biological patterns seen in other taxa. Bioregionalisations, however, may not capture fully fine-scale community-level biodiversity patterns, and this may compromise the ability of protected area networks to protect the full variability in assemblage types. We suggest that it may be necessary to validate existing regionalisations with additional data and analyses such as the RAD analyses conducted here.</t>
  </si>
  <si>
    <t>[Leaper, Rebecca; Barrett, Neville J.; Edgar, Graham J.] Univ Tasmania, Inst Marine &amp; Antarctic Studies, Hobart, Tas 7001, Australia; [Dunstan, Piers K.; Foster, Scott D.] CSIRO Wealth Oceans Flagship, Hobart, Tas 7001, Australia</t>
  </si>
  <si>
    <t>Leaper, R (corresponding author), Univ Tasmania, Inst Marine &amp; Antarctic Studies, Private Bag 49, Hobart, Tas 7001, Australia.</t>
  </si>
  <si>
    <t>rebecca.leaper@utas.edu.au</t>
  </si>
  <si>
    <t>Edgar, Graham/AAY-3797-2020; Edgar, Graham/C-8341-2013; Foster, Scott/E-9311-2010; Dunstan, Piers/B-7309-2016; Barrett, Neville/J-7593-2014</t>
  </si>
  <si>
    <t>Edgar, Graham/0000-0003-0833-9001; Edgar, Graham/0000-0003-0833-9001; Foster, Scott/0000-0002-6719-8002; Dunstan, Piers/0000-0002-2568-5945; Barrett, Neville/0000-0002-6167-1356</t>
  </si>
  <si>
    <t>Commonwealth Environment Research Facilities (CERF) programme, an Australian Government initiative supporting world class, public-good research</t>
  </si>
  <si>
    <t>Commonwealth Environment Research Facilities (CERF) programme, an Australian Government initiative supporting world class, public-good research(Australian Government)</t>
  </si>
  <si>
    <t>This work has been funded through the Commonwealth Environment Research Facilities (CERF) programme, an Australian Government initiative supporting world class, public-good research. The CERF Marine Biodiversity Hub is a collaborative partnership between the University of Tasmania, CSIRO Wealth from Oceans Flagship, Geoscience Australia, Australian Institute of Marine Science and Museum Victoria. We thank the editors and reviewers who made valuable comments on previous manuscript drafts.</t>
  </si>
  <si>
    <t>0021-8901</t>
  </si>
  <si>
    <t>1365-2664</t>
  </si>
  <si>
    <t>J APPL ECOL</t>
  </si>
  <si>
    <t>J. Appl. Ecol.</t>
  </si>
  <si>
    <t>10.1111/j.1365-2664.2012.02155.x</t>
  </si>
  <si>
    <t>974ZU</t>
  </si>
  <si>
    <t>WOS:000306477000012</t>
  </si>
  <si>
    <t>Walton, D</t>
  </si>
  <si>
    <t>Walton, David</t>
  </si>
  <si>
    <t>KEEPING THE ALIENS OUT</t>
  </si>
  <si>
    <t>Natural Environment Research Council [bas0100025] Funding Source: researchfish; NERC [bas0100025] Funding Source: UKRI</t>
  </si>
  <si>
    <t>10.1017/S0954102012000594</t>
  </si>
  <si>
    <t>WOS:000307141600001</t>
  </si>
  <si>
    <t>Favero-Longo, SE; Worland, MR; Convey, P; Smith, RIL; Piervittori, R; Guglielmin, M; Cannone, N</t>
  </si>
  <si>
    <t>Favero-Longo, Sergio E.; Worland, M. Roger; Convey, Peter; Smith, Ronald I. Lewis; Piervittori, Rosanna; Guglielmin, Mauro; Cannone, Nicoletta</t>
  </si>
  <si>
    <t>Primary succession of lichen and bryophyte communities following glacial recession on Signy Island, South Orkney Islands, Maritime Antarctic</t>
  </si>
  <si>
    <t>chronosequence; climate change; deglaciation; glacier foreland; pioneer colonization; species replacement</t>
  </si>
  <si>
    <t>VEGETATION PATTERNS; VASCULAR PLANTS; COLONIZATION; ECOSYSTEMS; DIVERSITY</t>
  </si>
  <si>
    <t>A directional primary succession with moderate species replacement was quantitatively characterized on Signy Island in zones of a glacial valley corresponding to their age since deglaciation. A continuous increase in diversity and abundance of lichens and bryophytes was observed between terrains deglaciated in the late 20th century, to areas where deglaciation followed the Little Ice Age, and others thought to be ice-free since soon after the Last Glacial Maximum. Classification (UPGMA) and ordination (principal co-ordinate analysis) of vegetation data identified three different stages of development: a) pioneer communities, which rapidly develop in a few decades, b) immature communities developing on three to four century old terrains, and c) a climax stage (Polytrichum strictum-Chorisodontium aciphyllum community) developing on the oldest terrains, but only where local-scale environmental features are more favourable. Multivariate analysis including environmental parameters (canonical correspondence analysis) indicated terrain age as being the dominant controlling factor, with other environmental factors also exhibiting significant conditional effects (duration of snow cover, surface stoniness). These findings not only quantitatively verify reports of the rapid colonization of Maritime Antarctic terrains following recent climate amelioration and associated decrease in glacial extent, but also show how local-scale environmental resistance may slow or even prevent vegetation succession from pioneer to more mature stages in future.</t>
  </si>
  <si>
    <t>[Favero-Longo, Sergio E.; Piervittori, Rosanna] Univ Turin, Dipartimento Sci Vita &amp; Biol Sistemi, I-10125 Turin, Italy; [Worland, M. Roger; Convey, Peter] British Antarctic Survey, NERC, Cambridge CB3 0ET, England; [Smith, Ronald I. Lewis] Ctr Antarctic Plant Ecol &amp; Divers, Moffat DG10 9LB, England; [Guglielmin, Mauro] Univ Insubria, Dipartimento Biol Strutturale &amp; Funz, I-21100 Varese, Italy; [Cannone, Nicoletta] Univ Insubria, Dipartimento Sci Chim &amp; Ambientali, I-22100 Como, Italy</t>
  </si>
  <si>
    <t>University of Turin; UK Research &amp; Innovation (UKRI); Natural Environment Research Council (NERC); NERC British Antarctic Survey; University of Insubria; University of Insubria</t>
  </si>
  <si>
    <t>Favero-Longo, SE (corresponding author), Univ Turin, Dipartimento Sci Vita &amp; Biol Sistemi, Vle Mattioli 25, I-10125 Turin, Italy.</t>
  </si>
  <si>
    <t>sergio.favero@unito.it</t>
  </si>
  <si>
    <t>Cannone, Nicoletta/W-8651-2019; Convey, Peter/AAV-5728-2020</t>
  </si>
  <si>
    <t>Cannone, Nicoletta/0000-0002-3390-3965; Convey, Peter/0000-0001-8497-9903; Favero Longo, Sergio Enrico/0000-0001-7129-5975</t>
  </si>
  <si>
    <t>PNRA (Progetto Nazionale di Ricerca in Antartide); NERC [bas0100025] Funding Source: UKRI; Natural Environment Research Council [bas0100025] Funding Source: researchfish</t>
  </si>
  <si>
    <t>PNRA (Progetto Nazionale di Ricerca in Antartide); NERC(UK Research &amp; Innovation (UKRI)Natural Environment Research Council (NERC)); Natural Environment Research Council(UK Research &amp; Innovation (UKRI)Natural Environment Research Council (NERC))</t>
  </si>
  <si>
    <t>The authors wish to thank PNRA (Progetto Nazionale di Ricerca in Antartide) for providing funding and BAS (British Antarctic Survey) for logistical support to make this research possible. We thank the editor and anonymous reviewers for helpful and constructive comments. The study also contributes to the BAS 'Polar Science for Planet Earth' and SCAR 'Evolution and Biodiversity in Antarctica' research programmes.</t>
  </si>
  <si>
    <t>10.1017/S0954102012000120</t>
  </si>
  <si>
    <t>Green Accepted, Green Submitted</t>
  </si>
  <si>
    <t>WOS:000307141600002</t>
  </si>
  <si>
    <t>Cunningham, GB; Van Buskirk, RW; Hodges, MJ; Nevitt, GA</t>
  </si>
  <si>
    <t>Cunningham, Gregory B.; Van Buskirk, Richard W.; Hodges, Mark J.; Nevitt, Gabrielle A.</t>
  </si>
  <si>
    <t>Responses of common diving petrel chicks (Pelecanoides urinatrix) to burrow and colony specific odours in a simple wind tunnel</t>
  </si>
  <si>
    <t>Kerguelen; kin recognition; olfaction; procellariiform</t>
  </si>
  <si>
    <t>PROCELLARIIFORM CHICKS; POTENTIAL ROLE; RECOGNITION; KERGUELEN; SEABIRDS; DEPTHS; ISLAND; BIRDS</t>
  </si>
  <si>
    <t>Researchers have previously assumed that common diving petrels (Pelecanoides urinatrix) have a limited sense of smell since they have relatively small olfactory bulbs. A recent study, however, showed that adult diving petrels prefer the scent of their own burrow compared to burrows of other diving petrels, implying that personal scents contribute to the burrow's odour signature. Because diving petrels appear to be adapted to use olfaction in social contexts, they could be a useful model for investigating how chemically mediated social recognition develops in birds. A first step is to determine whether diving petrel chicks can detect familiar and unfamiliar odours. We compared behavioural responses of chicks to three natural stimuli in a wind tunnel: soil collected from their burrow or colony, and a blank control. During portions of the experiment, chicks turned the least and walked the shortest distances in response to odours from the nest, which is consistent with their sedentary behaviour within the burrow. By contrast, behaviours linked to olfactory search increased when chicks were exposed to blank controls. These results suggest that common diving petrel chicks can detect natural olfactory stimuli before fledging, and lay the foundation for future studies on the role of olfaction in social contexts for this species.</t>
  </si>
  <si>
    <t>[Cunningham, Gregory B.; Van Buskirk, Richard W.; Hodges, Mark J.; Nevitt, Gabrielle A.] Univ Calif Davis, Dept Neurobiol Physiol &amp; Behav, Davis, CA 95616 USA</t>
  </si>
  <si>
    <t>University of California System; University of California Davis</t>
  </si>
  <si>
    <t>Cunningham, GB (corresponding author), St John Fisher Coll, Dept Biol, 3690 East Ave, Rochester, NY 14618 USA.</t>
  </si>
  <si>
    <t>gcunningham@sifc.edu</t>
  </si>
  <si>
    <t>IPEV [109]; NSF [OPP-0229775, IBN-0212467]</t>
  </si>
  <si>
    <t>IPEV; NSF(National Science Foundation (NSF))</t>
  </si>
  <si>
    <t>This work was supported by IPEV (Program No. 109) and NSF (OPP-0229775 and IBN-0212467 to GAN) and by C. Burney, V. Chartendrault, and N. Delelis in the field. We thank Dr M. Willis for advice with the construction of the wind tunnel. Dr T. O'Dwyer, Dr R. Kihslinger, M. Losekoot and Dr J. DeBose graciously commented on earlier drafts of the manuscript. This manuscript was also greatly improved by two anonymous referees. We are also grateful to Dr N. Willits and the statistical consulting staff at UC Davis for useful advice with the analysis. Finally, we are indebted to Dr H. Weimerskirch for facilitating this research.</t>
  </si>
  <si>
    <t>10.1017/S0954102012000168</t>
  </si>
  <si>
    <t>WOS:000307141600003</t>
  </si>
  <si>
    <t>Park, CH; Jeong, G; Hong, SG</t>
  </si>
  <si>
    <t>Park, Chae Haeng; Jeong, Gajin; Hong, Soon Gyu</t>
  </si>
  <si>
    <t>Possible multiple introductions of Cladonia borealis to King George Island</t>
  </si>
  <si>
    <t>haplotype network; lichen; long-distance dispersal; phylogeny; rDNA; South Shetland Islands</t>
  </si>
  <si>
    <t>RIBOSOMAL DNA; LICHEN FLORA; PHYLOGENY; BIOGEOGRAPHY; DISPERSAL; PHYLOGEOGRAPHY; IDENTIFICATION; DELIMITATION; LECANORALES; POPULATIONS</t>
  </si>
  <si>
    <t>Many lichens have extensive distributional ranges covering several climatic zones and are able to colonize extreme habitats, including high alpine and polar regions. Cladonia borealis, one of the dominant lichen species on King George Island, is a cosmopolitan species inhabiting polar, subpolar, and alpine areas. It is usually found on soil, humus, and mosses, and is morphologically highly diverse. To understand the phylogeographic history of C. borealis on King George Island, we compared specimens from there with specimens from Norway and Chile. We conducted phylogenetic and haplotype network analyses of the partial SSU, ITS1-5.8S-ITS2, and partial LSU rDNA sequences including intron sequences in LSU rRNA genes. Nuclear rDNA locus of C. borealis from King George Island was separated into two monophyletic lineages. It is suggested that they originated in multiple independent introduction events after long-distance dispersal from other continents.</t>
  </si>
  <si>
    <t>[Park, Chae Haeng; Hong, Soon Gyu] Korea Polar Res Inst, Div Polar Life Sci, Inchon 406840, South Korea; [Park, Chae Haeng; Jeong, Gajin] Seoul Natl Univ, Coll Nat Sci, Sch Biol Sci, Seoul 151747, South Korea</t>
  </si>
  <si>
    <t>Korea Institute of Ocean Science &amp; Technology (KIOST); Korea Polar Research Institute (KOPRI); Seoul National University (SNU)</t>
  </si>
  <si>
    <t>Hong, SG (corresponding author), Korea Polar Res Inst, Div Polar Life Sci, 12 Gaetbeol Ro, Inchon 406840, South Korea.</t>
  </si>
  <si>
    <t>polypore@kopri.re.kr</t>
  </si>
  <si>
    <t>Park, Chae Haeng/AAP-3939-2020</t>
  </si>
  <si>
    <t>Korea Polar Research Institute [PE11030, PE10140]</t>
  </si>
  <si>
    <t>We would like to thank Jae Kyung Chon (Seoul National University) for helping us with preparing the illustrations. We are also grateful to reviewers for comments which improved the contents of the paper. This work was supported by the Korea Polar Research Institute (Grant PE11030 and PE10140).</t>
  </si>
  <si>
    <t>10.1017/S0954102012000223</t>
  </si>
  <si>
    <t>WOS:000307141600006</t>
  </si>
  <si>
    <t>Hodgson, DA; Bentley, MJ; Schnabel, C; Cziferszky, A; Fretwell, P; Convey, P; Xu, S</t>
  </si>
  <si>
    <t>Hodgson, Dominic A.; Bentley, Michael J.; Schnabel, Christoph; Cziferszky, Andreas; Fretwell, Peter; Convey, Peter; Xu, Sheng</t>
  </si>
  <si>
    <t>Glacial geomorphology and cosmogenic 10Be and 26Al exposure ages in the northern Dufek Massif, Weddell Sea embayment, Antarctica</t>
  </si>
  <si>
    <t>deglaciation; glaciation; ice sheets; Pensacola Mountains; sea level; Transantarctic Mountains</t>
  </si>
  <si>
    <t>ICE-SHEET; TRANSANTARCTIC MOUNTAINS; SHACKLETON RANGE; DRY VALLEYS; HALF-LIFE; LEVEL; LAND; DEGLACIATION; NUCLIDES; EROSION</t>
  </si>
  <si>
    <t>We studied the glacial geomorphology and geochronology of two ice-free valleys in the Dufek Massif (Antarctic Specially Protected Area 119) providing new constraints on past ice sheet thickness in the Weddell Sea embayment. Be-10 and Al-26 cosmogenic surface exposure dating provided chronological control. Seven glacial stages are proposed. These include an alpine glaciation, with subsequent (mid-Miocene?) over-riding by a warm-based ice sheet. Subsequent advances are marked by a series of minor drift deposits at 760 m altitude at &gt; 1 Ma, followed by at least two later ice sheet advances that are characterized by extensive drift sheet deposition. An advance of plateau ice field outlet glaciers from the south postdated these drift sheets. The most recent advance involved the cold-based expansion of the ice sheet from the north at the Last Glacial Maximum, or earlier, which deposited a series of bouldery moraines during its retreat. This suggests at most a relatively modest expansion of the ice sheet and outlet glaciers dominated by a lateral ice expansion of just 2-3 km and maintaining a thickness similar to that of the northern ice sheet front. These observations are consistent with other reports of modest ice sheet thickening around the Weddell Sea embayment during the Last Glacial Maximum.</t>
  </si>
  <si>
    <t>[Hodgson, Dominic A.; Bentley, Michael J.; Cziferszky, Andreas; Fretwell, Peter; Convey, Peter] British Antarctic Survey, NERC, Cambridge CB3 0ET, England; [Bentley, Michael J.] Univ Durham, Dept Geog, Durham DH1 3LE, England; [Schnabel, Christoph] SUERC, NERC Cosmogen Isotope Anal Facil, E Kilbride G75 0QF, Lanark, Scotland</t>
  </si>
  <si>
    <t>UK Research &amp; Innovation (UKRI); Natural Environment Research Council (NERC); NERC British Antarctic Survey; Durham University; Scottish Universities Research &amp; Reactor Center; UK Research &amp; Innovation (UKRI); Natural Environment Research Council (NERC); NERC British Geological Survey</t>
  </si>
  <si>
    <t>Hodgson, DA (corresponding author), British Antarctic Survey, NERC, Madingley Rd, Cambridge CB3 0ET, England.</t>
  </si>
  <si>
    <t>daho@pcmail.nerc-bas.ac.uk</t>
  </si>
  <si>
    <t>Bentley, Michael J/F-7386-2011; Convey, Peter/AAV-5728-2020</t>
  </si>
  <si>
    <t>Bentley, Michael J/0000-0002-2048-0019; Convey, Peter/0000-0001-8497-9903</t>
  </si>
  <si>
    <t>UK Natural Environment Research Council through British Antarctic Survey; UK Natural Environment Research Council through Cosmogenic Isotope Analysis Facility; Natural Environment Research Council [NE/F014260/1, bas0100024, ciaf010001] Funding Source: researchfish; NERC [ciaf010001, bas0100024, NE/F014260/1] Funding Source: UKRI</t>
  </si>
  <si>
    <t>UK Natural Environment Research Council through British Antarctic Survey; UK Natural Environment Research Council through Cosmogenic Isotope Analysis Facility; Natural Environment Research Council(UK Research &amp; Innovation (UKRI)Natural Environment Research Council (NERC)); NERC(UK Research &amp; Innovation (UKRI)Natural Environment Research Council (NERC))</t>
  </si>
  <si>
    <t>This work was funded by the UK Natural Environment Research Council through the British Antarctic Survey and the Cosmogenic Isotope Analysis Facility. Richard Burt (BAS) provided invaluable support in the field. Logistics were provided by the British Antarctic Survey Air Unit and support staff working from Rothera Research Station. Allan Davidson (NERC CIAF) carried out the mineral separation steps and assisted with the chemical sample preparation. The constructive comments of the reviewers are gratefully acknowledged.</t>
  </si>
  <si>
    <t>10.1017/S0954102012000016</t>
  </si>
  <si>
    <t>WOS:000307141600008</t>
  </si>
  <si>
    <t>Boxe, CS; Hamer, PD; Ford, W; Hoffmann, M; Shallcross, DE</t>
  </si>
  <si>
    <t>Boxe, C. S.; Hamer, P. D.; Ford, W.; Hoffmann, M.; Shallcross, D. E.</t>
  </si>
  <si>
    <t>The effect of the novel HO2+NO → HNO3 reaction channel at South Pole, Antarctica</t>
  </si>
  <si>
    <t>boundary layer; ice photochemistry; nitric acid; NOx; ozone; polar chemistry</t>
  </si>
  <si>
    <t>BOUNDARY-LAYER; NITRATE PHOTOCHEMISTRY; ATMOSPHERIC CHEMISTRY; NOX EMISSIONS; IMPACT; SNOW; HOX; HO2+NOREACTION; REASSESSMENT; TEMPERATURE</t>
  </si>
  <si>
    <t>It is well established that the reaction of HO2 with NO plays a central role in atmospheric chemistry, by way of OH/HO2 recycling and reduction of ozone depletion by HOx cycles in the stratosphere and through ozone production in the troposphere. Utilizing a photochemical box model, we investigate the impact of the recently observed HNO3 production channel (HO2 + NO -&gt; HNO3) on NOx (NO + NO2), HOx (OH + HO2), HNO3, and O-3 concentrations in the boundary layer at the South Pole, Antarctica. Our simulations exemplify decreases in peak O-3, NO, NO2, and OH and an increase in HNO3. Also, mean OH is in better agreement with observations, while worsening the agreement with O-3, HO2, and HNO3 concentrations observed at the South Pole. The reduced concentrations of NOx are consistent with expected decreases in atmospheric NOx lifetime as a result of increased sequestration of NOx into HNO3. Although we show that the inclusion of the novel HNO3 production channel brings better agreement of OH with field measurements, the modelled ozone and HNO3 are worsened, and the changes in NOx lifetime imply that snowpack NOx emissions and snowpack nitrate recycling must be re-evaluated.</t>
  </si>
  <si>
    <t>[Boxe, C. S.; Hamer, P. D.] CALTECH, Jet Prop Lab, Div Earth &amp; Space Sci, Pasadena, CA 91109 USA; [Ford, W.; Hoffmann, M.] CALTECH, Pasadena, CA 91125 USA; [Shallcross, D. E.] Univ Bristol, Sch Chem, Bristol BS8 1TS, Avon, England</t>
  </si>
  <si>
    <t>National Aeronautics &amp; Space Administration (NASA); NASA Jet Propulsion Laboratory (JPL); California Institute of Technology; California Institute of Technology; University of Bristol</t>
  </si>
  <si>
    <t>Boxe, CS (corresponding author), CALTECH, Jet Prop Lab, Div Earth &amp; Space Sci, Pasadena, CA 91109 USA.</t>
  </si>
  <si>
    <t>boxeman3@gmail.com</t>
  </si>
  <si>
    <t>Hamer, Paul/0000-0003-0645-2932</t>
  </si>
  <si>
    <t>National Aeronautics and Space Administration (NASA); NERC [NE/J009008/1, NE/G01972X/1, NE/I014381/1] Funding Source: UKRI; Natural Environment Research Council [NE/I014381/1, NE/G01972X/1, NE/J009008/1] Funding Source: researchfish</t>
  </si>
  <si>
    <t>National Aeronautics and Space Administration (NASA)(National Aeronautics &amp; Space Administration (NASA)); NERC(UK Research &amp; Innovation (UKRI)Natural Environment Research Council (NERC)); Natural Environment Research Council(UK Research &amp; Innovation (UKRI)Natural Environment Research Council (NERC))</t>
  </si>
  <si>
    <t>Paul Hamer was supported by an appointment to the NASA Postdoctoral Program at the Jet Propulsion Laboratory, administered by Oak Ridge Associated Universities through a contract with the National Aeronautics and Space Administration (NASA). The work described here was performed at the Jet Propulsion Laboratory, California Institute of Technology, under contracts with NASA. The constructive comments of the reviewers are gratefully acknowledged.</t>
  </si>
  <si>
    <t>10.1017/S0954102012000144</t>
  </si>
  <si>
    <t>WOS:000307141600011</t>
  </si>
  <si>
    <t>Cobcroft, JM; Shu-Chien, AC; Kuah, MK; Jaya-Ram, A; Battaglene, SC</t>
  </si>
  <si>
    <t>Cobcroft, Jennifer M.; Shu-Chien, Alexander Chong; Kuah, Meng-Kiat; Jaya-Ram, Annette; Battaglene, Stephen C.</t>
  </si>
  <si>
    <t>The effects of tank colour, live food enrichment and greenwater on the early onset of jaw malformation in striped trumpeter larvae</t>
  </si>
  <si>
    <t>AQUACULTURE</t>
  </si>
  <si>
    <t>Marine fish larvae; Walling behaviour; Rotifer enrichment; Tank colour; Feed intake; Retinoid receptor gene expression</t>
  </si>
  <si>
    <t>EUROPEAN SEA BASS; RETINOID-X-RECEPTOR; DIETARY DOCOSAHEXAENOIC ACID; POLYUNSATURATED FATTY-ACIDS; DICENTRARCHUS-LABRAX; VITAMIN-A; FORAGING BEHAVIOR; MARINE FISH; HIPPOGLOSSUS-HIPPOGLOSSUS; PARALICHTHYS-OLIVACEUS</t>
  </si>
  <si>
    <t>A high incidence of jaw malformation has hindered the production of quality striped trumpeter Latris lineata juveniles and has been correlated with walling behaviour in Artemia-fed larvae. In this study, striped trumpeter were reared from first feeding to 29 days post-hatching (dph) in different coloured tanks (black or white), culture conditions (clear or greenwater) and fed different diets (enriched or non-enriched rotifers and Artemia), to examine behaviour, retinoid receptor gene expression and jaw malformation. The highest incidence and severity of jaw malformations occurred in clearwater and enriched diet treatments and were significantly more common in white (70 +/- 15%, mean +/- SD) than in black tanks (26 +/- 15%). In black tanks, jaw malformation was significantly more common in larvae fed enriched diets (18 +/- 14%) than in those fed non-enriched diets (8 +/- 8%) and in clearwater (19 +/- 14%) versus greenwater (7 +/- 6%). At the end of the rotifer feeding phase, larvae were significantly larger in black than white tanks, and longer in greenwater than in clearwater. In the Artemia feeding phase, larval growth was slowest and mortality was highest in non-enriched diet treatments. Larval length and survival were higher in black tanks and in enriched diet treatments, whilst survival was almost twice as high in greenwater (46 +/- 18%) than clearwater (26 +/- 13%). The average proportion of larvae walling over the duration of the experiment was higher in white than black tanks, and higher in enriched than non-enriched treatments, with lowest walling in greenwater. There was no consistent relationship between feed intake and jaw malformation. However, there was a significant positive correlation between walling and the incidence of jaw malformation at 29 dph in larvae fed enriched diets. The expression pattern of three retinoid receptor genes indicated that live feed enrichment and stress could potentially perturb retinoic acid-associated pathways leading to skeletal abnormality. We found that the use of greenwater, black tanks and enriched live feeds is required for good growth, development, survival and final yield of striped trumpeter. The study emphasises the importance of reducing walling in the culture of oceanic larvae and may have direct application in the rearing of other marine fish with similar malformations. (C) 2012 Elsevier B.V. All rights reserved.</t>
  </si>
  <si>
    <t>[Cobcroft, Jennifer M.; Battaglene, Stephen C.] Univ Tasmania, Fisheries Aquaculture &amp; Coasts Ctr, Inst Marine &amp; Antarctic Studies, Hobart, Tas 7001, Australia; [Shu-Chien, Alexander Chong; Kuah, Meng-Kiat; Jaya-Ram, Annette] Univ Sains Malaysia, Sch Biol Sci, Minden 11800, Penang, Malaysia; [Shu-Chien, Alexander Chong] Univ Sains Malaysia, Ctr Marine &amp; Coastal Studies, Minden 11800, Penang, Malaysia</t>
  </si>
  <si>
    <t>University of Tasmania; Universiti Sains Malaysia; Universiti Sains Malaysia</t>
  </si>
  <si>
    <t>Cobcroft, JM (corresponding author), Univ Tasmania, Fisheries Aquaculture &amp; Coasts Ctr, Inst Marine &amp; Antarctic Studies, Private Bag 49, Hobart, Tas 7001, Australia.</t>
  </si>
  <si>
    <t>jenny.cobcroft@utas.edu.au</t>
  </si>
  <si>
    <t>Cobcroft, Jennifer/E-3331-2013; Battaglene, Stephen C/H-9683-2014; Shu-Chien, Alexander Chong/D-4041-2009; Jaya-Ram, Annette/R-8564-2019; Kuah, Meng-Kiat/P-6087-2014</t>
  </si>
  <si>
    <t>Cobcroft, Jennifer/0000-0002-2398-9267; Shu-Chien, Alexander Chong/0000-0003-3014-442X; Jaya-Ram, Annette/0000-0001-9906-5661;</t>
  </si>
  <si>
    <t>CRC's Commonwealth; APDI under the Australian Research Council [LP0882042]; Australian-Malaysian Institute; Australian Research Council [LP0882042] Funding Source: Australian Research Council</t>
  </si>
  <si>
    <t>CRC's Commonwealth(Australian GovernmentDepartment of Industry, Innovation and ScienceCooperative Research Centres (CRC) Programme); APDI under the Australian Research Council(Australian Research Council); Australian-Malaysian Institute; Australian Research Council(Australian Research Council)</t>
  </si>
  <si>
    <t>We thank Dr Gavin Shaw, Ms Melanie Andrews, Mr Alan Beech, Mr Bryan Choa, Mr Ross Goldsmid, Ms Anna Overweter, and Mr Bill Wilkinson for technical assistance in live feed production, larval rearing and sampling. This study formed part of the Research Program of the Aquafin CRC, and employed funds invested out of the CRC's Commonwealth grant and by Fisheries Research and Development Corporation, University of Tasmania and the Tasmanian Government and other Participants of the CRC. JC was supported by an APDI under the Australian Research Council's Linkage Projects funding scheme (project number LP0882042). AC Shu-Chien is also grateful to the Australian-Malaysian Institute for granting the Australian Malaysian Research Excellence Fellowship. Experimentation was conducted with the approval of the University of Tasmania Animal Ethics Committee, approval number A0008191. The manuscript was improved with valuable comments from three anonymous reviewers.</t>
  </si>
  <si>
    <t>0044-8486</t>
  </si>
  <si>
    <t>1873-5622</t>
  </si>
  <si>
    <t>Aquaculture</t>
  </si>
  <si>
    <t>10.1016/j.aquaculture.2012.05.035</t>
  </si>
  <si>
    <t>970ZK</t>
  </si>
  <si>
    <t>WOS:000306171100009</t>
  </si>
  <si>
    <t>Codabaccus, BM; Carter, CG; Bridle, AR; Nichols, PD</t>
  </si>
  <si>
    <t>Codabaccus, Basseer M.; Carter, Chris G.; Bridle, Andrew R.; Nichols, Peter D.</t>
  </si>
  <si>
    <t>The n-3 LC-PUFA sparing effect of modified dietary n-3 LC-PUFA content and DHA to EPA ratio in Atlantic salmon smolt</t>
  </si>
  <si>
    <t>Eicosapentaenoic acid; Docosahexaenoic acid; Fish oil; Chicken fat; Tuna oil; Genetically modified plants</t>
  </si>
  <si>
    <t>FATTY-ACID-COMPOSITION; FISH-OIL; SALAR L.; GROWTH-PERFORMANCE; GENE-EXPRESSION; TISSUE; REPLACEMENT; METABOLISM; FEEDS; AQUACULTURE</t>
  </si>
  <si>
    <t>n-3 Long-chain (&gt;= C-20) polyunsaturated fatty acids (LC-PUFA) are used extensively by fish via beta-oxidation when in dietary surplus. Therefore it is of interest to optimize n-3 LC-PUFA deposition in fish via a reduction in beta-oxidation which may be induced by manipulation of dietary fatty acids. This study tested whether Atlantic salmon smolt fed a diet with a higher docosahexaenoic acid (DHA): eicosapentaenoic acid (EPA) ratio and a lower content of n-3 LC-PUFA to that of fish oil (FO) based diets would enhance deposition of n-3 LC-PUFA in fish tissues. Comparisons were made between fish fed: a FO diet, a blend of 50% rapeseed and 50% tuna oil diet (model oil, MO 1), a blend of 50% rapeseed, 25% tuna and 25% FO diet (MO 2), and a blend of 50% FO and 50% chicken fat diet (FO/CF). The dietary DHA: EPA ratio was in the order MO 1&gt;MO 2&gt;FO/CF similar to FO. Dietary n-3 LC-PUFA content was approximately 2-fold lower in fish fed the MO 1, MO 2 and FO/CF diets compared to the FO diet. There were comparable amounts of n-3 LC-PUFA in the muscle of FO, MO 1 and FO/CF fed fish. Our findings indicate that the right balance in both absolute and relative amounts of EPA and DHA can promote n-3 LC-PUFA retention. (C) 2012 Elsevier B.V. All rights reserved.</t>
  </si>
  <si>
    <t>[Codabaccus, Basseer M.; Carter, Chris G.] Univ Tasmania, Inst Marine &amp; Antarctic Studies, Hobart, Tas 7001, Australia; [Codabaccus, Basseer M.; Bridle, Andrew R.] Univ Tasmania, NCMCRS, Launceston, Tas 7250, Australia; [Codabaccus, Basseer M.; Nichols, Peter D.] CSIRO Food Futures Flagship, Div Marine &amp; Atmospher Res, Hobart, Tas 7001, Australia</t>
  </si>
  <si>
    <t>University of Tasmania; University of Tasmania; Commonwealth Scientific &amp; Industrial Research Organisation (CSIRO)</t>
  </si>
  <si>
    <t>Codabaccus, BM (corresponding author), Univ Tasmania, Inst Marine &amp; Antarctic Studies, Private Bag 49, Hobart, Tas 7001, Australia.</t>
  </si>
  <si>
    <t>mohamedc@utas.edu.au</t>
  </si>
  <si>
    <t>Carter, Chris Guy/A-3438-2008; Nichols, Peter D/C-5128-2011; Bridle, Andrew R/B-4117-2013</t>
  </si>
  <si>
    <t>Carter, Chris Guy/0000-0001-5210-1282; Bridle, Andrew/0000-0002-5788-1297; codabaccus, mohamed/0000-0001-5108-373X</t>
  </si>
  <si>
    <t>CSIRO Food Futures Flagship Top-up Scholarship; University of Tasmania Endeavour International Postgraduate Scholarship</t>
  </si>
  <si>
    <t>The financial support awarded by the CSIRO Food Futures Flagship Top-up Scholarship and the University of Tasmania Endeavour International Postgraduate Scholarship, is gratefully acknowledged. We thank M. Bransden (Skretting) for supplying us with the chicken fat. We are also grateful to K. Latif and D. Pountney (UTAS) for technical assistance during the experiment and to D. Holdsworth (CSIRO) for managing the GC-MS facility.</t>
  </si>
  <si>
    <t>10.1016/j.aquaculture.2012.05.024</t>
  </si>
  <si>
    <t>WOS:000306171100019</t>
  </si>
  <si>
    <t>Crisfield, VE; Macdonald, SE; Gould, AJ</t>
  </si>
  <si>
    <t>Crisfield, Varina E.; Macdonald, S. Ellen; Gould, A. Joyce</t>
  </si>
  <si>
    <t>Effects of Recreational Traffic on Alpine Plant Communities in the Northern Canadian Rockies</t>
  </si>
  <si>
    <t>ARCTIC TUNDRA; NATURAL REGENERATION; SOIL COMPACTION; MOUNTAIN PARK; NATIONAL-PARK; VEGETATION; IMPACTS; DISTURBANCE; RESPONSES; CRUSTS</t>
  </si>
  <si>
    <t>Recreational activities in alpine areas have been increasing in recent decades, creating the need to improve our understanding of the impacts of these activities and how they are best managed. We explored impacts of recreational trail use on dry alpine meadows in the northern Canadian Rockies of Alberta. Data collected in 142 plots (0.5 m X I m) were used to compare plant community metrics among (1) a recreational trail, (2) intact tundra meadows (undisturbed), and (3) sparsely vegetated gravel steps formed by frost disturbance (naturally disturbed). As compared to undisturbed tundra, trails had substantially lower cover of vascular plants (4% vs. 35%), lichen (0% vs. 10%), and cryptogamic crust (0% vs. 4%); trails also had lower species richness (7 vs. 11 species per plot), but greater soil compaction (2.75 vs. 1.25 kg cm(-2)). Trails differed from natural gravel steps, which had three times more biotic cover and different composition. This highlights the difference in effects of human and natural disturbance. Positive feedback effects of trampling in tundra ecosystems may lead to altered environmental conditions, including decreased infiltration capacity and nutrient cycles in soils, and more extreme temperatures at the soil surface. These feedbacks could inhibit regeneration of abandoned trails.</t>
  </si>
  <si>
    <t>[Crisfield, Varina E.; Macdonald, S. Ellen] Univ Alberta, Dept Renewable Resources, Edmonton, AB T6G 2H1, Canada; [Gould, A. Joyce] Alberta Tourism Pk &amp; Recreat, Edmonton, AB T5K 2J6, Canada</t>
  </si>
  <si>
    <t>University of Alberta</t>
  </si>
  <si>
    <t>Crisfield, VE (corresponding author), Univ Alberta, Dept Renewable Resources, Edmonton, AB T6G 2H1, Canada.</t>
  </si>
  <si>
    <t>vcrisfield@gmail.com</t>
  </si>
  <si>
    <t>Crisfield, Varina/0000-0002-9057-5689</t>
  </si>
  <si>
    <t>Natural Sciences and Engineering Research Council of Canada; Alberta Parks; Alberta Conservation Association; Alberta Sport, Recreation, Parks and Wildlife Foundation; Canadian Circumpolar Institute; Alpine Club of Canada</t>
  </si>
  <si>
    <t>Natural Sciences and Engineering Research Council of Canada(Natural Sciences and Engineering Research Council of Canada (NSERC)CGIAR); Alberta Parks; Alberta Conservation Association; Alberta Sport, Recreation, Parks and Wildlife Foundation; Canadian Circumpolar Institute; Alpine Club of Canada</t>
  </si>
  <si>
    <t>We would like to thank the following organizations for providing the funding that made this research possible: the Natural Sciences and Engineering Research Council of Canada; Alberta Parks; the Alberta Conservation Association; the Alberta Sport, Recreation, Parks and Wildlife Foundation; the Canadian Circumpolar Institute; and the Alpine Club of Canada. Field assistance was provided by Sheena Briggs, Sam Karpyshyn, Jaime Lypowy, Pete Presant, Alison Rose, and Amy Wilker.</t>
  </si>
  <si>
    <t>10.1657/1938-4246-44.3.277</t>
  </si>
  <si>
    <t>WOS:000307990800002</t>
  </si>
  <si>
    <t>Murray, T; James, TD; Macheret, Y; Lavrentiev, I; Glazovsky, A; Sykes, H</t>
  </si>
  <si>
    <t>Murray, Tavi; James, Timothy D.; Macheret, Yuri; Lavrentiev, Ivan; Glazovsky, Andrey; Sykes, Helena</t>
  </si>
  <si>
    <t>Geometric Changes in a Tidewater Glacier in Svalbard during its Surge Cycle</t>
  </si>
  <si>
    <t>EAST GREENLAND; RADAR INTERFEROMETRY; VARIEGATED GLACIER; GROUND-CONTROL; MASS-BALANCE; ALASKA; DYNAMICS; ELEVATION; SORTEBRAE; USA</t>
  </si>
  <si>
    <t>Fridtjovbreen, Svalbard, is a partially tidewater-terminating glacier that started a 7-year surge during the 1990s. Flow peaked during 1996 and no surge front was apparent. We use two pre-surge (1969 and 1990) and a post-surge (2005) digital elevation models (DEMs) together with a bed DEM to quantify volume changes and iceberg calving during the surge, calculate the changes in glacier hypsometry, and investigate the surge trigger. Between 1969 and 1990, the glacier lost 5% of its volume, retreated 530 m and thinned by up to 60 m in the lower elevations while thickening by up to 20 m in its higher elevations. During the surge, the reservoir zone thinned by up to 118 in and the receiving zone thickened by similar to 140 m. Fridtjovbreen's ice divide moved similar to 500 m, incorporating extra ice into its catchment. Despite this volume gain, during 1990-2005 the glacier lost similar to 10% of its volume through iceberg calving and 7% through surface melt. The surge occurred in a climate of decreasing overall ice volume, so we need to revise the notion that surging is triggered by a return to an original geometry, and we suggest Fridtjovbreen's surge was triggered by increasing shear stresses primarily caused by increases in surface slope.</t>
  </si>
  <si>
    <t>[Murray, Tavi; James, Timothy D.; Sykes, Helena] Swansea Univ, Glaciol Grp, Swansea SA2 8PP, W Glam, Wales; [Macheret, Yuri; Lavrentiev, Ivan; Glazovsky, Andrey] Russian Acad Sci, Inst Geog, Moscow 119017, Russia</t>
  </si>
  <si>
    <t>Swansea University; Russian Academy of Sciences; Institute of Geography, Russian Academy of Sciences</t>
  </si>
  <si>
    <t>Murray, T (corresponding author), Swansea Univ, Glaciol Grp, Swansea SA2 8PP, W Glam, Wales.</t>
  </si>
  <si>
    <t>t.murray@swansea.ac.uk</t>
  </si>
  <si>
    <t>Yury, Macheret/AAG-7696-2021; Facility, NERC Geophysical Equipment/G-5260-2010; Lavrentiev, Ivan/AAG-8519-2021; Lavrentiev, Ivan/E-2224-2017; Glazovsky, Andrey/G-9060-2011; Sykes, Helena/K-6508-2015; James, Timothy/C-9219-2013</t>
  </si>
  <si>
    <t>Lavrentiev, Ivan/0000-0002-6902-7186; Lavrentiev, Ivan/0000-0002-6902-7186; Glazovsky, Andrey/0000-0001-6275-7517; Sykes, Helena/0000-0003-4828-4973; Macheret, Yuri/0000-0001-5687-5381; Murray, Tavi/0000-0001-6714-6512; James, Timothy/0000-0003-4082-7822</t>
  </si>
  <si>
    <t>U.K. Natural Environment Research Council (NERC) [NE/B505262/1]; NERC Airborne Remote Survey Facility (ARSF); NERC Geophysical Equipment Facility (GEF); School of Environment and Society, Swansea University; Branch of Earth Sciences of Russian Academy of Sciences [14]; C3W (Climate Change Consortium of Wales); Natural Environment Research Council [NE/B505262/1, NE/B505254/1, NE/B505270/1] Funding Source: researchfish</t>
  </si>
  <si>
    <t>U.K. Natural Environment Research Council (NERC)(UK Research &amp; Innovation (UKRI)Natural Environment Research Council (NERC)); NERC Airborne Remote Survey Facility (ARSF); NERC Geophysical Equipment Facility (GEF); School of Environment and Society, Swansea University; Branch of Earth Sciences of Russian Academy of Sciences; C3W (Climate Change Consortium of Wales); Natural Environment Research Council(UK Research &amp; Innovation (UKRI)Natural Environment Research Council (NERC))</t>
  </si>
  <si>
    <t>This research was supported by the U.K. Natural Environment Research Council (NERC) (NE/B505262/1), the NERC Airborne Remote Survey Facility (ARSF), NERC Geophysical Equipment Facility (GEF), and the School of the Environment and Society, Swansea University. The Russian component was supported by Program 14 from the Branch of Earth Sciences of Russian Academy of Sciences. We thank the Norwegian Polar Institute and Adrian Fox (British Antarctic Survey) for their support in the field and Applied Imagery for supplying Swansea Glaciology Group with QT Modeler. Tim James is currently funded by C3W (the Climate Change Consortium of Wales).</t>
  </si>
  <si>
    <t>10.1657/1938-4246-44.3.359</t>
  </si>
  <si>
    <t>WOS:000307990800010</t>
  </si>
  <si>
    <t>Streletskiy, DA; Shiklomanov, NI; Nelson, FE</t>
  </si>
  <si>
    <t>Streletskiy, Dmitry A.; Shiklomanov, Nikolay I.; Nelson, Frederick E.</t>
  </si>
  <si>
    <t>Permafrost, Infrastructure, and Climate Change: a GIS-Based Landscape Approach to Geotechnical Modeling</t>
  </si>
  <si>
    <t>ACTIVE-LAYER THICKNESS; URBAN HEAT-ISLAND; THERMAL STATE; VARIABILITY; FOUNDATIONS</t>
  </si>
  <si>
    <t>Increases in air temperature have occurred in most parts of the Arctic in recent decades. Corresponding changes in permafrost and the active layer have resulted in decreases in ground-bearing capacity, which may not have been anticipated at the time of construction in permafrost regions. Permafrost model was coupled with empirically derived solutions adopted from Soviet and Russian construction standards and regulations to estimate the bearing capacity of foundations under rapidly changing climatic conditions, in a variety of geographic and geologic settings. Changes in bearing capacity over the last 40 years were computed for large population and industrial centers within different physiographic and climatic conditions of the Russian Arctic. The largest decreases were found in city of Nadym, where the bearing capacity has decreased by more than 40%. A smaller, but considerable decrease of approximately 20% was estimated for Yakutsk and Salekhard. Spatial model results at a regional scale depict diverse patterns of changes in permafros-bearing capacity in Northwest Siberia and the North Slope of Alaska. The most pronounced decreases in bearing capacity (more than 20%) are estimated for the southern part of permafrost zone where deformations of engineering structures can potentially be attributed to climate-induced permafrost warming.</t>
  </si>
  <si>
    <t>[Streletskiy, Dmitry A.; Shiklomanov, Nikolay I.] George Washington Univ, Dept Geog, Washington, DC 20052 USA; [Nelson, Frederick E.] Univ Delaware, Dept Geog, Newark, DE 19716 USA</t>
  </si>
  <si>
    <t>George Washington University; University of Delaware</t>
  </si>
  <si>
    <t>Streletskiy, DA (corresponding author), George Washington Univ, Dept Geog, 1922 F St NW, Washington, DC 20052 USA.</t>
  </si>
  <si>
    <t>strelets@gwu.edu</t>
  </si>
  <si>
    <t>; Streletskiy, Dmitry/C-3333-2017</t>
  </si>
  <si>
    <t>Shiklomanov, NIkolay/0000-0002-8609-0240; Streletskiy, Dmitry/0000-0003-2563-2664</t>
  </si>
  <si>
    <t>U.S. National Science Foundation (NSF) [ARC-1002119]; NASA [NNX09A194G, 09-040]; Directorate For Geosciences; Office of Polar Programs (OPP) [1002119] Funding Source: National Science Foundation</t>
  </si>
  <si>
    <t>U.S. National Science Foundation (NSF)(National Science Foundation (NSF)); NASA(National Aeronautics &amp; Space Administration (NASA)); Directorate For Geosciences; Office of Polar Programs (OPP)(National Science Foundation (NSF)NSF - Directorate for Geosciences (GEO))</t>
  </si>
  <si>
    <t>We thank Cort Willmott (University of Delaware), Dmitry Drozdov (Russian Academy of Sciences), and Skip Walker (University of Alaska-Fairbanks) for their reviews of an earlier version of this paper. This research was sponsored by the U.S. National Science Foundation (NSF) grant ARC-1002119 to the George Washington University, and NASA grants NNX09A194G and 09-040 to the George Washington University, University of Delaware, and the University of New Hampshire. Opinions, findings, conclusions, and recommendations expressed in this paper are those of the authors, and do not necessarily reflect the views of the NSF and NASA.</t>
  </si>
  <si>
    <t>10.1657/1938-4246-44.3.368</t>
  </si>
  <si>
    <t>WOS:000307990800011</t>
  </si>
  <si>
    <t>Hullar, T; Patten, K; Anastasio, C</t>
  </si>
  <si>
    <t>Hullar, Ted; Patten, Kelley; Anastasio, Cort</t>
  </si>
  <si>
    <t>Formation of hydrogen peroxide from illuminated polar snows and frozen solutions of model compounds</t>
  </si>
  <si>
    <t>Polar photochemistry; Iron-oxalate complexes; Organic photochemistry; H2O2 budget</t>
  </si>
  <si>
    <t>CALIFORNIA CENTRAL VALLEY; FOG WATERS; SURFACE SNOW; ICE; H2O2; GREENLAND; PHOTOLYSIS; CHEMISTRY; NITRATE; SUMMIT</t>
  </si>
  <si>
    <t>Hydrogen peroxide (HOOH) is an important trace constituent in snow and ice, including in Arctic and Antarctic ice cores. To better understand the budget of snowpack HOOH, here we examine its production in illuminated snow and ice. To evaluate what types of compounds might be important photochemical sources of HOOH, we first illuminated laboratory ice samples containing 10 different model organic compounds: guaiacol, phenol, syringol, benzoate, formate, octanal, octanoic acid, octanedioic acid, phenylalanine, and mixtures of oxalate with iron (III). Half of these compounds produced little or no HOOH during illumination, but two classes of compounds were very reactive: phenolic compounds (with rates of HOOH of 6-62 nM-HOOH h(-1) mu M-1-phenolic) and mixtures of Fe(III) with a stoichiometric excess of oxalate (with rates of HOOH production as high as 2,000,000 nM h(-1) per mu M iron). To quantify rates of HOOH production in the environment we also illuminated snow samples collected from the Arctic and Antarctic. The average (+/- 1 sigma) HOOH production rate in these samples was low, 5.3 +/- 5.0 nM h(-1) and replicate measurements showed high variability. In some natural samples there was an initial burst of HOOH production (with a rate approximately 10 times higher than the average production rate), followed by reduced rates at subsequent time points. Although our laboratory ice samples reveal that illuminated organics and metal-organic complexes can form HOOH, the low rates of HOOH formation in the Arctic and Antarctic snow samples suggest this process has only a modest impact on the HOOH budget in the snowpack. (C) 2012 Elsevier Ltd. All rights reserved.</t>
  </si>
  <si>
    <t>[Hullar, Ted; Patten, Kelley; Anastasio, Cort] Univ Calif Davis, Dept Land Air &amp; Water Resources, Davis, CA 95616 USA</t>
  </si>
  <si>
    <t>Anastasio, C (corresponding author), Univ Calif Davis, Dept Land Air &amp; Water Resources, 1 Shields Ave, Davis, CA 95616 USA.</t>
  </si>
  <si>
    <t>canastasio@ucdavis.edu</t>
  </si>
  <si>
    <t>National Science Foundation [ANT-0636985]</t>
  </si>
  <si>
    <t>We thank the National Science Foundation for funding this research (ANT-0636985). In addition, we thank Arnaud Laurent, Barry Lefer, and Neil Brough for kindly collecting samples of Arctic and Antarctic snow. We also thank Jeremy Smith for absorbance measurements of phenol, guaiacol, and syringol.</t>
  </si>
  <si>
    <t>10.1016/j.atmosenv.2012.03.047</t>
  </si>
  <si>
    <t>980CE</t>
  </si>
  <si>
    <t>WOS:000306870400017</t>
  </si>
  <si>
    <t>Anderson, CB; Celis-Diez, JL; Bond, BJ; Pastur, GM; Little, C; Armesto, JJ; Ghersa, C; Austin, A; Schlichter, T; Lara, A; Carmona, M; Chaneton, EJ; Gutierrez, JR; Rozzi, R; Vanderbilt, K; Oyarce, G; Fernández, RJ</t>
  </si>
  <si>
    <t>Anderson, Christopher B.; Celis-Diez, Juan L.; Bond, Barbara J.; Martinez Pastur, Guillermo; Little, Christian; Armesto, Juan J.; Ghersa, Claudio; Austin, Amy; Schlichter, Tomas; Lara, Antonio; Carmona, Martin; Chaneton, Enrique J.; Gutierrez, Julio R.; Rozzi, Ricardo; Vanderbilt, Kristin; Oyarce, Guillermo; Fernandez, Roberto J.</t>
  </si>
  <si>
    <t>Progress in creating a joint research agenda that allows networked long-term socio-ecological research in southern South America: Addressing crucial technological and human capacity gaps limiting its application in Chile and Argentina</t>
  </si>
  <si>
    <t>environmental monitoring; information management; long-term ecological research; LTER; LTSER; science policy; socio-ecology; investigacion ecologica a largo plazo; LTER; LTSER; monitoreo medioambiental; politica cientifica; socio-ecologia</t>
  </si>
  <si>
    <t>ECOLOGICAL RESEARCH; EXOTIC PLANTATIONS; NATIVE FORESTS; WATER YIELD; NITROGEN; PATTERNS; SCIENCE; LTSER; LTER; CONSERVATION</t>
  </si>
  <si>
    <t>Since 1980, more than 40 countries have implemented long-term ecological research (LTER) programs, which have shown their power to affect advances in basic science to understand the natural world at meaningful temporal and spatial scales and also help link research with socially relevant outcomes. Recently, a disciplinary paradigmatic shift has integrated the human dimensions of ecosystems, leading to a long-term socio-ecological research (LTSER) framework to address the world's current environmental challenges. A global gap in LTER/LTSER only exists in the latitudinal range of 40-60 degrees S, corresponding to Argentina and Chile's temperate/sub-Antarctic biome. A team of Chilean, Argentine and US researchers has participated in an ongoing dialogue to define not only conceptual, but also practical barriers limiting LTER/LTSER in southern South America. We have found a number of existing long-term research sites and platforms throughout the region, but at the same time it has been concluded an agenda is needed to create and implement further training courses for students, postdoctoral fellows and young scientists, particularly in the areas of data and information management systems. Since LTER/LTSER efforts in Chile and Argentina are incipient, instituting such courses now will enhance human and technical capacity of the natural science and resource community to improve the collection, storage, analysis and dissemination of information in emerging LTER/LTSER platforms. In turn, having this capacity, as well as the ongoing formalization of LTER/LTSER programs at national levels, will allow the enhancement of crucial collaborations and comparisons between long-term research programs within the region and between hemispheres and continents. For Spanish version of the entire article, see Online Supporting Information (Appendix S1). Resumen Desde 1980, mas de cuarenta paises han implementado programas de Investigacion Ecologica a Largo Plazo (LTER por sus siglas en ingles), los cuales han mostrado su capacidad para influir sobre los avances en las ciencias basicas que permiten entender el mundo natural en escalas temporales y espaciales significativas, y tambien ayudar a enfocar la investigacion hacia estudios socialmente relevantes. Recientemente, gracias a un cambio de paradigma en la disciplina, se integro tambien la dimension humana de los ecosistemas, llevandola a un marco conceptual de Investigacion Socio-Ecologica a Largo Plazo (LTSER por sus siglas en ingles) para enfrentar los desafios medio-ambientales del mundo actual. Existe un vacio global en LTER/LTSER en el rango latitudinal de 40-60 degrees S, correspondiente a los biomas templados/subantarticos de Argentina y Chile. Un equipo de investigadores chilenos, argentinos y estadounidenses ha trabajado por varios anos para definir cuales son la barreras que actualmente limitan la creacion de una Red de LTER/LTSER en el sur de Sudamerica, no solamente en terminos conceptuales, sino tambien a nivel practico. Existe un buen numero de sitios de investigacion a largo plazo en la region, pero tambien concluimos que es necesario crear e implementar mas cursos de capacitacion para estudiantes, investigadores post-doctorales y jovenes cientificos, particularmente en las areas de sistemas de manejo de datos e informacion. Considerando que los esfuerzos LTER/LTSER en Chile y Argentina son incipientes, este tipo de cursos podria mejorar la capacidad humana y tecnica en la comunidad de las ciencias y los recursos naturales, asi como mejorar los procesos de recoleccion, almacenamiento, analisis y difusion de la informacion. A su vez, la formalizacion de cursos de programas LTER/LTSER a nivel nacional para adquirir dicha capacidad de manejo de la informacion, permitira un fortalecimiento crucial de las colaboraciones y comparaciones entre programas de investigacion a largo plazo dentro de la region, y entre hemisferios y continentes. La version en castellano del articulo se encuentra disponible en forma digital como Online Supporting Information S1.</t>
  </si>
  <si>
    <t>[Anderson, Christopher B.] Univ N Texas, Dept Biol Sci, Denton, TX 76203 USA; [Bond, Barbara J.] Oregon State Univ, Dept Forest Ecosyst &amp; Soc, Corvallis, OR 97331 USA; [Bond, Barbara J.] Oregon State Univ, HG Andrews Forest Long Term Ecol Res Site, Corvallis, OR 97331 USA; [Rozzi, Ricardo] Univ N Texas, Dept Philosophy &amp; Relig Studies, Denton, TX 76203 USA; [Oyarce, Guillermo] Univ N Texas, Dept Library &amp; Informat Sci, Denton, TX 76203 USA; [Vanderbilt, Kristin] Univ New Mexico, Dept Biol, Albuquerque, NM 87131 USA; [Vanderbilt, Kristin] Univ New Mexico, Sevilleta Long Term Ecol Res Site, Albuquerque, NM 87131 USA; [Celis-Diez, Juan L.; Armesto, Juan J.; Carmona, Martin; Gutierrez, Julio R.; Rozzi, Ricardo] Pontificia Univ Catolica Chile, Inst Ecol &amp; Biodiversidad, Santiago, Chile; [Celis-Diez, Juan L.; Armesto, Juan J.] Pontificia Univ Catolica Chile, Ctr Adv Studies Ecol &amp; Biodivers, Santiago, Chile; [Little, Christian] Univ Austral Chile, Fac Ciencias, Inst Ciencias Tierra &amp; Evoluc, Santiago, Chile; [Lara, Antonio] Univ Austral Chile, Fac Ciencias Forest &amp; Recursos Nat, Inst Silvicultura, Valdivia, Chile; [Gutierrez, Julio R.] Univ La Serena, Dept Ciencias Biol, La Serena, Chile; [Gutierrez, Julio R.] Univ La Serena, Ctr Estudios Avanzados Zonas Aridas CEAZA, La Serena, Chile; [Martinez Pastur, Guillermo] Ctr Austral Invest Cient CONICET, Ushuaia, Argentina; [Ghersa, Claudio; Austin, Amy; Chaneton, Enrique J.; Fernandez, Roberto J.] Univ Buenos Aires, IFEVA CONICET, Fac Agron, Buenos Aires, DF, Argentina; [Schlichter, Tomas] Inst Nacl Tecnol Agropecuaria INTA, Programa Nacl Invest Forestal, San Carlos De Bariloche, Rio Negro, Argentina; [Schlichter, Tomas] Inst Nacl Tecnol Agropecuaria INTA, Grp Ecol Forestal, San Carlos De Bariloche, Rio Negro, Argentina</t>
  </si>
  <si>
    <t>University of North Texas System; University of North Texas Denton; Oregon State University; Oregon State University; University of North Texas System; University of North Texas Denton; University of North Texas System; University of North Texas Denton; University of New Mexico; University of New Mexico; Pontificia Universidad Catolica de Chile; Pontificia Universidad Catolica de Chile; Universidad Austral de Chile; Universidad Austral de Chile; Universidad de La Serena; Universidad de La Serena; Consejo Nacional de Investigaciones Cientificas y Tecnicas (CONICET); Consejo Nacional de Investigaciones Cientificas y Tecnicas (CONICET); University of Buenos Aires; Instituto Nacional de Tecnologia Agropecuaria (INTA); Instituto Nacional de Tecnologia Agropecuaria (INTA)</t>
  </si>
  <si>
    <t>Anderson, CB (corresponding author), Univ N Texas, Dept Biol Sci, Denton, TX 76203 USA.</t>
  </si>
  <si>
    <t>canderson@alumni.unc.edu</t>
  </si>
  <si>
    <t>Rozzi, Ricardo/G-1047-2012; Martínez Pastur, Guillermo J./H-8188-2014; Gutierrez, Julio R/A-8367-2011; Armesto, Juan J/G-6467-2016; Anderson, Christopher/V-4882-2019; Celis, Juan/L-5185-2017; Austin, Amy/E-7988-2011; Little, Christian/A-2047-2011</t>
  </si>
  <si>
    <t>Rozzi, Ricardo/0000-0001-5265-8726; Martínez Pastur, Guillermo J./0000-0003-2614-5403; Anderson, Christopher/0000-0001-8120-5689; Fernandez, Roberto/0000-0003-3094-569X; Gutierrez, Julio/0000-0002-1099-1341; Lara, Antonio/0000-0003-4998-4584; Celis, Juan/0000-0001-6356-264X; Martinez Pastur, Guillermo/0000-0002-7369-0423; Austin, Amy/0000-0002-7468-5861; Little, Christian/0000-0003-2223-6834</t>
  </si>
  <si>
    <t>NSF-LTER [DEB 08-23380]; ICM [P05-02]; CONICYT [PFB-23]; FONDECYT [1110228]; US NSF [GEO-0452325]; CONAF [2010/023]; Research Fund for the Native Forest Law; Nature Conservancy; MASISA SA; Fundacion FORECOS; Directorate For Geosciences [1138881] Funding Source: National Science Foundation</t>
  </si>
  <si>
    <t>NSF-LTER(National Science Foundation (NSF)); ICM; CONICYT(Comision Nacional de Investigacion Cientifica y Tecnologica (CONICYT)); FONDECYT(Comision Nacional de Investigacion Cientifica y Tecnologica (CONICYT)CONICYT FONDECYT); US NSF(National Science Foundation (NSF)); CONAF; Research Fund for the Native Forest Law; Nature Conservancy; MASISA SA; Fundacion FORECOS; Directorate For Geosciences(National Science Foundation (NSF)NSF - Directorate for Geosciences (GEO))</t>
  </si>
  <si>
    <t>This paper resulted from the LTER workshop conducted in the IV Binational (Chile/Argentina) Ecology Meeting, held in Buenos Aires, Argentina and coordinated by CG(RC 2010, GRANT 914-10 CONICET). BB acknowledges supplemental funding from US NSF Office of International Science and Education to the H.J. Andrews LTER (DEB 08-23380). Previous work was also possible thanks to the Northern Patagonia ILTER Workshop, organized by BB and AA at the 2009 US LTER All Scientist Meeting in Estes Park, Colorado; AA, CBA and AL acknowledge the support of the LTER Network Office, Albuquerque, New Mexico for travel support to this meeting; BB acknowledges the support of NSF-LTER DEB 08-23380. CBA, RR, JA, JRG and JLC acknowledge projects P05-02 (ICM) and PFB-23 (CONICYT). JRG thanks the continued support of FONDECYT with Project #1110228 being the most recent. AL and CL acknowledge CRN II 2047 Inter-American Institute for Research on Global Change, which is financed by US NSF Grant GEO-0452325; the CONAF project 2010/023, financed by the Research Fund for the Native Forest Law and the The Nature Conservancy, MASISA SA and Fundacion FORECOS. Finally, a special thanks to F. Jaksic and V. Vallejos for providing information on sites in Auco, San Carlos de Apoquindo and Antarctica. Special thanks to A. Valenzuela for revision of English and Spanish versions.</t>
  </si>
  <si>
    <t>10.1111/j.1442-9993.2011.02322.x</t>
  </si>
  <si>
    <t>WOS:000306663600001</t>
  </si>
  <si>
    <t>Stanish, LF; Kohler, TJ; Esposito, RMM; Simmons, BL; Nielsen, UN; Wall, DH; Nemergut, DR; McKnight, DM</t>
  </si>
  <si>
    <t>Stanish, Lee F.; Kohler, Tyler J.; Esposito, Rhea M. M.; Simmons, Breana L.; Nielsen, Uffe N.; Wall, Diana H.; Nemergut, Diana R.; McKnight, Diane M.</t>
  </si>
  <si>
    <t>Extreme streams: flow intermittency as a control on diatom communities in meltwater streams in the McMurdo Dry Valleys, Antarctica</t>
  </si>
  <si>
    <t>CANADIAN JOURNAL OF FISHERIES AND AQUATIC SCIENCES</t>
  </si>
  <si>
    <t>TAYLOR VALLEY; HYPORHEIC EXCHANGE; DESICCATION; ECOSYSTEM; WATER; LAKES; BACILLARIOPHYTA; PHOTOSYNTHESIS; PHYTOPLANKTON; DIVERSITY</t>
  </si>
  <si>
    <t>In the McMurdo Dry Valleys of Antarctica, stream biota is limited by the brief availability of liquid water. The benthic microbial mats harbor diatoms that have adapted to hydrologic stresses, including numerous endemic species. We found a strong relationship between diatom community composition and flow intermittency in a data set including seven streams that spanned a gradient in flow intermittency. In particular, two genera represented by numerous endemic species in Dry Valley habitats, Hantzschia and Luticola, had high abundances in moderately and highly intermittent streams, respectively. The Shannon Index of diversity was greatest in streams with intermediate flow intermittency, with lower diversity in more stable streams resulting from lower evenness, and lower diversity in highly intermittent streams resulting from lower richness. These results indicate that multiple metrics of biodiversity may be useful in assessing the response of diatom communities to changing hydrologic regime. We propose that flow intermittency acts as a species filter that increases habitat heterogeneity in Dry Valley streams and may allow endemic species to persist. Future Antarctic warming may alter diatom community composition and habitats that act as refugia for desiccation-tolerant taxa.</t>
  </si>
  <si>
    <t>[Stanish, Lee F.; Kohler, Tyler J.; Nemergut, Diana R.] Univ Colorado, Inst Arctic &amp; Alpine Res, Environm Studies Program, Boulder, CO 80309 USA; [McKnight, Diane M.] Univ Colorado, Inst Arctic &amp; Alpine Res, Dept Civil &amp; Environm Engn, Boulder, CO 80309 USA; [Esposito, Rhea M. M.] Univ Louisiana Lafayette, Dept Biol, Lafayette, LA 70504 USA; [Simmons, Breana L.] E Georgia Coll, Div Nat Sci &amp; Math, Swainsboro, GA 30401 USA; [Nielsen, Uffe N.; Wall, Diana H.] Colorado State Univ, Dept Biol, Ft Collins, CO 80523 USA; [Nielsen, Uffe N.; Wall, Diana H.] Colorado State Univ, Nat Resource Ecol Lab, Ft Collins, CO 80523 USA</t>
  </si>
  <si>
    <t>University of Colorado System; University of Colorado Boulder; University of Colorado System; University of Colorado Boulder; University of Louisiana Lafayette; University System of Georgia; East Georgia State College; Colorado State University; Colorado State University</t>
  </si>
  <si>
    <t>Stanish, LF (corresponding author), Univ Colorado, Inst Arctic &amp; Alpine Res, Environm Studies Program, 1560 30th St,Campus Box 450, Boulder, CO 80309 USA.</t>
  </si>
  <si>
    <t>lee.stanish@colorado.edu</t>
  </si>
  <si>
    <t>Kohler, Tyler J/I-5472-2016; Wall, Diana H/F-5491-2011; Kohler, Tyler Joe/IUO-5352-2023</t>
  </si>
  <si>
    <t>Kohler, Tyler Joe/0000-0001-5137-4844; MCKNIGHT, DIANE/0000-0002-4171-1533; Nielsen, Uffe N/0000-0003-2400-7453</t>
  </si>
  <si>
    <t>MCMLTER [OPP-9211773, OPP-9810219, OPP-0096250]; NSF [0839020]; Directorate For Geosciences; Office of Polar Programs (OPP) [1115245] Funding Source: National Science Foundation; Division Of Ocean Sciences; Directorate For Geosciences [0839020] Funding Source: National Science Foundation</t>
  </si>
  <si>
    <t>MCMLTER; NSF(National Science Foundation (NSF)); Directorate For Geosciences; Office of Polar Programs (OPP)(National Science Foundation (NSF)NSF - Directorate for Geosciences (GEO)); Division Of Ocean Sciences; Directorate For Geosciences(National Science Foundation (NSF)NSF - Directorate for Geosciences (GEO))</t>
  </si>
  <si>
    <t>This analysis was carried out on samples collected by many researchers affiliated with the MCMLTER over the past two decades. Funding was generously provided by the MCMLTER (OPP-9211773, OPP-9810219, OPP-0096250) and NSF Antarctic Organisms and Ecosystems Program Award No. 0839020. Raytheon Polar Services Company and PHI Helicopters provided essential logistic and transportation support during field campaigns.</t>
  </si>
  <si>
    <t>CANADIAN SCIENCE PUBLISHING</t>
  </si>
  <si>
    <t>0706-652X</t>
  </si>
  <si>
    <t>1205-7533</t>
  </si>
  <si>
    <t>CAN J FISH AQUAT SCI</t>
  </si>
  <si>
    <t>Can. J. Fish. Aquat. Sci.</t>
  </si>
  <si>
    <t>10.1139/F2012-022</t>
  </si>
  <si>
    <t>982DU</t>
  </si>
  <si>
    <t>WOS:000307022700016</t>
  </si>
  <si>
    <t>Huang, CY; Yen, Y; Zhao, QH; Lin, CT</t>
  </si>
  <si>
    <t>Huang Chi-Yue; Yen Yi; Zhao QuanHong; Lin Chiou-Ting</t>
  </si>
  <si>
    <t>Cenozoic stratigraphy of Taiwan: Window into rifting, stratigraphy and paleoceanography of South China Sea</t>
  </si>
  <si>
    <t>CHINESE SCIENCE BULLETIN</t>
  </si>
  <si>
    <t>Taiwan; Cenozoic stratigraphy; South China Sea; geological records; ODP Site 1148</t>
  </si>
  <si>
    <t>ARC-CONTINENT COLLISION; LICHI MELANGE; EVOLUTION; TECTONICS; TERRANE</t>
  </si>
  <si>
    <t>Shallow marine sequences of the northern South China Sea (SCS) are uplifted and exposed by plate convergence in the Taiwan mountain belt. These deposits provide detailed geological information about the rifting event, stratigraphy, sedimentology, paleoclimate and paleoceanography of the shallow SCS to compare with what are recorded in the ODP 1148 deep-sea core. Seismic surveys and marine micropalentological studies show that Eocene sequences in the offshore Taiwan Strait and onland Taiwan mountain belt are all deposited in rifting basins and are covered unconformably by the Late Oligocene-Neogene post-rifting strata. Between syn-rifting and post-rifting sequences, there is a regional break-up unconformity throughout the island. Early Oligocene and Late Eocene strata are missing along the break-up unconformity equivalent to the T-7 unconformity in the Pearl River Mouth Basin off south China. This may suggest that the SCS oceanic crust could have initiated between 33 and 39 Ma. Neither obvious stratigraphic gap nor slumping features are found in the Oligocene-Miocene transition interval of Taiwan. This observation highly contrasts with what has been documented from the ODP 1148 deep-sea core. This suggests that the stratigraphic gap and slumping features could only be recorded in the SCS deep sea region, but not in the shallow shelf near Taiwan. Compared to the Middle Miocene paleoceanographic re-organization events in the SCS deep sea, the geological history of the Taiwan shallow sequence shows changes of in sedimentation and faunal composition. Due to the Antarctic glacial expansion at similar to 14 Ma, Middle to late Miocene strata of the Western Foothills show progressive regression sedimentations associated with a decrease of benthic foraminiferal abundance and a sharp faunal turnover event. Many Early-Middle Miocene endemic benthic foraminifers were extinct in 14-13 Ma and new benthic foraminifers of the Kuroshio Current fauna appeared from 10.2 Ma, comparable with new occurrence of Modern benthic foraminifers at 9 Ma in the Java Sea area. This reveals that the Western Boundary Kuroshio Current in the North Pacific could initiate from 10-9 Ma due to closures of the Indo-Pacific seaways by convergent tectonics between the Australian Continent and the Indonesian Arc in 12-8 Ma. Subduction of the SCS oceanic lithosphere since the Middle Miocene resulted in formation of the Hengchun Ridge accretionary prism and the North Luzon Arc. Occurrence of these two bathymetric highs (-2400 m) since the Middle Miocene and closures of the inter-arc passages in the North Luzon arc in the last 3.5 Ma would control the water exchanges between the West Pacific and the deep SCS. Accordingly, the tectonic evolution in the Central Range-Hengchun Peninsula accretionary prism and the arc-forearc Coastal Range not only control directly the route for water exchanges between the West Pacific and the SCS, but also indirectly shows a great influence on the geochemistry of deep SCS waters. The latter is best shown by much negative carbon isotope values of benthic foraminifers in the ODP 1148 deep-sea core than the West Pacific records in the last 14 Ma.</t>
  </si>
  <si>
    <t>[Huang Chi-Yue; Yen Yi; Lin Chiou-Ting] Chinese Acad Sci, Guangzhou Inst Geochem, Key Lab Marginal Sea Geol, Guangzhou 510640, Guangdong, Peoples R China; [Zhao QuanHong] Tongji Univ, Sch Ocean &amp; Earth Sci, State Key Lab Marine Geol, Shanghai 200092, Peoples R China</t>
  </si>
  <si>
    <t>Chinese Academy of Sciences; Guangzhou Institute of Geochemistry, CAS; Tongji University</t>
  </si>
  <si>
    <t>Huang, CY (corresponding author), Chinese Acad Sci, Guangzhou Inst Geochem, Key Lab Marginal Sea Geol, Guangzhou 510640, Guangdong, Peoples R China.</t>
  </si>
  <si>
    <t>Huangcy@mail.ncku.edu.tw</t>
  </si>
  <si>
    <t>National Natural Science Foundation of China [91128211, 41176041]; Chinese Academy of Sciences [KZCX2-EW-101]</t>
  </si>
  <si>
    <t>National Natural Science Foundation of China(National Natural Science Foundation of China (NSFC)); Chinese Academy of Sciences(Chinese Academy of Sciences)</t>
  </si>
  <si>
    <t>The authors thank Yao B C and Huang Y Y of the Guangzhou Marine Geological Survey, and Wang P, Jian Z, Tian J and Wu G X of the Tongji University, for their constrictive discussions on the stratigraphy of the Pearl River Mouth Basin and paleoceanography of the South China Sea. This work was supported by the National Natural Science Foundation of China (91128211 and 41176041) and the Knowledge Innovation Program of the Chinese Academy of Sciences (KZCX2-EW-101).</t>
  </si>
  <si>
    <t>1001-6538</t>
  </si>
  <si>
    <t>1861-9541</t>
  </si>
  <si>
    <t>CHINESE SCI BULL</t>
  </si>
  <si>
    <t>Chin. Sci. Bull.</t>
  </si>
  <si>
    <t>10.1007/s11434-012-5349-y</t>
  </si>
  <si>
    <t>988UT</t>
  </si>
  <si>
    <t>WOS:000307516900004</t>
  </si>
  <si>
    <t>Laparie, M; Bical, R; Larvor, V; Vernon, P; Frenot, Y; Renault, D</t>
  </si>
  <si>
    <t>Laparie, M.; Bical, R.; Larvor, V.; Vernon, P.; Frenot, Y.; Renault, D.</t>
  </si>
  <si>
    <t>Habitat phenotyping of two sub-Antarctic flies by metabolic fingerprinting: Evidence for a species outside its home?</t>
  </si>
  <si>
    <t>COMPARATIVE BIOCHEMISTRY AND PHYSIOLOGY A-MOLECULAR &amp; INTEGRATIVE PHYSIOLOGY</t>
  </si>
  <si>
    <t>Compatible solute; Global changes; Insect; Kerguelen Islands; Osmoregulation; Range expansion; Salinity; Stress</t>
  </si>
  <si>
    <t>FREE AMINO-ACIDS; PROLINE; TOLERANCE; STRESS; OSMOLYTES; ISLANDS; DIPTERA; GREEN; WATER</t>
  </si>
  <si>
    <t>Metabolic fingerprinting can elucidate rearrangements of metabolic networks in organisms exposed to various environmental conditions. Maintenance of organismal performance occurs by alterations in metabolic fluxes and pathways, resulting in habitat-specific metabolic signatures. Several insects of sub-Antarctic Islands, including the wingless flies Anatalanta aptera and Calycopteryx moseleyi, are exposed to saline organic matter accumulated along littoral margins. However, C. moseleyi has long been considered restricted to a habitat of lower salinity, the Kerguelen cabbage. High C. moseleyi densities identified in saline decaying seaweeds are intriguing, and may involve osmoregulatory adjustments including accumulation of osmoprotectants. In the present work, we examined quantitative metabotypes (metabolic phenotypes) among wild C. moseleyi individuals from seaweeds versus non-saline Kerguelen cabbages. They were compared to metabotypes from wild A. aptera, a common fly on seaweed. Statistical procedures designed to magnify between-class differences failed to clearly separate C. moseleyi metabotypes from cabbage and seaweed, despite contrasted morphotypes, diets, and salinities. A. aptera exhibited higher glycerol, inositol, trehalose, and other osmoprotectants concentrations that may enhance its performance under saline environments. Seaweed may represent a secondary niche in C moseleyi, promoted by the marked reduction in Kerguelen cabbage frequency subsequent to climate change, and herbivorous pressures caused by rabbit invasion. (C) 2012 Elsevier Inc. All rights reserved.</t>
  </si>
  <si>
    <t>[Laparie, M.; Vernon, P.; Frenot, Y.] Univ Rennes 1, UMR CNRS Ecobio 6553, Stn Biol Paimpont, F-35380 Paimpont, France; [Bical, R.; Larvor, V.; Renault, D.] Univ Rennes 1, UMR CNRS Ecobio 6553, F-35042 Rennes, France; [Frenot, Y.] Inst Polaire Francais Paul Emile Victor, F-29280 Plouzane, France</t>
  </si>
  <si>
    <t>Universite de Rennes; Centre National de la Recherche Scientifique (CNRS); Universite de Rennes</t>
  </si>
  <si>
    <t>Laparie, M (corresponding author), Univ Rennes 1, UMR CNRS Ecobio 6553, Stn Biol Paimpont, F-35380 Paimpont, France.</t>
  </si>
  <si>
    <t>mathieu.laparie@gmail.com; raphael.bical@gmail.com; vanessa.larvor@univ-rennes1.fr; philippe.vernon@univ-rennes1.fr; yves.frenot@ipev.fr; david.renault@univ-rennes1.fr</t>
  </si>
  <si>
    <t>Vernon, Philippe/A-9019-2010</t>
  </si>
  <si>
    <t>Vernon, Philippe/0000-0002-6237-7511; RENAULT, David/0000-0003-3644-1759; Frenot, Yves/0000-0003-2666-1272</t>
  </si>
  <si>
    <t>Institut Polaire Francais Paul-Emile Victor [IPEV 136]; CNRS (Zone Atelier de Recherches sur l'Environnement Antarctique et Subantarctique); Agence Nationale de la Recherche (EVINCE) [ANR-07-VULN-004]</t>
  </si>
  <si>
    <t>Institut Polaire Francais Paul-Emile Victor; CNRS (Zone Atelier de Recherches sur l'Environnement Antarctique et Subantarctique)(Centre National de la Recherche Scientifique (CNRS)); Agence Nationale de la Recherche (EVINCE)(Agence Nationale de la Recherche (ANR))</t>
  </si>
  <si>
    <t>This research was supported by the Institut Polaire Francais Paul-Emile Victor (IPEV 136), the CNRS (Zone Atelier de Recherches sur l'Environnement Antarctique et Subantarctique) and the Agence Nationale de la Recherche (ANR-07-VULN-004, EVINCE).</t>
  </si>
  <si>
    <t>1095-6433</t>
  </si>
  <si>
    <t>1531-4332</t>
  </si>
  <si>
    <t>COMP BIOCHEM PHYS A</t>
  </si>
  <si>
    <t>Comp. Biochem. Physiol. A-Mol. Integr. Physiol.</t>
  </si>
  <si>
    <t>10.1016/j.cbpa.2012.04.022</t>
  </si>
  <si>
    <t>Biochemistry &amp; Molecular Biology; Physiology; Zoology</t>
  </si>
  <si>
    <t>964WA</t>
  </si>
  <si>
    <t>WOS:000305726200017</t>
  </si>
  <si>
    <t>Molina-Montenegro, MA; Carrasco-Urra, F; Rodrigo, C; Convey, P; Valladares, F; Gianoli, E</t>
  </si>
  <si>
    <t>Molina-Montenegro, Marco A.; Carrasco-Urra, Fernando; Rodrigo, Cristian; Convey, Peter; Valladares, Fernando; Gianoli, Ernesto</t>
  </si>
  <si>
    <t>Occurrence of the Non-Native Annual Bluegrass on the Antarctic Mainland and Its Negative Effects on Native Plants</t>
  </si>
  <si>
    <t>Colobanthus quitensis; Deschampsia antarctica; hairgrass; non-native species; pearlwort; species competition; tourism; Poa annua; Colobanthus quitensis; competencia de especies; Deschampsia antarctica; especie no nativa; Poa annua; turismo</t>
  </si>
  <si>
    <t>POA-ANNUA; ARGENTINE ISLANDS; VASCULAR PLANTS; CLIMATE-CHANGE; SOUTH GEORGIA; PENINSULA; IMPACTS; CONSERVATION; TERRESTRIAL; ENVIRONMENT</t>
  </si>
  <si>
    <t>Few non-native species have colonized Antarctica, although increased human activity and accelerated climate change may increase their number, distributional range, and effects on native species on the continent. We searched 13 sites on the maritime Antarctic islands and 12 sites on the Antarctic Peninsula for annual bluegrass (Poa annua), a non-native flowering plant. We also evaluated the possible effects of competition between P. annua and 2 vascular plants native to Antarctica, Antarctic pearlwort (Colobanthus quitensis) and Antarctic hairgrass (Deschampsia antarctica). We grew the native species in experimental plots with and without annual bluegrass under conditions that mimicked the Antarctic environment. After 5 months, we measured photosynthetic performance on the basis of chlorophyll fluorescence and determined total biomass of both native species. We found individual specimens of annual bluegrass at 3 different sites on the Antarctic Peninsula during the 20072008 and 20092010 austral summers. The presence of bluegrass was associated with a statistically significant reduction in biomass of pearlwort and hairgrass, whereas the decrease in biomass of bluegrass was not statistically significant. Similarly, the presence of bluegrass significantly reduced the photosynthetic performance of the 2 native species. Sites where bluegrass occurred were close to major maritime routes of scientific expeditions and of tourist cruises to Antarctica. We believe that if current levels of human activity and regional warming persist, more non-native plant species are likely to colonize the Antarctic and may affect native species.</t>
  </si>
  <si>
    <t>[Molina-Montenegro, Marco A.] Univ Catolica Norte, CEAZA, Fac Ciencias Mar, Coquimbo, Chile; [Carrasco-Urra, Fernando] Univ Concepcion, Dept Bot, Concepcion, Chile; [Rodrigo, Cristian] Inst Antartico Chileno INACH, Dept Cient, Punta Arenas, Chile; [Convey, Peter] NERC, British Antarctic Survey, Cambridge, England; [Valladares, Fernando] MNCN CSIC, Museo Nacl Ciencias Nat, Madrid, Spain; [Valladares, Fernando] Univ Rey Juan Carlos, Dept Biol &amp; Geol, Mostoles, Spain; [Gianoli, Ernesto] Univ La Serena, Dept Biol, La Serena, Chile; [Gianoli, Ernesto] Pontificia Univ Catolica Chile, CASEB, Santiago, Chile</t>
  </si>
  <si>
    <t>Universidad Catolica del Norte; Universidad de Concepcion; UK Research &amp; Innovation (UKRI); Natural Environment Research Council (NERC); NERC British Antarctic Survey; Consejo Superior de Investigaciones Cientificas (CSIC); CSIC - Museo Nacional de Ciencias Naturales (MNCN); Universidad Rey Juan Carlos; Universidad de La Serena; Pontificia Universidad Catolica de Chile</t>
  </si>
  <si>
    <t>Molina-Montenegro, MA (corresponding author), Univ Catolica Norte, CEAZA, Fac Ciencias Mar, Larrondo 1281, Coquimbo, Chile.</t>
  </si>
  <si>
    <t>marco.molina@ceaza.cl</t>
  </si>
  <si>
    <t>Convey, Peter/AAV-5728-2020; Valladares, Fernando/K-9406-2014; Gianoli, Ernesto/A-7984-2015</t>
  </si>
  <si>
    <t>Convey, Peter/0000-0001-8497-9903; Gianoli, Ernesto/0000-0003-4246-8640; Rodrigo, Cristian/0000-0003-3523-9698; Molina-Montenegro, Marco/0000-0001-6801-8942</t>
  </si>
  <si>
    <t>Chilean Antarctic Institute [T-14-08]; Comision Nacional de Investigacion Cientifica y Tecnologia [MEC-80090005]; Scientific Committee on Antarctic Research; NERC [bas0100025] Funding Source: UKRI; Natural Environment Research Council [bas0100025] Funding Source: researchfish</t>
  </si>
  <si>
    <t>Chilean Antarctic Institute; Comision Nacional de Investigacion Cientifica y Tecnologia; Scientific Committee on Antarctic Research; NERC(UK Research &amp; Innovation (UKRI)Natural Environment Research Council (NERC)); Natural Environment Research Council(UK Research &amp; Innovation (UKRI)Natural Environment Research Council (NERC))</t>
  </si>
  <si>
    <t>We are grateful to R.M. Callaway, B.R. Broitman, K.J. Chwedorzewska, M.A. Nunez, and D.M. Richardson for helpful and constructive comments on an earlier version of the manuscript. We also thank Y. Frenot and S.L. Chown for providing pivotal references. We thank the Chilean and Argentinean Navy for providing information about the routes of transport and tracks of cruise ships. We acknowledge the financial support of the Chilean Antarctic Institute (project T-14-08) and especially thank E. Flores for logistic support during the Antarctic expeditions. The final stage of manuscript writing was supported by the Comision Nacional de Investigacion Cientifica y Tecnologia (MEC-80090005 project). This is a contribution to the Evolution and Biodiversity in Antarctica research program sponsored by the Scientific Committee on Antarctic Research. Marco A. Molina-Montenegro dedicates this article to Felissa (rest in peace).</t>
  </si>
  <si>
    <t>10.1111/j.1523-1739.2012.01865.x</t>
  </si>
  <si>
    <t>976CY</t>
  </si>
  <si>
    <t>WOS:000306559300016</t>
  </si>
  <si>
    <t>Foster, GL; Lear, CH; Rae, JWB</t>
  </si>
  <si>
    <t>Foster, Gavin L.; Lear, Caroline H.; Rae, James W. B.</t>
  </si>
  <si>
    <t>The evolution of pCO2, ice volume and climate during the middle Miocene</t>
  </si>
  <si>
    <t>boron isotopes; middle Miocene; pCO(2); climate change</t>
  </si>
  <si>
    <t>BORON ISOTOPIC COMPOSITION; FORAMINIFERAL MG/CA-PALEOTHERMOMETRY; PLANKTONIC-FORAMINIFERA; NORTH-ATLANTIC; SEA TEMPERATURES; GLACIAL HISTORY; ATMOSPHERIC CO2; BORIC-ACID; PH PROXY; ROSS SEA</t>
  </si>
  <si>
    <t>The middle Miocene Climatic Optimum (17-15 Ma; MCO) is a period of global warmth and relatively high CO2 and is thought to be associated with a significant retreat of the Antarctic Ice Sheet (AIS). We present here a new planktic foraminiferal delta B-11 record from 16.6 to 11.8 Ma from two deep ocean sites currently in equilibrium with the atmosphere with respect to CO2. These new data demonstrate that the evolution of global climate during the middle Miocene (as reflected by changes in the cyrosphere) was well correlated to variations in the concentration of atmospheric CO2. What is more, within our sampling resolution (similar to 1 sample per 300 kyr) there is no evidence of hysteresis in the response of ice volume to CO2 forcing during the middle Miocene, contrary to what is understood about the Antarctic Ice Sheet from ice sheet modelling studies. In agreement with previous data, we show that absolute levels of CO2 during the MCO were relatively modest (350-400 ppm) and levels either side of the MCO are similar or lower than the pre-industrial (200-260 ppm). These new data imply the presence of either a very dynamic AIS at relatively low CO2 during the middle Miocene or the advance and retreat of significant northern hemisphere ice. Recent drilling on the Antarctic margin and shore based studies indicate significant retreat and advance beyond the modern limits of the AIS did occur during the middle Miocene, but the complete loss of the AIS was unlikely. Consequently, it seems that ice volume and climate variations during the middle Miocene probably involved a more dynamic AIS than the modern but also some component of land-based ice in the northern hemisphere. (C) 2012 Elsevier B.V. All rights reserved.</t>
  </si>
  <si>
    <t>[Foster, Gavin L.] Univ Southampton, Natl Oceanog Ctr Southampton, Southampton SO14 3ZH, Hants, England; [Lear, Caroline H.] Cardiff Univ, Sch Earth &amp; Ocean Sci, Cardiff CF10 3AT, S Glam, Wales; [Rae, James W. B.] Univ Bristol, Bristol Isotope Grp, Dept Earth Sci, Bristol BS8 1RJ, Avon, England</t>
  </si>
  <si>
    <t>University of Southampton; NERC National Oceanography Centre; Cardiff University; University of Bristol</t>
  </si>
  <si>
    <t>Foster, GL (corresponding author), Univ Southampton, Natl Oceanog Ctr Southampton, Waterfront Campus, Southampton SO14 3ZH, Hants, England.</t>
  </si>
  <si>
    <t>Gavin.Foster@noc.soton.ac.uk</t>
  </si>
  <si>
    <t>Foster, Gavin/CAF-4654-2022; Lear, Caroline H/D-2582-2009; Foster, Gavin/W-5968-2019; Rae, James/R-3812-2017</t>
  </si>
  <si>
    <t>Foster, Gavin/0000-0003-3688-9668; Rae, James/0000-0003-3904-2526; Lear, Caroline/0000-0002-7533-4430</t>
  </si>
  <si>
    <t>NERC [NE/D00876X/2, NE/I006176/1, NE/D008654/1]; Natural Environment Research Council [NE/D00876X/2, NE/D008654/1, NE/I006176/1] Funding Source: researchfish; NERC [NE/I006176/1, NE/D00876X/2, NE/D008654/1]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</si>
  <si>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</si>
  <si>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NERC grants (NE/D00876X/2, NE/I006176/1 and NE/D008654/1) to G.L.F. and C.H.L. and a NERC studentship to J.W.B.R. We thank the (I)ODP for supplying samples that were essential to this study. Kat Allen and two anonymous reviewers are thanked for their comments that greatly improved this manuscript. Chris Coath and Huw Boulton are acknowledged for their assistance in the laboratory and Paul Wilson, Martin Palmer, Damon Teagle and Eelco Rohling are thanked for their comments on an earlier draft of this manuscript. Are Olsen is also acknowledged for sharing data on the preindustrial delta13CDIC of the North Atlantic and Amelia Shevenell is thanked for sharing data from ODP 1171.</t>
  </si>
  <si>
    <t>10.1016/j.epsl.2012.06.007</t>
  </si>
  <si>
    <t>WOS:000308624800023</t>
  </si>
  <si>
    <t>Poore, AGB; Campbell, AH; Coleman, RA; Edgar, GJ; Jormalainen, V; Reynolds, PL; Sotka, EE; Stachowicz, JJ; Taylor, RB; Vanderklift, MA; Duffy, JE</t>
  </si>
  <si>
    <t>Poore, Alistair G. B.; Campbell, Alexandra H.; Coleman, Ross A.; Edgar, Graham J.; Jormalainen, Veijo; Reynolds, Pamela L.; Sotka, Erik E.; Stachowicz, John J.; Taylor, Richard B.; Vanderklift, Mathew A.; Duffy, J. Emmett</t>
  </si>
  <si>
    <t>Global patterns in the impact of marine herbivores on benthic primary producers</t>
  </si>
  <si>
    <t>ECOLOGY LETTERS</t>
  </si>
  <si>
    <t>Coral reef; crustacean; grazing; herbivory; latitudinal gradient; macroalgae; marine; meta-analysis; mollusc; plant-animal interaction; primary production; rocky reef; sea urchin; seagrass</t>
  </si>
  <si>
    <t>FUNCTIONAL-GROUP APPROACH; INTERACTION STRENGTH; COMMUNITY STRUCTURE; TROPICAL FORESTS; SPECIES RICHNESS; CORAL-REEF; TEMPERATE; AVAILABILITY; BIODIVERSITY; BIOGEOGRAPHY</t>
  </si>
  <si>
    <t>Despite the importance of consumers in structuring communities, and the widespread assumption that consumption is strongest at low latitudes, empirical tests for global scale patterns in the magnitude of consumer impacts are limited. In marine systems, the long tradition of experimentally excluding herbivores in their natural environments allows consumer impacts to be quantified on global scales using consistent methodology. We present a quantitative synthesis of 613 marine herbivore exclusion experiments to test the influence of consumer traits, producer traits and the environment on the strength of herbivore impacts on benthic producers. Across the globe, marine herbivores profoundly reduced producer abundance (by 68% on average), with strongest effects in rocky intertidal habitats and the weakest effects on habitats dominated by vascular plants. Unexpectedly, we found little or no influence of latitude or mean annual water temperature. Instead, herbivore impacts differed most consistently among producer taxonomic and morphological groups. Our results show that grazing impacts on plant abundance are better predicted by producer traits than by large-scale variation in habitat or mean temperature, and that there is a previously unrecognised degree of phylogenetic conservatism in producer susceptibility to consumption.</t>
  </si>
  <si>
    <t>[Poore, Alistair G. B.; Campbell, Alexandra H.] Univ New S Wales, Evolut &amp; Ecol Res Ctr, Sch Biol Earth &amp; Environm Sci, Sydney, NSW 2052, Australia; [Campbell, Alexandra H.] Univ New S Wales, Ctr Marine Bioinnovat, Mosman, NSW 2088, Australia; [Campbell, Alexandra H.] Sydney Inst Marine Sci, Mosman, NSW 2088, Australia; [Coleman, Ross A.] Univ Sydney, Sch Biol Sci, Ctr Res Ecol Impacts Coastal Cities, Marine Ecol Labs A11, Sydney, NSW 2006, Australia; [Edgar, Graham J.] Univ Tasmania, Inst Marine &amp; Antarctic Studies, Hobart, Tas 7001, Australia; [Jormalainen, Veijo] Univ Turku, Dept Biol, FI-20014 Turku, Finland; [Reynolds, Pamela L.; Duffy, J. Emmett] Coll William &amp; Mary, Virginia Inst Marine Sci, Gloucester Point, VA 23062 USA; [Sotka, Erik E.] Coll Charleston, Grice Marine Lab, Charleston, SC 29412 USA; [Stachowicz, John J.] Univ Calif Davis, Dept Ecol &amp; Evolut, Davis, CA 95616 USA; [Stachowicz, John J.] Univ Calif Davis, Ctr Populat Biol, Davis, CA 95616 USA; [Taylor, Richard B.] Univ Auckland, Leigh Marine Lab, Warkworth 0941, New Zealand; [Vanderklift, Mathew A.] CSIRO Wealth Oceans Flagship, Wembley, WA 6913, Australia</t>
  </si>
  <si>
    <t>University of New South Wales Sydney; University of New South Wales Sydney; Sydney Institute of Marine Science; University of Sydney; University of Tasmania; University of Turku; William &amp; Mary; Virginia Institute of Marine Science; College of Charleston; University of California System; University of California Davis; University of California System; University of California Davis; University of Auckland; Commonwealth Scientific &amp; Industrial Research Organisation (CSIRO)</t>
  </si>
  <si>
    <t>Poore, AGB (corresponding author), Univ New S Wales, Evolut &amp; Ecol Res Ctr, Sch Biol Earth &amp; Environm Sci, Sydney, NSW 2052, Australia.</t>
  </si>
  <si>
    <t>a.poore@unsw.edu.au</t>
  </si>
  <si>
    <t>Taylor, Richard B/D-2332-2009; Edgar, Graham/C-8341-2013; Poore, Alistair/C-2934-2008; Edgar, Graham/AAY-3797-2020; Jormalainen, Veijo/B-2073-2008; Vanderklift, Mathew A/B-1003-2008; Duffy, J. Emmett/ABF-9200-2020; Coleman, Ross/B-1314-2008</t>
  </si>
  <si>
    <t>Edgar, Graham/0000-0003-0833-9001; Poore, Alistair/0000-0002-3560-3659; Edgar, Graham/0000-0003-0833-9001; Jormalainen, Veijo/0000-0001-6346-2585; Duffy, J. Emmett/0000-0001-8595-6391; Coleman, Ross/0000-0003-4136-5914; Reynolds, Pamela/0000-0002-0177-3537; Campbell, Alexandra/0000-0002-2322-2840</t>
  </si>
  <si>
    <t>ARC-NZ Research Network for Vegetation Function; Evolution &amp; Ecology Research Centre (University of New South Wales); Directorate For Geosciences; Division Of Ocean Sciences [1031061] Funding Source: National Science Foundation; Division Of Ocean Sciences; Directorate For Geosciences [0850707] Funding Source: National Science Foundation</t>
  </si>
  <si>
    <t>ARC-NZ Research Network for Vegetation Function(Australian Research Council); Evolution &amp; Ecology Research Centre (University of New South Wales); Directorate For Geosciences; Division Of Ocean Sciences(National Science Foundation (NSF)NSF - Directorate for Geosciences (GEO)); Division Of Ocean Sciences; Directorate For Geosciences(National Science Foundation (NSF)NSF - Directorate for Geosciences (GEO))</t>
  </si>
  <si>
    <t>This study arose from a workshop funded by ARC-NZ Research Network for Vegetation Function. We thank M. Westoby, A. Nicotra, S. Newton and the Evolution &amp; Ecology Research Centre (University of New South Wales) for funding and support of the workshop. We also thank H. Hillebrand, A. Moles and three anonymous referees for constructive comments that improved this manuscript, G. Clark, L. Hedge, G. Quinn and D. Warton for advice on statistical analyses, J. Lefcheck for assistance with data extraction, the British Atmospheric Data Centre for access to sea surface temperature data and A. Sen Gupta for advice on ocean temperature data sets.</t>
  </si>
  <si>
    <t>1461-023X</t>
  </si>
  <si>
    <t>1461-0248</t>
  </si>
  <si>
    <t>ECOL LETT</t>
  </si>
  <si>
    <t>Ecol. Lett.</t>
  </si>
  <si>
    <t>10.1111/j.1461-0248.2012.01804.x</t>
  </si>
  <si>
    <t>967YB</t>
  </si>
  <si>
    <t>WOS:000305943000017</t>
  </si>
  <si>
    <t>Newsham, KK</t>
  </si>
  <si>
    <t>Newsham, K. K.</t>
  </si>
  <si>
    <t>Fungi in extreme environments</t>
  </si>
  <si>
    <t>FUNGAL ECOLOGY</t>
  </si>
  <si>
    <t>British Antarctic Survey, NERC, Cambridge, England</t>
  </si>
  <si>
    <t>Newsham, KK (corresponding author), British Antarctic Survey, NERC, Cambridge, England.</t>
  </si>
  <si>
    <t>kne@bas.ac.uk</t>
  </si>
  <si>
    <t>1754-5048</t>
  </si>
  <si>
    <t>1878-0083</t>
  </si>
  <si>
    <t>FUNGAL ECOL</t>
  </si>
  <si>
    <t>Fungal Ecol.</t>
  </si>
  <si>
    <t>10.1016/j.funeco.2012.04.003</t>
  </si>
  <si>
    <t>Ecology; Mycology</t>
  </si>
  <si>
    <t>Environmental Sciences &amp; Ecology; Mycology</t>
  </si>
  <si>
    <t>970UM</t>
  </si>
  <si>
    <t>WOS:000306157800001</t>
  </si>
  <si>
    <t>Bridge, PD; Spooner, BM</t>
  </si>
  <si>
    <t>Bridge, P. D.; Spooner, B. M.</t>
  </si>
  <si>
    <t>Non-lichenized Antarctic fungi: transient visitors or members of a cryptic ecosystem?</t>
  </si>
  <si>
    <t>9th International Mycological Congress</t>
  </si>
  <si>
    <t>AUG, 2010</t>
  </si>
  <si>
    <t>Edinburgh, SCOTLAND</t>
  </si>
  <si>
    <t>Diversity; Lecanicillium; Population; Rhizoscyphus; Sub-Antarctic</t>
  </si>
  <si>
    <t>DESCHAMPSIA-ANTARCTICA; COLOBANTHUS-QUITENSIS; LEAFY LIVERWORT; ENTOMOPHTHORALEAN FUNGUS; MYCORRHIZAL FUNGUS; VASCULAR PLANTS; VESTFOLD HILLS; GROWTH-RATES; SOIL FUNGI; DIVERSITY</t>
  </si>
  <si>
    <t>To date over 1 000 non-lichenized fungal species have been recorded by collection or isolation from Antarctica, and additional taxa are now being identified by molecular studies. The number and variety of species recorded so far suggest that the fungi may be the most diverse biota in the Antarctic, and the additional taxa identified by molecular surveys suggest that the true diversity may be far greater than is currently estimated. Fungi occupy many different ecological niches in the Antarctic, and their significance in these niches is only poorly understood. The majority of species described from the region have been identified as members of broadly cosmopolitan groups, but there is some evidence for both endemic strains and populations. This review brings together the current broad systematic and ecological findings for the non-lichenized Antarctic fungi. (C) 2012 Elsevier Ltd and The British Mycological Society.</t>
  </si>
  <si>
    <t>[Bridge, P. D.] CABI Europe UK, Egham TW20 9TY, Surrey, England; [Spooner, B. M.] Royal Bot Gardens, Mycol Sect, Richmond TW9 3AB, Surrey, England</t>
  </si>
  <si>
    <t>Royal Botanic Gardens, Kew</t>
  </si>
  <si>
    <t>Bridge, PD (corresponding author), CABI Europe UK, Bakeham Lane, Egham TW20 9TY, Surrey, England.</t>
  </si>
  <si>
    <t>P.Bridge@cabi.org</t>
  </si>
  <si>
    <t>10.1016/j.funeco.2012.01.007</t>
  </si>
  <si>
    <t>WOS:000306157800002</t>
  </si>
  <si>
    <t>Tojo, M; Newsham, KK</t>
  </si>
  <si>
    <t>Tojo, Motoaki; Newsham, Kevin K.</t>
  </si>
  <si>
    <t>Snow moulds in polar environments</t>
  </si>
  <si>
    <t>Antarctic; Arctic; Ascomycetes; Basidiomycetes; Bipolar distribution; Oomycetes; Opportunistic parasites; Psychrophiles; Psychrotrophs; Pythium</t>
  </si>
  <si>
    <t>ULTIMUM VAR. ULTIMUM; WINTER-WHEAT; TYPHULA-ISHIKARIENSIS; MICRODOCHIUM-NIVALE; CLAVARIOID FUNGI; TEMPERATURE; PYTHIUM; SPITSBERGEN; NORWAY; GROWTH</t>
  </si>
  <si>
    <t>Snow moulds are fungi and fungal-like microbes that occur frequently as pathogens of moss and vascular plant species in the Arctic and Antarctic, chiefly in maritime areas with permanent snow cover for several months of each year. Here, we review the environments inhabited by polar snow moulds, their distribution and the macroscopic features of infections, such as the sclerotia that form on the leaves of higher plants, or the more frequently encountered concentric rings found in moss stands. The microscopic features of infections are described, as are the taxa of snow moulds found in polar habitats, such as the ascomycetes Thyronectria antarctica var. hyperantarctica and Sclerotinia borealis, the basidiomycete Typhula ishikariensis and the oomycete Pythium. Recent research, also reviewed here, indicates that a heterothallic species of Pythium apparently has a bipolar distribution. The adaptations of snow moulds to polar environments, such as their growth at low temperatures, are covered, as are avenues for future research on these microbes. (C) 2012 Elsevier Ltd and The British Mycological Society. All rights reserved.</t>
  </si>
  <si>
    <t>[Tojo, Motoaki] Osaka Prefecture Univ, Grad Sch Life &amp; Environm Sci, Sakai, Osaka 5998531, Japan; [Newsham, Kevin K.] British Antarctic Survey, NERC, Cambridge CB3 0ET, England</t>
  </si>
  <si>
    <t>Osaka Metropolitan University; UK Research &amp; Innovation (UKRI); Natural Environment Research Council (NERC); NERC British Antarctic Survey</t>
  </si>
  <si>
    <t>Tojo, M (corresponding author), Osaka Prefecture Univ, Grad Sch Life &amp; Environm Sci, Sakai, Osaka 5998531, Japan.</t>
  </si>
  <si>
    <t>tojo@plant.osakafu-u.ac.jp</t>
  </si>
  <si>
    <t>Natural Environment Research Council [bas0100025] Funding Source: researchfish; Grants-in-Aid for Scientific Research [23247012, 23510032] Funding Source: KAKEN; NERC [bas0100025] Funding Source: UKRI</t>
  </si>
  <si>
    <t>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 NERC(UK Research &amp; Innovation (UKRI)Natural Environment Research Council (NERC))</t>
  </si>
  <si>
    <t>10.1016/j.funeco.2012.01.003</t>
  </si>
  <si>
    <t>WOS:000306157800003</t>
  </si>
  <si>
    <t>Dennis, PG; Rushton, SP; Newsham, KK; Lauducina, VA; Ord, VJ; Daniell, TJ; O'Donnell, AG; Hopkins, DW</t>
  </si>
  <si>
    <t>Dennis, Paul G.; Rushton, Steven P.; Newsham, Kevin K.; Lauducina, Vito A.; Ord, Victoria J.; Daniell, Timothy J.; O'Donnell, Anthony G.; Hopkins, David W.</t>
  </si>
  <si>
    <t>Soil fungal community composition does not alter along a latitudinal gradient through the maritime and sub-Antarctic</t>
  </si>
  <si>
    <t>Antarctica; C:N ratio; Extreme environments; Latitudinal gradient; pH; Soil fungal community composition</t>
  </si>
  <si>
    <t>BACTERIAL COMMUNITY; PH; DIVERSITY; GROWTH; SCALE</t>
  </si>
  <si>
    <t>We investigated the relationships between fungal community composition, latitude and a range of physicochemical parameters in 58 soils sampled from a 2370 km latitudinal gradient between South Georgia (54 S, 38 W) in the sub-Antarctic and Mars Oasis (72 S, 68 W) on Alexander Island in the southern maritime Antarctic. Our study, which is based on approximately ten times the number of samples used in previous similar studies, indicates that latitude and its associated environmental parameters are not related to fungal community composition. Significant changes in the composition of soil fungal communities were observed in relation to gradients of the ratio of total organic carbon to nitrogen, and, to a lesser extent, soil pH. (C) 2011 Elsevier Ltd and The British Mycological Society.</t>
  </si>
  <si>
    <t>[Hopkins, David W.] Heriot Watt Univ, Sch Life Sci, Edinburgh EH14 4AS, Midlothian, Scotland; [Dennis, Paul G.] Univ Stirling, Sch Biol &amp; Environm Sci, Stirling FK9 4LA, Scotland; [Rushton, Steven P.; Ord, Victoria J.] Newcastle Univ, Sch Biol, Newcastle Upon Tyne NE1 7RU, Tyne &amp; Wear, England; [Newsham, Kevin K.] British Antarctic Survey, Ecosyst Programme, Cambridge CB3 0ET, England; [Lauducina, Vito A.] Univ Palermo, Dimpartimento Sistemi &amp; Agroambientali, I-90128 Palermo, Italy; [Daniell, Timothy J.] James Hutton Inst, Dundee DD2 5DA, Scotland; [O'Donnell, Anthony G.] Univ Western Australia, Crawley, WA 6009, Australia</t>
  </si>
  <si>
    <t>Heriot Watt University; University of Stirling; Newcastle University - UK; UK Research &amp; Innovation (UKRI); Natural Environment Research Council (NERC); NERC British Antarctic Survey; University of Palermo; James Hutton Institute; University of Western Australia</t>
  </si>
  <si>
    <t>Hopkins, DW (corresponding author), Heriot Watt Univ, Sch Life Sci, Edinburgh EH14 4AS, Midlothian, Scotland.</t>
  </si>
  <si>
    <t>David.Hopkins@hw.ac.uk</t>
  </si>
  <si>
    <t>Daniell, Tim J/E-8482-2011; Laudicina, Vito Armando/F-8187-2015; Dennis, Paul G/H-2141-2017</t>
  </si>
  <si>
    <t>Daniell, Tim J/0000-0003-0435-4343; Laudicina, Vito Armando/0000-0002-5531-0669; O'Donnell, Tony/0000-0003-2001-4533; Hopkins, David/0000-0003-0953-8643</t>
  </si>
  <si>
    <t>10.1016/j.funeco.2011.12.002</t>
  </si>
  <si>
    <t>WOS:000306157800004</t>
  </si>
  <si>
    <t>Schmidt, SK; Naff, CS; Lynch, RC</t>
  </si>
  <si>
    <t>Schmidt, S. K.; Naff, C. S.; Lynch, R. C.</t>
  </si>
  <si>
    <t>Fungal communities at the edge: Ecological lessons from high alpine fungi</t>
  </si>
  <si>
    <t>Andes; High elevation soils; Himalayas; Llullaillaco Volcano; Psychrophiles; Xeric soils</t>
  </si>
  <si>
    <t>SNOW MOLDS; SOIL; YEAST; ELEVATION; EXTREME; ORDER; LEUCOSPORIDIUM; BIODIVERSITY; ENVIRONMENT; PHYLOGENY</t>
  </si>
  <si>
    <t>One of the least studied ecosystems on Earth is the plant-free zone found between the alpine tundra zone and the zone of permanent ice and snow. This unique ecosystem-type occurs in all of the major mountain ranges on Earth and is especially widespread in the Andes and Himalayas. Here we describe recent molecular-phylogenetic studies of the fungi that inhabit these apparently barren soils. Sites that receive significant amounts of snowfall (in the Himalayas, Rocky and Andes ranges) are dominated by unique clades of zoosporic fungi (especially the Spizellomycetales), which likely use the saturated soil conditions during snow melt to complete their life cycles and then remain dormant for most of the year during periods of extreme cold and dryness. In more extreme sites that have very sporadic and shallow snow packs, such as the upper slopes of Llullaillaco Volcano (el. 6 741 m above sea level) on the Chilean-Argentinian border, fungal communities show very little diversity and are dominated by clades of yeasts related to the Antarctic endolithic yeasts in the Filobasidiales group. The other major group found on Llullaillaco form a clade most closely affiliated with the Dothideomycetes. Overall, our phylogenetic approach and spatially explicit sampling scheme allow us to formulate new hypotheses about the ecological functioning of fungi that inhabit critically endangered high elevation ecosystems. (C) 2011 Elsevier Ltd and The British Mycological Society. All rights reserved.</t>
  </si>
  <si>
    <t>[Schmidt, S. K.; Naff, C. S.; Lynch, R. C.] Univ Colorado, Dept Ecol &amp; Evolutionary Biol, Boulder, CO 80309 USA</t>
  </si>
  <si>
    <t>University of Colorado System; University of Colorado Boulder</t>
  </si>
  <si>
    <t>Schmidt, SK (corresponding author), Univ Colorado, Dept Ecol &amp; Evolutionary Biol, N122 Ramaley Hall, Boulder, CO 80309 USA.</t>
  </si>
  <si>
    <t>steve.schmidt@colorado.edu</t>
  </si>
  <si>
    <t>SCHMIDT, STEVEN K/G-2771-2010</t>
  </si>
  <si>
    <t>SCHMIDT, STEVEN K/0000-0002-9175-2085</t>
  </si>
  <si>
    <t>Direct For Biological Sciences; Division Of Environmental Biology [0921940, 0922306, 0922267, 1027341] Funding Source: National Science Foundation</t>
  </si>
  <si>
    <t>Direct For Biological Sciences; Division Of Environmental Biology(National Science Foundation (NSF)NSF - Directorate for Biological Sciences (BIO))</t>
  </si>
  <si>
    <t>10.1016/j.funeco.2011.10.005</t>
  </si>
  <si>
    <t>WOS:000306157800008</t>
  </si>
  <si>
    <t>Sterflinger, K; Tesei, D; Zakharova, K</t>
  </si>
  <si>
    <t>Sterflinger, Katja; Tesei, Donatella; Zakharova, Kristina</t>
  </si>
  <si>
    <t>Fungi in hot and cold deserts with particular reference to microcolonial fungi</t>
  </si>
  <si>
    <t>Arid environment; Desert; Microcolonial fungi; Rock inhabiting fungi; Soil fungi</t>
  </si>
  <si>
    <t>VICTORIA LAND; DELOS CYCLADES; ATACAMA DESERT; POLAR DESERT; NEGEV DESERT; SOIL; DIVERSITY; MICROORGANISMS; BIODIVERSITY; COMMUNITIES</t>
  </si>
  <si>
    <t>The occurrence of fungi in soils of the hot deserts and the dry areas of the Antarctic and Arctic are described. A number of filamentous fungi and yeasts have been documented from both - the hot and cold habitat - however, investigations on the abundance and activity of the filamentous hyphomycetes isolated are still missing. There is striking evidence that many ubiquitous species just survive in hot desert soil by their spores, however, without any physiological activity. There is also reasonable suspicion that man-made contamination of the Antarctic deserts might be the reason for finding a broad distribution of Penicillium and other ubiquitous fungi in soil and air. Basidiomycetous yeasts are reported to be endemic in the dry valley of Antarctica. Unrivaled conquerors of the desert environment are black, microcolonial fungi that are part of the epi- and endolithic community in hot and cold arid and semi-arid habitats. These fungi are one of the most stress-tolerant eukaryotic life forms on Earth. (C) 2012 Elsevier Ltd and The British Mycological Society. All rights reserved.</t>
  </si>
  <si>
    <t>[Sterflinger, Katja; Tesei, Donatella; Zakharova, Kristina] Univ Nat Resources &amp; Life Sci, Dept Biotechnol, A-1190 Vienna, Austria</t>
  </si>
  <si>
    <t>BOKU University</t>
  </si>
  <si>
    <t>Sterflinger, K (corresponding author), Univ Nat Resources &amp; Life Sci, Dept Biotechnol, Muthgasse 18, A-1190 Vienna, Austria.</t>
  </si>
  <si>
    <t>Katja.Sterflinger@boku.ac.at</t>
  </si>
  <si>
    <t>TESEI, Donatella/AAQ-3690-2021; Tesei, Donatella/JPL-0013-2023</t>
  </si>
  <si>
    <t>Tesei, Donatella/0000-0002-3247-066X; Sterflinger, Katja/0000-0002-0296-6728</t>
  </si>
  <si>
    <t>10.1016/j.funeco.2011.12.007</t>
  </si>
  <si>
    <t>WOS:000306157800009</t>
  </si>
  <si>
    <t>Maddison, EJ; Pike, J; Dunbar, R</t>
  </si>
  <si>
    <t>Maddison, Eleanor J.; Pike, Jennifer; Dunbar, Robert</t>
  </si>
  <si>
    <t>Seasonally laminated diatom-rich sediments from Dumont d'Urville Trough, East Antarctic Margin: Late-Holocene Neoglacial sea-ice conditions</t>
  </si>
  <si>
    <t>diatoms; Dumont d'Urville Trough; East Antarctica; laminated sediments; late Holocene; sea ice</t>
  </si>
  <si>
    <t>SOUTHERN-OCEAN SEDIMENTS; WATER-COLUMN ASSEMBLAGES; ADELIE LAND; WEDDELL SEA; PALMER-DEEP; MARINE-SEDIMENTS; LATE PLEISTOCENE; WILKES LAND; PHYTOPLANKTON; VARIABILITY</t>
  </si>
  <si>
    <t>Laminated sediments are unique archives of palaeoenvironmental and palaeoceanographic conditions, recording changes on seasonal and interannual timescales. Diatom-rich laminated marine sediments are examined from Dumont d'Urville Trough, East Antarctic Margin, to determine changes in environmental conditions on the continental shelf from 1136 to 3122 cal. yr BP. Scanning electron microscope backscattered electron imagery (BSEI) and secondary electron imagery are used to analyse diatom assemblages from laminations and to determine interlamina relationships. Diatom observations are quantified with conventional assemblage counts. Laminae are primarily classified according to visually dominant species identified in BSEI and, secondarily, by terrigenous content. Nine lamina types are identified and are characterized by: Hyalochaete Chaetoceros spp. resting spores (CRS); CRS and Fragilariopsis spp.; Fragilariopsis spp.; Corethron pennatum and Rhizosolenia spp.; C. pennatum; Rhizosolenia spp.; mixed diatom assemblage; Stellarima microtrias resting spores (RS), Porosira glacialis RS and Coscinodiscus bouvet; and P. glacialis RS. Formation of each lamina type is controlled by seasonal changes in sea ice cover, nutrient levels and water column stability. Quantitative diatom assemblage analysis revealed that each lamina type is dominated by CRS and Fragilariopsis sea ice taxa, indicating that sea ice cover was extensive and persistent in the late Holocene. However the lamina types indicate that the sea ice regime was not consistent throughout this period, notably that a relatively warmer period, similar to 3100 to 2500 cal. yr BP, was followed by cooling which resulted in an increase in year round sea ice by similar to 1100 cal. yr BP.</t>
  </si>
  <si>
    <t>[Maddison, Eleanor J.] Univ Durham, Dept Geog, South Rd, Durham DH1 3LE, England; [Pike, Jennifer] Cardiff Univ, Cardiff, Wales; [Dunbar, Robert] Stanford Univ, Stanford, CA 94305 USA</t>
  </si>
  <si>
    <t>Durham University; Cardiff University; Stanford University</t>
  </si>
  <si>
    <t>Maddison, EJ (corresponding author), Univ Durham, Dept Geog, South Rd, Durham DH1 3LE, England.</t>
  </si>
  <si>
    <t>e.j.maddison@durham.ac.uk</t>
  </si>
  <si>
    <t>Pike, Jennifer/0000-0001-9415-6003; Dunbar, Robert/0000-0002-9728-5609</t>
  </si>
  <si>
    <t>Natural Environment Research Council (NERC) [NER/S/A/2002/10350, NER/A/S/2001/01106]; National Science Foundation (NSF) [9909837]; Natural Environment Research Council [NER/A/S/2001/01106] Funding Source: researchfish</t>
  </si>
  <si>
    <t>Natural Environment Research Council (NERC)(UK Research &amp; Innovation (UKRI)Natural Environment Research Council (NERC)); National Science Foundation (NSF)(National Science Foundation (NSF)); Natural Environment Research Council(UK Research &amp; Innovation (UKRI)Natural Environment Research Council (NERC))</t>
  </si>
  <si>
    <t>This research was funded by Natural Environment Research Council (NERC) postgraduate research studentship NER/S/A/2002/10350 (EJM at Cardiff University), NERC research grant NER/A/S/2001/01106 (JP), and National Science Foundation (NSF) research grant 9909837 (RD).</t>
  </si>
  <si>
    <t>10.1177/0959683611434223</t>
  </si>
  <si>
    <t>969UG</t>
  </si>
  <si>
    <t>WOS:000306084100003</t>
  </si>
  <si>
    <t>Spectral reflectance properties of carbonaceous chondrites 4: Aqueously altered and thermally metamorphosed meteorites</t>
  </si>
  <si>
    <t>Meteorites; Asteroids, Surfaces; Asteroids, Composition; Spectroscopy</t>
  </si>
  <si>
    <t>ABSORPTION-BANDS; CM CHONDRITE; SPECTROSCOPY; SOIL; ASTEROIDS; SURFACES; ORGANICS; OLIVINE; ANALOG</t>
  </si>
  <si>
    <t>We examined the spectral reflectance properties of 26 carbonaceous chondrites (CCs) that show evidence of aqueous alteration and subsequent thermal metamorphism (termed ATCCs). We also reviewed the thermal and aqueous alteration history of these meteorites and searched for trends between spectral parameters and temperature histories in order to uncover spectral-compositional relationships. Aqueous alteration results in the production of phyllosilicates from anhydrous silicate precursors - largely serpentine group phyllosilicates, and increasing amounts of saponite group phyllosilicates with increasing aqueous alteration. Thermal metamorphism results in dehydration of these phyllosilicates and production of abundant amorphous material except at the highest temperatures (greater than or similar to 900 degrees C), as well as alteration of carbonaceous components. ATCCs are a spectrally diverse group in almost all respects. Spectral slopes, as measured by the ratio of reflectance at 2.4 mu m to the local peak or inflection in the 0.5-0.8 mu m region and 2.4/1.5 mu m ratios range from 0.78 to 1.48, and 0.93 to 1.24, respectively (blue-sloped spectra have ratio values of &lt;1). ATCC powder spectra (&lt;75, &lt;100, or &lt;125 mu m) are generally dark, with maximum reflectance at the local peak or inflection in the 0.5-0.8 mu m region, or maximum reflectance at any wavelength ranging from 2.6% to 8.9%, and 3.5% to 10.3%, respectively. All ATCC spectra exhibit an absorption feature in the similar to 0.8-1.3 mu m region, with band depths ranging from similar to 1% to 8%. This feature is diverse in terms of number of apparent absorption bands. The presence of mixed valence Fe2+-Fe3+ phyllosilicates, as evidenced by an absorption band near 0.7 mu m with a depth of up to 5%, and Mg-bearing phyllosilicates, as evidenced by an MgOH combination band in the 2.3-2.4 mu m region, are seen in many of the least thermally metamorphosed ATCC spectra. The depth of the 0.7 mu m band generally decreases with increasing temperature. Olivine-associated absorption bands in the 0.8-1.3 mu m region seem to be more prevalent in the more metamorphosed ATCC spectra. However clearly-resolvable olivine absorption bands are not present in ATCC spectra, suggesting that thermal metamorphism did not lead to the production of widespread crystalline Fe2+-bearing olivine. The reddest ATCC powder spectra are generally the darkest, and C content is correlated with decreasing overall reflectance and weakly correlated with spectral slope. When the degree of thermal metamorphism was compared to various spectral measures of slope, band depth, and overall reflectance, no strong correlations emerged. However, it does appear that the most thermally metamorphosed ATCCs have generally flatter spectral slopes. ATCC chip spectra are brighter and less red-sloped than powder spectra, but band depths are generally comparable. Laboratory-heated Cls and CMs generally exhibit the same types of spectral changes seen in naturally thermally metamorphosed ATCCs. For laboratory-heated CM and Cl chondrites, and ATCCs for which temperature estimates are available, reflectance generally decreases with increasing temperature to similar to 500 degrees C, and then increases to higher temperatures. Silicate absorption band depths are generally least for temperatures of similar to 600-800 degrees T. Below this temperature interval, ATCC spectra show more phyllosilicate-like absorption bands. ATCC spectra generally become flatter with increasing temperature above similar to 400 degrees C. Temperatures in excess of those experienced by the ATCCs (similar to 900 degrees C) are required for the appearance of well-resolved olivine absorption bands. (C) 2012 Elsevier Inc. All rights reserved.</t>
  </si>
  <si>
    <t>[Cloutis, E. A.] Univ Winnipeg, Dept Geog, Winnipeg, MB R3B 2E9, Canada; [Hudon, P.] NASA Johnson Space Ctr, Astromat Res &amp; Explorat Sci Off, Houston, TX 77058 USA; [Hiroi, T.] Brown Univ, Dept Geol Sci, Providence, RI 02912 USA; [Gaffey, M. J.] Univ N Dakota, Dept Space Studies, Grand Forks, ND 58202 USA</t>
  </si>
  <si>
    <t>We wish to thank the invaluable and generous assistance provided by many individuals which made this study possible. In particular we thank the US and Japanese Antarctic meteorite programs for recovering the majority of the samples included in this study. The RELAB facility at Brown University is a multi-user facility operated with support from NASA Planetary Geology and Geophysics Grant NNG06GJ31G, whose support is gratefully acknowledged. This study was supported by an NSERC Discovery Grant to E.A.C. We also wish to thank Beth Clark and Faith Vilas for their insightful reviews.</t>
  </si>
  <si>
    <t>10.1016/j.icarus.2012.05.018</t>
  </si>
  <si>
    <t>WOS:000308057200022</t>
  </si>
  <si>
    <t>Jena, B; Swain, D; Avinash, K</t>
  </si>
  <si>
    <t>Jena, Babula; Swain, Debadatta; Avinash, Kumar</t>
  </si>
  <si>
    <t>Investigation of the biophysical processes over the oligotrophic waters of South Indian Ocean subtropical gyre, triggered by cyclone Edzani</t>
  </si>
  <si>
    <t>INTERNATIONAL JOURNAL OF APPLIED EARTH OBSERVATION AND GEOINFORMATION</t>
  </si>
  <si>
    <t>Gyre; Aqua-MODIS; Chlorophyll-a; SST; Mixed layer; ASCAT; Upwelling</t>
  </si>
  <si>
    <t>NEAR-SURFACE CIRCULATION; TROPICAL CYCLONES; HURRICANE; INTENSITY</t>
  </si>
  <si>
    <t>The biophysical effects of a storm in the most oligotrophic waters of the South Indian Ocean (SIO) subtropical gyre have been investigated by conjunctive analyses using space-borne sensors and in situ observations. The most oligotrophic waters of the SIO are identified using more than 8-years of chlorophyll-a images derived from Aqua-Moderate Resolution Imaging Spectroradiometer (Aqua-MODIS). Earlier studies revealed that the source of oceanic primary production enhancement in these oligotrophic waters has remained inconclusive. However, the present study succeeded in attributing the cyclone, named Edzani, which passed over these waters and to be responsible for enriching the chlorophyll-a pigment, lowering of sea surface temperature (SST) and deepening of mixed layer. Analyses of MODIS Chlorophyll-a and SST images during the cyclone and pre-cyclone period shows lowering of SST values up to 2.23 degrees C and chlorophyll-a enrichment up to 0.062 mg/m(3) from the pre-storm values along the cyclone track. Argo floats in the region recorded 10 m deepening of mixed layer with an average mixed layer cooling of similar to 1.34 degrees C and 0.14 parts per thousand increase in salinity. These changes controlled by the physical processes have been examined using wind stress, wind stress curl and upwelling velocity derived from the new Advanced Scatterometer (ASCAT). The results provide a significant evidence to suggest that the frequent storms could possibly modify the prevailing oligotrophic conditions of the SIO subtropical gyres into a relatively productive environment, thus leading to regulate the global carbon cycle which is an essential component of climate change. (C) 2012 Elsevier B.V. All rights reserved.</t>
  </si>
  <si>
    <t>[Jena, Babula; Avinash, Kumar] Natl Ctr Antarctic &amp; Ocean Res, Headland Sada 403804, Goa, India; [Swain, Debadatta] ISRO, NRSC, Hyderabad 500037, Andhra Pradesh, India</t>
  </si>
  <si>
    <t>Ministry of Earth Sciences (MoES) - India; National Centre for Polar and Ocean Research (NCPOR); Department of Space (DoS), Government of India; Indian Space Research Organisation (ISRO); National Remote Sensing Centre (NRSC)</t>
  </si>
  <si>
    <t>Jena, B (corresponding author), Natl Ctr Antarctic &amp; Ocean Res, Headland Sada 403804, Goa, India.</t>
  </si>
  <si>
    <t>bjena@ncaor.org</t>
  </si>
  <si>
    <t>Avinash, Kumar/0000-0002-6511-8435</t>
  </si>
  <si>
    <t>0303-2434</t>
  </si>
  <si>
    <t>INT J APPL EARTH OBS</t>
  </si>
  <si>
    <t>Int. J. Appl. Earth Obs. Geoinf.</t>
  </si>
  <si>
    <t>10.1016/j.jag.2012.01.006</t>
  </si>
  <si>
    <t>Remote Sensing</t>
  </si>
  <si>
    <t>971IZ</t>
  </si>
  <si>
    <t>WOS:000306198900005</t>
  </si>
  <si>
    <t>Dixon, DA; Mayewski, PA; Goodwin, ID; Marshall, GJ; Freeman, R; Maasch, KA; Sneed, SB</t>
  </si>
  <si>
    <t>Dixon, Daniel A.; Mayewski, Paul A.; Goodwin, Ian D.; Marshall, Gareth J.; Freeman, Rhaelene; Maasch, Kirk A.; Sneed, Sharon B.</t>
  </si>
  <si>
    <t>An ice-core proxy for northerly air mass incursions into West Antarctica</t>
  </si>
  <si>
    <t>Antarctic; glaciochemistry; Southern Hemisphere westerlies; climate change; International Trans Antarctic Scientific Expedition; atmospheric circulation</t>
  </si>
  <si>
    <t>SOUTHERN-HEMISPHERE; CLIMATE VARIABILITY; SEA-ICE; EXTRATROPICAL CIRCULATION; EASTERN AUSTRALIA; ATMOSPHERIC CO2; TRACE-ELEMENT; ANNULAR MODES; POLAR ICE; DUST</t>
  </si>
  <si>
    <t>A 200-year proxy for northerly air mass incursions (NAMI) into central and western West Antarctica is developed from the examination of 19 shallow (21150 m deep) Antarctic ice-core non-sea-salt (nss) Ca2+ concentration records. The NAMI proxy reveals a significant rise in recent decades. This rise is unprecedented for at least the past 200 years and is coincident with anthropogenically driven changes in other large-scale Southern Hemisphere (SH) environmental phenomena such as greenhouse gas (GHG) induced warming, ozone depletion, and the associated intensification of the SH westerlies. The Hysplit trajectory model is used to examine air mass transport pathways into West Antarctica. Empirical orthogonal function analysis, in combination with trajectory results, suggests that atmospheric circulation is the dominant factor affecting nssCa2+ concentrations throughout central and western West Antarctica. Ozone recovery will likely weaken the spring-summer SH westerlies in the future. Consequently, Antarctica could lose one of its best defences against SH GHG warming. Copyright (c) 2011 Royal Meteorological Society</t>
  </si>
  <si>
    <t>[Dixon, Daniel A.; Mayewski, Paul A.; Maasch, Kirk A.; Sneed, Sharon B.] Univ Maine, Climate Change Inst, Orono, ME 04469 USA; [Dixon, Daniel A.; Mayewski, Paul A.; Maasch, Kirk A.; Sneed, Sharon B.] Univ Maine, Dept Earth Sci, Orono, ME 04469 USA; [Goodwin, Ian D.; Freeman, Rhaelene] Macquarie Univ, Sydney, NSW 2109, Australia; [Marshall, Gareth J.] British Antarctic Survey, Cambridge CB3 0ET, England</t>
  </si>
  <si>
    <t>University of Maine System; University of Maine Orono; University of Maine System; University of Maine Orono; Macquarie University; UK Research &amp; Innovation (UKRI); Natural Environment Research Council (NERC); NERC British Antarctic Survey</t>
  </si>
  <si>
    <t>Dixon, DA (corresponding author), Univ Maine, Climate Change Inst, Orono, ME 04469 USA.</t>
  </si>
  <si>
    <t>daniel.dixon@maine.edu</t>
  </si>
  <si>
    <t>Maasch, Kirk/JMQ-8426-2023; Mayewski, Paul Andrew/HRD-6969-2023</t>
  </si>
  <si>
    <t>Maasch, Kirk Allen/0000-0002-8658-8030; Goodwin, Ian/0000-0001-8682-6409</t>
  </si>
  <si>
    <t>US National Science Foundation Office of Polar Programs [0096305, 0096299, 0439589, 063740, 063650, 0837883]; W.M. Keck Foundation; NERC [bas0100023] Funding Source: UKRI; Office of Polar Programs (OPP); Directorate For Geosciences [0096305] Funding Source: National Science Foundation; Office of Polar Programs (OPP); Directorate For Geosciences [0837883, 0096299, 1042883, 0439589] Funding Source: National Science Foundation; Natural Environment Research Council [bas0100023] Funding Source: researchfish</t>
  </si>
  <si>
    <t>US National Science Foundation Office of Polar Programs(National Science Foundation (NSF)); W.M. Keck Foundation(W.M. Keck Foundation); NERC(UK Research &amp; Innovation (UKRI)Natural Environment Research Council (NERC)); Office of Polar Programs (OPP); Directorate For Geosciences(National Science Foundation (NSF)NSF - Directorate for Geosciences (GEO)); Office of Polar Programs (OPP); Directorate For Geosciences(National Science Foundation (NSF)NSF - Directorate for Geosciences (GEO)); Natural Environment Research Council(UK Research &amp; Innovation (UKRI)Natural Environment Research Council (NERC))</t>
  </si>
  <si>
    <t>This research was supported by the US National Science Foundation Office of Polar Programs grants (0096305, 0096299, 0439589, 063740, 063650 and 0837883) and the W.M. Keck Foundation to P. M. We thank the US Antarctic Program, the 109th N.Y. Air National Guard, Ice Core Drilling Services, Raytheon Polar Services Company and our US ITASE field colleagues for their support.</t>
  </si>
  <si>
    <t>10.1002/joc.2371</t>
  </si>
  <si>
    <t>977KA</t>
  </si>
  <si>
    <t>WOS:000306656700001</t>
  </si>
  <si>
    <t>Richard, J; Morley, SA; Deloffre, J; Peck, LS</t>
  </si>
  <si>
    <t>Richard, Joelle; Morley, Simon Anthony; Deloffre, Julien; Peck, Lloyd Samuel</t>
  </si>
  <si>
    <t>Thermal acclimation capacity for four Arctic marine benthic species</t>
  </si>
  <si>
    <t>Climate change; CTmax; Limit; Polar; Temperature; Warming</t>
  </si>
  <si>
    <t>CLIMATE-CHANGE; RANGE SIZE; TOLERANCE; IMPACTS; LIMITS; TEMPERATURE; ADAPTATION; PHYSIOLOGY</t>
  </si>
  <si>
    <t>There are areas on Earth where it is pressing that we obtain an understanding of the thermal limits and acclimation capacities of the species living there. These are the zones where environmental temperatures are currently changing more rapidly and are predicted to continue to do so in the future. The foremost amongst these is possibly the Arctic, where in some areas air temperatures have risen on average by over 1.7 degrees C in the last 30 years, and sea ice cover has markedly decreased in recent decades. Here we present data on responses of 4 Arctic marine benthic species to elevated temperature. There is very strong evidence that the urchin Strongylocentrotus droebachiensis and the gastropod Margarites helicinus can acclimate to 10.3 degrees C, and some evidence that some individuals of the bivalve Serripes groenlandicus and the amphipod Onisimus sp. can also acclimate to this temperature. This is more than 3 degrees C higher than experienced maximum summer temperatures. Acclimation to 7.1 degrees C produced reductions in acute upper temperature limits (CTmax) in all species, whereas acclimation to 10.3 degrees C produced increases. Although data are still limited, a capacity to acclimate to temperatures 3-5 degrees C above those experienced in the summer is similar to capacities of cold temperate species and higher than reported values for tropical or Antarctic marine invertebrates. (C) 2012 Published by Elsevier B.V.</t>
  </si>
  <si>
    <t>[Richard, Joelle; Morley, Simon Anthony; Peck, Lloyd Samuel] British Antarctic Survey, Cambridge CB3 0ET, England; [Deloffre, Julien] Univ Rouen, UMR CNRS 6143 M2C, Lab Morphodynam Continentale &amp; Cotiere, F-76821 Mont St Aignan, France</t>
  </si>
  <si>
    <t>UK Research &amp; Innovation (UKRI); Natural Environment Research Council (NERC); NERC British Antarctic Survey; Universite de Rouen Normandie</t>
  </si>
  <si>
    <t>Richard, J (corresponding author), British Antarctic Survey, High Cross,Madingley Rd, Cambridge CB3 0ET, England.</t>
  </si>
  <si>
    <t>joch@bas.ac.uk; smor@bas.ac.uk; julien.deloffre@univ-rouen.fr; lspe@bas.ac.uk</t>
  </si>
  <si>
    <t>DELOFFRE, Julien/0009-0007-8746-9846</t>
  </si>
  <si>
    <t>Natural Environment Research Council [NE/G000018/1]; NERC [bas0100025, NE/G000018/1, dml011000] Funding Source: UKRI; Natural Environment Research Council [NE/G000018/1, dml011000, bas0100025]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</si>
  <si>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</si>
  <si>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was financed by the Natural Environment Research Council (grant NE/G000018/1 to LSP). The authors thank the two anonymous reviewers for their useful comments on the manuscript. The authors are grateful to Elin Austerheim the manager of the Kings Bay Marine Laboratory at Ny-Alesund and Nick Cox for their help during the experiments. We also thank Max Schwanitz, Marco and Gesine from the Alfred Wegener Institute SCUBA diving team for their help in collecting specimens. [SS]</t>
  </si>
  <si>
    <t>10.1016/j.jembe.2012.01.010</t>
  </si>
  <si>
    <t>WOS:000306766700006</t>
  </si>
  <si>
    <t>Everatt, MJ; Worland, MR; Bale, JS; Convey, P; Hayward, SAL</t>
  </si>
  <si>
    <t>Everatt, M. J.; Worland, M. R.; Bale, J. S.; Convey, P.; Hayward, S. A. L.</t>
  </si>
  <si>
    <t>Pre-adapted to the maritime Antarctic? - Rapid cold hardening of the midge, Eretmoptera murphyi</t>
  </si>
  <si>
    <t>JOURNAL OF INSECT PHYSIOLOGY</t>
  </si>
  <si>
    <t>Freeze-tolerance; Alien species; Climate warming; Supercooling point; Belgica antarctica; Chironomidae</t>
  </si>
  <si>
    <t>DROSOPHILA-MELANOGASTER; SHOCK INJURY; TEMPERATURE; TOLERANCE; TERRESTRIAL; POPULATIONS; INCREASES; DIPTERA</t>
  </si>
  <si>
    <t>During the 1960s, the midge, Eretmoptera murphyi, was transferred from sub-Antarctic South Georgia (55 degrees S 37 degrees W) where it is endemic to a single location on maritime Antarctic Signy Island (60 degrees S 45 degrees W). Its distribution has since expanded considerably, suggesting that it is pre-adapted to the more severe conditions further south. To test one aspect of the level of its pre-adaptation, the rapid cold hardening (RCH) response in this species was investigated. When juvenile (L1-L2) and mature (L3-L4) larvae of E. murphyi were directly exposed to progressively lower temperatures for 8 h, they exhibited Discriminating Temperatures (DTemp, temperature at which there is 10-20% survival of exposed individuals) of -11.5 and -12.5 degrees C, respectively. The mean SCP was above -7.5 degrees C in both larval groups, confirming the finding of previous studies that this species is freeze-tolerant. Following gradual cooling (0.2 degrees C min(-1)), survival was significantly greater at the DTemp in both larval groups. The response was strong, lowering the lower lethal temperature (LLT) by up to 6.5 degrees C and maintaining survival above 80% for at least 22 h at the DTemp. RCH was also exhibited during the cooling phase of an ecologically relevant thermoperiodic cycle (+4 degrees C to -3 degrees C). Mechanistically, the response did not affect freezing, with no alteration in the supercooling point (SCP) found following gradual cooling, and was not induced while the organism was in a frozen state. These results are discussed in light of E. murphyi's pre-adaptation to conditions on Signy Island and its potential to colonize regions further south in the maritime Antarctic. (C) 2012 Elsevier Ltd. All rights reserved.</t>
  </si>
  <si>
    <t>[Everatt, M. J.; Bale, J. S.; Hayward, S. A. L.] Univ Birmingham, Sch Biosci, Birmingham B15 2TT, W Midlands, England; [Worland, M. R.; Convey, P.] British Antarctic Survey, Nat Environm Res Council, Cambridge CB3 0ET, England</t>
  </si>
  <si>
    <t>University of Birmingham; UK Research &amp; Innovation (UKRI); Natural Environment Research Council (NERC); NERC British Antarctic Survey</t>
  </si>
  <si>
    <t>Everatt, MJ (corresponding author), Univ Birmingham, Sch Biosci, Birmingham B15 2TT, W Midlands, England.</t>
  </si>
  <si>
    <t>mxe746@bham.ac.uk</t>
  </si>
  <si>
    <t>Convey, Peter/AAV-5728-2020</t>
  </si>
  <si>
    <t>Convey, Peter/0000-0001-8497-9903; Hayward, Scott/0000-0002-1899-6630</t>
  </si>
  <si>
    <t>Natural Environment Research Council [RRBN15266]; British Antarctic Survey; University of Birmingham; NERC [bas0100025] Funding Source: UKRI; Natural Environment Research Council [bas0100025] Funding Source: researchfish</t>
  </si>
  <si>
    <t>Natural Environment Research Council(UK Research &amp; Innovation (UKRI)Natural Environment Research Council (NERC)); British Antarctic Survey; University of Birmingham; NERC(UK Research &amp; Innovation (UKRI)Natural Environment Research Council (NERC)); Natural Environment Research Council(UK Research &amp; Innovation (UKRI)Natural Environment Research Council (NERC))</t>
  </si>
  <si>
    <t>MJE was funded by the Natural Environment Research Council (RRBN15266) and was supported by the British Antarctic Survey and the University of Birmingham. This paper contributes to the BAS 'Polar Science for Planet Earth' and SCAR 'Evolution and Biodiversity in Antarctica' research programmes.</t>
  </si>
  <si>
    <t>0022-1910</t>
  </si>
  <si>
    <t>1879-1611</t>
  </si>
  <si>
    <t>J INSECT PHYSIOL</t>
  </si>
  <si>
    <t>J. Insect Physiol.</t>
  </si>
  <si>
    <t>10.1016/j.jinsphys.2012.05.009</t>
  </si>
  <si>
    <t>Entomology; Physiology; Zoology</t>
  </si>
  <si>
    <t>983YM</t>
  </si>
  <si>
    <t>Green Published, hybrid</t>
  </si>
  <si>
    <t>WOS:000307154600009</t>
  </si>
  <si>
    <t>Fridjonsson, EO; Flux, LS; Johns, ML</t>
  </si>
  <si>
    <t>Fridjonsson, Einar O.; Flux, Louise S.; Johns, Michael L.</t>
  </si>
  <si>
    <t>Determination of mean droplet sizes of water-in-oil emulsions using an Earth's field NMR instrument</t>
  </si>
  <si>
    <t>JOURNAL OF MAGNETIC RESONANCE</t>
  </si>
  <si>
    <t>PFG; Emulsion droplet sizing; Earth's magnetic field</t>
  </si>
  <si>
    <t>NUCLEAR-MAGNETIC-RESONANCE; GRADIENT WAVE-FORMS; SPIN-ECHO ANALYSIS; RESTRICTED DIFFUSION; SELF-DIFFUSION; RANGE; MRI</t>
  </si>
  <si>
    <t>The use of the Earth's magnetic field (EF) to conduct nuclear magnetic resonance (NMR) experiments has a long history with a growing list of applications (e.g. ground water detection, diffusion measurements of Antarctic sea ice). In this paper we explore whether EFNMR can be used to accurately and practically measure the mean droplet size ((a)) of water-in-oil emulsions (paraffin and crude oil). We use both pulsed field gradient (PFG) measurements of restricted self-diffusion and T-2 relaxometry, as appropriate. T-2 relaxometry allows the extension of droplet sizing ability below the limits set by the available magnetic field gradient strength of the EFNMR apparatus. A commercially available bench-top NMR spectrometer is used to verify the results obtained using the EFNMR instrument, with good agreement within experimental error, seen between the two instruments. These results open the potential for further investigation of the application of EFNMR for emulsion droplet sizing. (C) 2012 Elsevier Inc. All rights reserved.</t>
  </si>
  <si>
    <t>[Fridjonsson, Einar O.; Flux, Louise S.; Johns, Michael L.] Univ Western Australia, Sch Mech &amp; Chem Engn, Crawley, WA 6009, Australia</t>
  </si>
  <si>
    <t>University of Western Australia</t>
  </si>
  <si>
    <t>Johns, ML (corresponding author), Univ Western Australia, Sch Mech &amp; Chem Engn, 35 Stirling Highway, Crawley, WA 6009, Australia.</t>
  </si>
  <si>
    <t>michael.johns@uwa.edu.au</t>
  </si>
  <si>
    <t>Fridjonsson, Einar/H-9226-2014</t>
  </si>
  <si>
    <t>Fridjonsson, Einar/0000-0001-8365-6002; johns, michael/0000-0001-7953-0597</t>
  </si>
  <si>
    <t>EPSRC [EP/F047991/1] Funding Source: UKRI; Engineering and Physical Sciences Research Council [EP/F047991/1] Funding Source: researchfish</t>
  </si>
  <si>
    <t>EPSRC(UK Research &amp; Innovation (UKRI)Engineering &amp; Physical Sciences Research Council (EPSRC)); Engineering and Physical Sciences Research Council(UK Research &amp; Innovation (UKRI)Engineering &amp; Physical Sciences Research Council (EPSRC))</t>
  </si>
  <si>
    <t>1090-7807</t>
  </si>
  <si>
    <t>J MAGN RESON</t>
  </si>
  <si>
    <t>J. Magn. Reson.</t>
  </si>
  <si>
    <t>10.1016/j.jmr.2012.05.012</t>
  </si>
  <si>
    <t>Biochemical Research Methods; Physics, Atomic, Molecular &amp; Chemical; Spectroscopy</t>
  </si>
  <si>
    <t>Biochemistry &amp; Molecular Biology; Physics; Spectroscopy</t>
  </si>
  <si>
    <t>987JZ</t>
  </si>
  <si>
    <t>WOS:000307414500013</t>
  </si>
  <si>
    <t>Moniz, MBJ; Rindi, F; Novis, PM; Broady, PA; Guiry, MD</t>
  </si>
  <si>
    <t>Moniz, Monica B. J.; Rindi, Fabio; Novis, Phil M.; Broady, Paul A.; Guiry, Michael D.</t>
  </si>
  <si>
    <t>MOLECULAR PHYLOGENY OF ANTARCTIC PRASIOLA (PRASIOLALES, TREBOUXIOPHYCEAE) REVEALS EXTENSIVE CRYPTIC DIVERSITY</t>
  </si>
  <si>
    <t>Antarctica; cryptic diversity; molecular phylogeny; Prasiola; Prasiolales; terrestrial algae</t>
  </si>
  <si>
    <t>GREEN-ALGAE; FRESH-WATER; SEQUENCE ALIGNMENT; VICTORIA LAND; CHLOROPHYTA; TERRESTRIAL; RBCL; COMMUNITIES; POSITION; CRISPA</t>
  </si>
  <si>
    <t>Trebouxiophytes of the genus Prasiola are well known in Antarctica, where they are among the most important primary producers. Although many aspects of their biology have been thoroughly investigated, the scarcity of molecular data has so far prevented an accurate assessment of their taxonomy and phylogenetic position. Using sequences of the chloroplast genes rbcL and psaB, we demonstrate the existence of three cryptic species that were previously confused under Prasiola crispa (Lightfoot) Kutzing. Genuine P. crispa occurs in Antarctica; its presence was confirmed by comparison with the rbcL sequence of the type specimen (from the Isle of Skye, Scotland). Prasiola antarctica Kutzing is resurrected as an independent species to designate algae with gross morphology identical to P. crispa but robustly placed in a separate lineage. The third species is represented by specimens identified as P. calophylla (Carmichael ex Greville) Kutzing in previous studies, but clearly separated from European P. calophylla (type locality: Argyll, Scotland); this alga is described as P. glacialis sp. nov. The molecular data demonstrated the presence of P. crispa in Maritime and Continental Antarctica. P. antarctica was recorded from the Antarctic Peninsula and Shetland Islands, and P. glacialis from the Southern Ocean islands and coast. Such unexpected cryptic diversity highlights the need for a taxonomic reassessment of many published Antarctic records of P. crispa. The results also indicate that marine species of Prasiola form a well-supported monophyletic group, whereas the phylogenetic diversity of freshwater species is higher than previously suspected (at least three separate lineages within the genus include species living in this type of environments).</t>
  </si>
  <si>
    <t>[Rindi, Fabio] Univ Politecn Marche, Dipartimento Sci Vita &amp; Ambiente, I-60131 Ancona, Italy; [Moniz, Monica B. J.] Natl Univ Ireland, Irish Seaweed Res Grp, Ryan Inst Environm Marine &amp; Energy Res, Galway, Ireland; [Novis, Phil M.] Allan Herbarium, Landcare Res, Lincoln 7640, New Zealand; [Broady, Paul A.] Univ Canterbury, Sch Biol Sci, Christchurch 1, New Zealand; [Guiry, Michael D.] Natl Univ Ireland, AlgaeBase, Ryan Inst Environm Marine &amp; Energy Res, Galway, Ireland</t>
  </si>
  <si>
    <t>Marche Polytechnic University; Ollscoil na Gaillimhe-University of Galway; Landcare Research - New Zealand; University of Canterbury; Ollscoil na Gaillimhe-University of Galway</t>
  </si>
  <si>
    <t>Rindi, F (corresponding author), Univ Politecn Marche, Dipartimento Sci Vita &amp; Ambiente, Via Brecce Bianche, I-60131 Ancona, Italy.</t>
  </si>
  <si>
    <t>f.rindi@univpm.it</t>
  </si>
  <si>
    <t>Rindi, Fabio/ITU-7669-2023; Moniz, Monica/D-5162-2013; Rindi, Fabio/H-7147-2019</t>
  </si>
  <si>
    <t>RINDI, Fabio/0000-0002-7392-3653; Novis, Phil/0000-0002-8802-4984</t>
  </si>
  <si>
    <t>Marine Institute (Ireland); Antarctica New Zealand; Ministry of Science and Innovation</t>
  </si>
  <si>
    <t>Marine Institute (Ireland); Antarctica New Zealand; Ministry of Science and Innovation(Spanish Government)</t>
  </si>
  <si>
    <t>The study was funded by the Marine Institute (Ireland) as part of the National Marine Biodiscovery Programme under the Beaufort Award for Marine Biodiscovery to NUI, Galway. We are very grateful to Charles Amsler, Han-Gu Choi, Gary Saunders, Sandra Lindstrom, Line Le Gall, Hana Kucera, Dan McDevitt, Frithjof Kupper, Stefano Draisma, Jiri Neustupa, Fiona Scott, Rocio Ramirez Rodriguez, and Javier Carmona Jimenez for collecting and sending samples. Juliet Brodie, Jo Wilbraham, and Willem Prud'homme van Reine kindly assisted with the loans of the type specimens of Ulva crispa and Prasiola antarctica from BM and L, respectively. Juan Lopez-Bautista provided partial assistance and useful information for the rbcL sequencing. PMN is grateful for support from Antarctica New Zealand and the Ministry of Science and Innovation through the Defining New Zealand's Land Biota Nationally Significant Database contract.</t>
  </si>
  <si>
    <t>1529-8817</t>
  </si>
  <si>
    <t>10.1111/j.1529-8817.2012.01172.x</t>
  </si>
  <si>
    <t>982BM</t>
  </si>
  <si>
    <t>WOS:000307016700011</t>
  </si>
  <si>
    <t>McEwan, WA; Hauler, F; Williams, CR; Bidgood, SR; Mallery, DL; Crowther, RA; James, LC</t>
  </si>
  <si>
    <t>McEwan, W. A.; Hauler, F.; Williams, C. R.; Bidgood, S. R.; Mallery, D. L.; Crowther, R. A.; James, L. C.</t>
  </si>
  <si>
    <t>Regulation of Virus Neutralization and the Persistent Fraction by TRIM21</t>
  </si>
  <si>
    <t>JOURNAL OF VIROLOGY</t>
  </si>
  <si>
    <t>HUMAN ALPHA-DEFENSINS; ANIMAL VIRUSES; MONOCLONAL-ANTIBODY; HELA-CELLS; HOST-CELL; ADENOVIRUS; POLIOVIRUS; INFECTION; BINDING; MECHANISMS</t>
  </si>
  <si>
    <t>Despite a central role in immunity, antibody neutralization of virus infection is poorly understood. Here we show how the neutralization and persistence of adenovirus type 5, a prevalent nonenveloped human virus, are dependent upon the intracellular antibody receptor TRIM21. Cells with insufficient amounts of TRIM21 are readily infected, even at saturating concentrations of neutralizing antibody. Conversely, high TRIM21 expression levels decrease the persistent fraction of the infecting virus and allows neutralization by as few as 1.6 antibody molecules per virus. The direct interaction between TRIM21 and neutralizing antibody is essential, as single-point mutations within the TRIM21-binding site in the Fc region of a potently neutralizing antibody impair neutralization. However, infection at high multiplicity can saturate TRIM21 and overcome neutralization. These results provide insight into the mechanism and importance of a newly discovered, effector-driven process of antibody neutralization of nonenveloped viruses.</t>
  </si>
  <si>
    <t>[McEwan, W. A.; Hauler, F.; Bidgood, S. R.; Mallery, D. L.; Crowther, R. A.; James, L. C.] MRC Lab Mol Biol, Cambridge, England; [Williams, C. R.] British Antarctic Survey, Cambridge CB3 0ET, England</t>
  </si>
  <si>
    <t>MRC Laboratory Molecular Biology; UK Research &amp; Innovation (UKRI); Natural Environment Research Council (NERC); NERC British Antarctic Survey</t>
  </si>
  <si>
    <t>James, LC (corresponding author), MRC Lab Mol Biol, Cambridge, England.</t>
  </si>
  <si>
    <t>lcj@mrc-lmb.cam.ac.uk</t>
  </si>
  <si>
    <t>James, Leo/HNQ-9770-2023</t>
  </si>
  <si>
    <t>Mallery, Donna/0000-0003-2713-5215; McEwan, William/0000-0002-4408-0407; Bidgood, Susanna/0000-0002-0426-6565</t>
  </si>
  <si>
    <t>Medical Research Council [MC_U105184322, MC_U105181010] Funding Source: Medline; MRC [MC_U105181010, MC_U105184322] Funding Source: UKRI; NERC [bas0100027] Funding Source: UKRI; Medical Research Council [MC_U105184322, MC_U105181010] Funding Source: researchfish; Natural Environment Research Council [bas0100027] Funding Source: researchfish</t>
  </si>
  <si>
    <t>Medical Research Council(UK Research &amp; Innovation (UKRI)Medical Research Council UK (MRC)); MRC(UK Research &amp; Innovation (UKRI)Medical Research Council UK (MRC)); NERC(UK Research &amp; Innovation (UKRI)Natural Environment Research Council (NERC)); Medical Research Council(UK Research &amp; Innovation (UKRI)Medical Research Council UK (MRC)); Natural Environment Research Council(UK Research &amp; Innovation (UKRI)Natural Environment Research Council (NERC))</t>
  </si>
  <si>
    <t>0022-538X</t>
  </si>
  <si>
    <t>J VIROL</t>
  </si>
  <si>
    <t>J. Virol.</t>
  </si>
  <si>
    <t>10.1128/JVI.00728-12</t>
  </si>
  <si>
    <t>Virology</t>
  </si>
  <si>
    <t>984NS</t>
  </si>
  <si>
    <t>WOS:000307198300014</t>
  </si>
  <si>
    <t>Cottin, M; Raymond, B; Kato, A; Amélineau, F; Le Maho, Y; Raclot, T; Galton-Fenzi, B; Meijers, A; Ropert-Coudert, Y</t>
  </si>
  <si>
    <t>Cottin, Manuelle; Raymond, Ben; Kato, Akiko; Amelineau, Francoise; Le Maho, Yvon; Raclot, Thierry; Galton-Fenzi, Ben; Meijers, Andrew; Ropert-Coudert, Yan</t>
  </si>
  <si>
    <t>Foraging strategies of male Adelie penguins during their first incubation trip in relation to environmental conditions</t>
  </si>
  <si>
    <t>SEA-ICE; BODY-MASS; SATELLITE TRACKING; PYGOSCELIS-ADELIAE; EMPEROR PENGUINS; SEASONAL-CHANGES; AD,LIE PENGUINS; ANTARCTIC KRILL; STABLE-ISOTOPES; DIVING BEHAVIOR</t>
  </si>
  <si>
    <t>Knowledge of habitat use by top marine predators in response to environmental conditions is crucial in the current context of global changes occurring in the Southern Ocean. We examined the at-sea locations of male Ad,lie penguins (Pygoscelis adeliae) breeding at Dumont d'Urville during their first, long incubation trip. Compared with the chick-rearing period, penguins performed longer trips, going to oceanic waters as far as 320 km from the colony. We observed 3 strategies: (1) five individuals covered large distances to the north, targeting open-ocean areas and following the currents of two persistent eddies; (2) five individuals foraged to the north-west, close to the Antarctic shelf slope at the limit of the pack ice; and (3) three individuals covered much shorter distances (northwards or eastwards). The foraging range also seemed to be limited by the body condition of the penguins before their departure to sea.</t>
  </si>
  <si>
    <t>[Cottin, Manuelle; Kato, Akiko; Amelineau, Francoise; Le Maho, Yvon; Raclot, Thierry; Ropert-Coudert, Yan] Univ Strasbourg, CNRS, UMR 7178, IPHC DEPE, F-67087 Strasbourg 2, France; [Cottin, Manuelle; Kato, Akiko; Amelineau, Francoise; Le Maho, Yvon; Raclot, Thierry; Ropert-Coudert, Yan] CNRS, UMR7178, F-67037 Strasbourg, France; [Raymond, Ben] Australian Antarctic Div, Dept Sustainabil Environm Water Populat &amp; Commun, Kingston, Tas 7050, Australia; [Raymond, Ben; Galton-Fenzi, Ben] Univ Tasmania, Antarctic Climate &amp; Ecosyst Cooperat Res Ctr, Hobart, Tas 7001, Australia; [Meijers, Andrew] British Antarctic Survey, Cambridge CB3 0ET, England</t>
  </si>
  <si>
    <t>Universites de Strasbourg Etablissements Associes; Universite de Strasbourg; Centre National de la Recherche Scientifique (CNRS); Centre National de la Recherche Scientifique (CNRS); CNRS - National Institute of Nuclear and Particle Physics (IN2P3); Universites de Strasbourg Etablissements Associes; Universite de Strasbourg; Australian Antarctic Division; Antarctic Climate &amp; Ecosystems Cooperative Research Centre (ACE CRC); University of Tasmania; UK Research &amp; Innovation (UKRI); Natural Environment Research Council (NERC); NERC British Antarctic Survey</t>
  </si>
  <si>
    <t>Cottin, M (corresponding author), Univ Strasbourg, CNRS, UMR 7178, IPHC DEPE, 23 Rue Becquerel, F-67087 Strasbourg 2, France.</t>
  </si>
  <si>
    <t>manuelle.cottin@iphc.cnrs.fr; docyaounde@gmail.com</t>
  </si>
  <si>
    <t>Kato, Akiko/W-2447-2019; Amelineau, Francoise/AAD-4833-2019</t>
  </si>
  <si>
    <t>Amelineau, Francoise/0000-0001-9723-5858; Kato, Akiko/0000-0002-8947-3634; Galton-Fenzi, Benjamin Keith/0000-0003-1404-4103</t>
  </si>
  <si>
    <t>French Polar Institute; Terres Australes et Antarctiques Francaises (TAAF); Region Alsace; Natural Environment Research Council [bas0100028] Funding Source: researchfish; NERC [bas0100028] Funding Source: UKRI</t>
  </si>
  <si>
    <t>French Polar Institute; Terres Australes et Antarctiques Francaises (TAAF); Region Alsace(Region Grand-Est); Natural Environment Research Council(UK Research &amp; Innovation (UKRI)Natural Environment Research Council (NERC)); NERC(UK Research &amp; Innovation (UKRI)Natural Environment Research Council (NERC))</t>
  </si>
  <si>
    <t>This study was approved by the ethic committee and supported logistically and financially by the French Polar Institute (IPEV, program 137 ECOPHY-ANTAVIA) and the Terres Australes et Antarctiques Francaises (TAAF). M. Cottin was supported by a grant from the Region Alsace. We are grateful to WWF and especially R. Downie for funding. We are indebted to M. Debin and A-M. Thierry for their great help in the field. We thank Dr. J. P. Robin for lyophilizing blood samples, P. Richard and G. Guillou for stable isotope measurements and H. Gachot-Neveu and M. Beaugey for molecular sexing. Finally, we also thank Dr. S. Aoki for explanations about oceanography parameters around Dumont d'Urville.</t>
  </si>
  <si>
    <t>10.1007/s00227-012-1974-x</t>
  </si>
  <si>
    <t>978HL</t>
  </si>
  <si>
    <t>WOS:000306731300019</t>
  </si>
  <si>
    <t>Carroll, EL; Childerhouse, SJ; Christie, M; Lavery, S; Patenaude, N; Alexander, A; Constantine, R; Steel, D; Boren, L; Baker, CS</t>
  </si>
  <si>
    <t>Carroll, Emma L.; Childerhouse, Simon J.; Christie, Mark; Lavery, Shane; Patenaude, Nathalie; Alexander, Alana; Constantine, Rochelle; Steel, Debbie; Boren, Laura; Baker, C. Scott</t>
  </si>
  <si>
    <t>Paternity assignment and demographic closure in the New Zealand southern right whale</t>
  </si>
  <si>
    <t>MOLECULAR ECOLOGY</t>
  </si>
  <si>
    <t>gametic mark recapture; geneflow; population structure</t>
  </si>
  <si>
    <t>SEX-BIASED DISPERSAL; MALE REPRODUCTIVE SUCCESS; ATLANTIC RIGHT WHALE; HUMPBACK WHALES; POPULATION-STRUCTURE; NATURAL-POPULATIONS; MICROSATELLITE LOCI; MEGAPTERA-NOVAEANGLIAE; EUBALAENA-AUSTRALIS; WINTERING GROUNDS</t>
  </si>
  <si>
    <t>The identification and characterization of reproductively isolated subpopulations or stocks are essential for effective conservation and management decisions. This can be difficult in vagile marine species like marine mammals. We used paternity assignment and gametic recapture to examine the reproductive autonomy of southern right whales (Eubalaena australis) on their New Zealand (NZ) calving grounds. We derived DNA profiles for 34 mothercalf pairs from skin biopsy samples, using sex-specific markers, 13 microsatellite loci and mtDNA haplotypes. We constructed DNA profiles for 314 adult males, representing 30% of the census male abundance of the NZ stock, previously estimated from genotypic mark-recapture modelling to be 1085 (95% CL 855, 1416). Under the hypothesis of demographic closure and the assumption of equal reproductive success among males, we predict: (i) the proportion of paternities assigned will reflect the proportion of the male population sampled and (ii) the gametic markrecapture (GMR) estimate of male abundance will be equivalent to the census male estimate for the NZ stock. Consistent with these predictions, we found that the proportion of assigned paternities equalled the proportion of the census male population size sampled. Using the sample of males as the initial capture, and paternity assignment as the recapture, the GMR estimate of male abundance was 1001 (95% CL 542, 1469), similar to the male census estimate. These findings suggest that right whales returning to the NZ calving ground are reproductively autonomous on a generational timescale, as well as isolated by maternal fidelity on an evolutionary timescale, from others in the Indo-Pacific region.</t>
  </si>
  <si>
    <t>[Carroll, Emma L.; Lavery, Shane; Constantine, Rochelle; Baker, C. Scott] Univ Auckland, Sch Biol Sci, Auckland 1010, New Zealand; [Childerhouse, Simon J.] Australian Antarctic Div, Australian Marine Mammal Ctr, Kingston, Tas 7050, Australia; [Christie, Mark] Oregon State Univ, Dept Zool, Corvallis, OR 97331 USA; [Patenaude, Nathalie] LGL Ltd, Environm Res Associates, King City, ON L7B 1A6, Canada; [Alexander, Alana; Steel, Debbie; Baker, C. Scott] Oregon State Univ, Hatfield Marine Sci Ctr, Marine Mammal Inst, Newport, OR 97365 USA; [Alexander, Alana; Steel, Debbie; Baker, C. Scott] Oregon State Univ, Hatfield Marine Sci Ctr, Dept Fisheries &amp; Wildlife, Newport, OR 97365 USA; [Boren, Laura] Natl Off, New Zealand Dept Conservat, Wellington 6011, New Zealand</t>
  </si>
  <si>
    <t>University of Auckland; Australian Antarctic Division; Oregon State University; Oregon State University; Oregon State University</t>
  </si>
  <si>
    <t>Carroll, EL (corresponding author), Univ Auckland, Sch Biol Sci, 3A Symonds St, Auckland 1010, New Zealand.</t>
  </si>
  <si>
    <t>ecar026@aucklanduni.ac.nz</t>
  </si>
  <si>
    <t>Carroll, Emma/U-9133-2019; Lavery, Shane/AFX-7929-2022; Christie, Mark R/A-8590-2011</t>
  </si>
  <si>
    <t>Carroll, Emma/0000-0003-3193-7288; Lavery, Shane/0000-0003-3038-292X; Alexander, Alana/0000-0002-6456-7757; Christie, Mark/0000-0001-7285-5364; Constantine, Rochelle/0000-0003-3260-539X; Steel, Debbie/0000-0001-5898-2850</t>
  </si>
  <si>
    <t>Whale and Dolphin Conservation Society; U.S. Department of State; Auckland University Research Council; NZ Marsden Fund; Winifred Violet Scott Estate Research Grant Fund; Australian Antarctic Division; Marine Conservation Action Fund; Blue Planet Marine NZ Ltd; Holsworth Wildlife Research endowment; NZ Ministry of Foreign Affairs; NZ Department of Conservation; South Pacific Whale Research Consortium; National Geographic Magazine; Brian Skerry Photography; Department of Conservation; Heseltine Trust; OMV NZ Ltd. Scholarship; Tertiary Education Commission Top Achiever Scholarship; School of Biological Sciences, University of Auckland PBRF development fund scholarship</t>
  </si>
  <si>
    <t>Whale and Dolphin Conservation Society; U.S. Department of State; Auckland University Research Council; NZ Marsden Fund(Royal Society of New ZealandMarsden Fund (NZ)); Winifred Violet Scott Estate Research Grant Fund; Australian Antarctic Division; Marine Conservation Action Fund; Blue Planet Marine NZ Ltd; Holsworth Wildlife Research endowment; NZ Ministry of Foreign Affairs; NZ Department of Conservation; South Pacific Whale Research Consortium; National Geographic Magazine; Brian Skerry Photography; Department of Conservation; Heseltine Trust; OMV NZ Ltd. Scholarship; Tertiary Education Commission Top Achiever Scholarship; School of Biological Sciences, University of Auckland PBRF development fund scholarship</t>
  </si>
  <si>
    <t>The 1995-1998 Auckland Islands field trips were funded by Whale and Dolphin Conservation Society, the U.S. Department of State (Program for Cooperative US/New Zealand (NZ) Antarctic Research), the Auckland University Research Council, and the NZ Marsden Fund. The 2006-2009 field seasons were funded by Winifred Violet Scott Estate Research Grant Fund, Australian Antarctic Division, Marine Conservation Action Fund, Blue Planet Marine NZ Ltd, Holsworth Wildlife Research endowment, NZ Ministry of Foreign Affairs, NZ Department of Conservation, South Pacific Whale Research Consortium, National Geographic Magazine and Brian Skerry Photography. Lab work was funded by the NZ Marsden Fund, Department of Conservation, the Heseltine Trust and an OMV NZ Ltd. Scholarship to EC. EC was supported by a Tertiary Education Commission Top Achiever Scholarship and a School of Biological Sciences, University of Auckland PBRF development fund scholarship.</t>
  </si>
  <si>
    <t>0962-1083</t>
  </si>
  <si>
    <t>MOL ECOL</t>
  </si>
  <si>
    <t>Mol. Ecol.</t>
  </si>
  <si>
    <t>10.1111/j.1365-294X.2012.05676.x</t>
  </si>
  <si>
    <t>980MN</t>
  </si>
  <si>
    <t>WOS:000306897500007</t>
  </si>
  <si>
    <t>Sallée, JB; Matear, RJ; Rintoul, SR; Lenton, A</t>
  </si>
  <si>
    <t>Sallee, Jean-Baptiste; Matear, Richard J.; Rintoul, Stephen R.; Lenton, Andrew</t>
  </si>
  <si>
    <t>Localized subduction of anthropogenic carbon dioxide in the Southern Hemisphere oceans</t>
  </si>
  <si>
    <t>CO2 UPTAKE; TRANSPORT; STORAGE; SINK</t>
  </si>
  <si>
    <t>The oceans slow the rate of climate change by absorbing about 25% of anthropogenic carbon dioxide emissions annually. The Southern Ocean makes a substantial contribution to this oceanic carbon sink: more than 40% of the anthropogenic carbon dioxide in the ocean has entered south of 40 degrees S. The rate-limiting step in the oceanic sequestration of anthropogenic carbon dioxide is the transfer of carbon across the base of the surface mixed layer into the ocean interior, a process known as subduction. However, the physical mechanisms responsible for the subduction of anthropogenic carbon dioxide are poorly understood. Here we use observationally based estimates of subduction and anthropogenic carbon concentrations in the Southern Ocean to determine the mechanisms responsible for carbon sequestration. We estimate that net subduction amounts to 0.42 +/- 0.2 Pg C yr(-1) between 35 degrees S and the marginal sea-ice zone. We show that subduction occurs in specific locations as a result of the interplay of wind-driven Ekman transport, eddy fluxes and variations in mixed-layer depth. The zonal distribution of the estimated subduction is consistent with the distribution of anthropogenic carbon dioxide in the ocean interior. We conclude that oceanic carbon sequestration depends on physical properties, such as mixed-layer depth, ocean currents, wind and eddies, which are potentially sensitive to climate variability and change.</t>
  </si>
  <si>
    <t>[Sallee, Jean-Baptiste] British Antarctic Survey, Cambridge CB3 0ET, England; [Matear, Richard J.; Rintoul, Stephen R.; Lenton, Andrew] CMAR CSIRO, Hobart, Tas 7000, Australia; [Rintoul, Stephen R.] Antarctic Climate &amp; Ecosyst Cooperat Res Ctr, Sandy Bay, Tas 7005, Australia</t>
  </si>
  <si>
    <t>UK Research &amp; Innovation (UKRI); Natural Environment Research Council (NERC); NERC British Antarctic Survey; Commonwealth Scientific &amp; Industrial Research Organisation (CSIRO); Antarctic Climate &amp; Ecosystems Cooperative Research Centre (ACE CRC)</t>
  </si>
  <si>
    <t>Sallée, JB (corresponding author), British Antarctic Survey, Madingley Rd, Cambridge CB3 0ET, England.</t>
  </si>
  <si>
    <t>jbsallee@gmail.com</t>
  </si>
  <si>
    <t>SALLEE, Jean baptiste/HDO-5355-2022; Rintoul, Stephen R/A-1471-2012; matear, richard/C-5133-2011; Lenton, Andrew/D-2077-2012; SALLEE, Jean baptiste/A-5837-2010</t>
  </si>
  <si>
    <t>Rintoul, Stephen R/0000-0002-7055-9876; matear, richard/0000-0002-3225-0800; Lenton, Andrew/0000-0001-9437-8896; SALLEE, Jean baptiste/0000-0002-6109-5176</t>
  </si>
  <si>
    <t>CSIRO Wealth from Oceans National Research Flagship; Australian Climate Change Science Programme; Australian Government through the Antarctic Climate and Ecosystems Cooperative Research Centre; CSIRO Office of the Chief Executive; NERC [bas0100028, NE/E005667/1] Funding Source: UKRI; Natural Environment Research Council [bas0100028, NE/E005667/1] Funding Source: researchfish</t>
  </si>
  <si>
    <t>CSIRO Wealth from Oceans National Research Flagship; Australian Climate Change Science Programme; Australian Government through the Antarctic Climate and Ecosystems Cooperative Research Centre(Australian GovernmentDepartment of Industry, Innovation and ScienceCooperative Research Centres (CRC) Programme); CSIRO Office of the Chief Executive(Commonwealth Scientific &amp; Industrial Research Organisation (CSIRO)); NERC(UK Research &amp; Innovation (UKRI)Natural Environment Research Council (NERC)); Natural Environment Research Council(UK Research &amp; Innovation (UKRI)Natural Environment Research Council (NERC))</t>
  </si>
  <si>
    <t>The comments from T. Ito on an earlier version of this manuscript and from N. Gruber have greatly improved this work. The authors would like to acknowledge the financial support of the CSIRO Wealth from Oceans National Research Flagship, the Australian Climate Change Science Programme and from the Australian Government's Cooperative Research Centre programme through the Antarctic Climate and Ecosystems Cooperative Research Centre. J-B.S. started this work with the support of a CSIRO Office of the Chief Executive Postdoctoral Fellowship.</t>
  </si>
  <si>
    <t>10.1038/NGEO1523</t>
  </si>
  <si>
    <t>WOS:000307099000018</t>
  </si>
  <si>
    <t>Kuhlbrodt, T; Smith, RS; Wang, Z; Gregory, JM</t>
  </si>
  <si>
    <t>Kuhlbrodt, T.; Smith, R. S.; Wang, Z.; Gregory, J. M.</t>
  </si>
  <si>
    <t>The influence of eddy parameterizations on the transport of the Antarctic Circumpolar Current in coupled climate models</t>
  </si>
  <si>
    <t>OCEAN MODELLING</t>
  </si>
  <si>
    <t>Antarctic Circumpolar Current; IPCC AR4 GCMs; Southern Ocean; Eddy parameterizations; Eddy-induced transports; Isopycnal diffusivity</t>
  </si>
  <si>
    <t>GLOBAL OCEAN CIRCULATION; SEA-ICE; SENSITIVITY; EDDIES; SIMULATION; VERSION</t>
  </si>
  <si>
    <t>The transport of the Antarctic Circumpolar Current (ACC) varies strongly across the coupled GCMs (general circulation models) used for the IPCC AR4. This note shows that a large fraction of this across-model variance can be explained by relating it to the parameterization of eddy-induced transports. In the majority of models this parameterization is based on the study by Gent and McWilliams (1990). The main parameter is the quasi-Stokes diffusivity kappa (often referred to less accurately as ''thickness diffusion''). The ACC transport and the meridional density gradient both correlate strongly with kappa across those models where kappa is a prescribed constant. In contrast, there is no correlation with the isopycnal diffusivity kappa(iso) across the models. The sensitivity of the ACC transport to kappa is larger than to the zonal wind stress maximum. Experiments with the fast GCM FAMOUS show that changing kappa directly affects the ACC transport by changing the density structure throughout the water column. Our results suggest that this limits the role of the wind stress magnitude in setting the ACC transport in FAMOUS. The sensitivities of the ACC and the meridional density gradient are very similar across the AR4 GCMs (for those models where kappa is a prescribed constant) and among the FAMOUS experiments. The strong sensitivity of the ACC transport to kappa needs careful assessment in climate models. (C) 2012 Elsevier Ltd. All rights reserved.</t>
  </si>
  <si>
    <t>[Kuhlbrodt, T.; Smith, R. S.; Gregory, J. M.] Univ Reading, Dept Meteorol, NCAS Climate, Earley Gate RG6 6BB, England; [Wang, Z.] British Antarctic Survey, Cambridge CB3 0ET, England; [Gregory, J. M.] MetOffice, Exeter EX1 3PB, Devon, England</t>
  </si>
  <si>
    <t>University of Reading; UK Research &amp; Innovation (UKRI); Natural Environment Research Council (NERC); NERC British Antarctic Survey; Met Office - UK</t>
  </si>
  <si>
    <t>Kuhlbrodt, T (corresponding author), Univ Reading, Dept Meteorol, NCAS Climate, POB 243, Earley Gate RG6 6BB, England.</t>
  </si>
  <si>
    <t>t.kuhlbrodt@reading.ac.uk</t>
  </si>
  <si>
    <t>Gregory, Jonathan/J-2939-2016</t>
  </si>
  <si>
    <t>Gregory, Jonathan/0000-0003-1296-8644; Kuhlbrodt, Till/0000-0003-2328-6729; Smith, Robin/0000-0001-7479-7778</t>
  </si>
  <si>
    <t>European Research Council under the European Community; ERC [247220]; European Community; NERC [NE/E005667/1, bas0100028] Funding Source: UKRI; Natural Environment Research Council [ncas10009, bas0100028, NE/E005667/1] Funding Source: researchfish; European Research Council (ERC) [247220] Funding Source: European Research Council (ERC)</t>
  </si>
  <si>
    <t>European Research Council under the European Community(European Research Council (ERC)); ERC(European Research Council (ERC)); European Community; NERC(UK Research &amp; Innovation (UKRI)Natural Environment Research Council (NERC)); Natural Environment Research Council(UK Research &amp; Innovation (UKRI)Natural Environment Research Council (NERC)); European Research Council (ERC)(European Research Council (ERC)Spanish Government)</t>
  </si>
  <si>
    <t>We acknowledge the modeling groups for making their model output available for analysis, the PCMDI for collecting and archiving this data, and the WCRP's Working Group on Coupled Modelling (WGCM) for organizing the model data analysis activity. We are grateful to Johann Jungclaus for giving us access to the control run of MPI_ECHAM5. The research leading to these results has received funding from the European Research Council under the European Community's Seventh Framework Programme (FP7/2007-2013), ERC grant agreement number 247220, project Seachange''. In addition, TK was supported by a Marie Curie Intra-European Fellowship within the 7th European Community Framework Programme. FAMOUS was integrated on HECToR, the UK National Supercomputing resource.</t>
  </si>
  <si>
    <t>1463-5003</t>
  </si>
  <si>
    <t>1463-5011</t>
  </si>
  <si>
    <t>OCEAN MODEL</t>
  </si>
  <si>
    <t>Ocean Model.</t>
  </si>
  <si>
    <t>52-53</t>
  </si>
  <si>
    <t>10.1016/j.ocemod.2012.04.006</t>
  </si>
  <si>
    <t>Meteorology &amp; Atmospheric Sciences; Oceanography</t>
  </si>
  <si>
    <t>970YU</t>
  </si>
  <si>
    <t>WOS:000306169200001</t>
  </si>
  <si>
    <t>Sanyika, TW; Stafford, W; Cowan, DA</t>
  </si>
  <si>
    <t>Sanyika, Tendai Walter; Stafford, William; Cowan, Don A.</t>
  </si>
  <si>
    <t>The soil and plant determinants of community structures of the dominant actinobacteria in Marion Island terrestrial habitats, Sub-Antarctica</t>
  </si>
  <si>
    <t>Marion Island; Soil; Plants; Actinobacterial community structure; 16S rRNA gene; DGGE</t>
  </si>
  <si>
    <t>SELECTIVE ISOLATION; RIBOSOMAL-RNA; MICROBIAL DIVERSITY; DIFFERENTIAL CENTRIFUGATION; BACTERIAL DIVERSITY; GRADIENT; MICROORGANISMS; POPULATIONS; DNA; DECOMPOSITION</t>
  </si>
  <si>
    <t>Marion Island is a Sub-Antarctic island made up of distinct ecological habitats based on soil physiochemical, plant cover and physical characteristics. The microbial diversity and ecological determinants in this harsh Sub-Antarctic environment are largely uncharacterized. Actinobacteria have diverse ecological functions related to soil and plant functioning. This study was aimed at characterizing the diversity and community structures of the dominant actinobacteria in the distinct habitats and to identify their determinant soil and plant characteristics. Using the 16S rRNA gene, the denaturing gradient gel electrophoresis patterns and clone library diversity were correlated with the soil and plant characteristics. Multivariate statistical methods were also used to identify determinant soil and plant characteristics. Salinity and pH were the most important soil determinants, and a number of important site-specific plant species may have been important. The Coastal Fellfield Habitat was dominated by sequences of the suborders Micrococcineae (44%) and Propionibacterineae (18%), with salinity identified as the principal determinant. The Cotula Herbfield Habitat was dominated by Frankineae (37%) and Streptosporangineae (38%), which were correlated with organic nutrient concentrations. The Wet Mire Habitat was dominated by Acidimicrobineae (61%), with moisture and organic carbon content as principal components. Culture-dependent studies were complementary to culture-independent studies with the majority of actinobacteria isolated not identified in 16S rRNA gene clone libraries. This study demonstrates how the soil physiochemical characteristics and plant species independently determine the community structures of the dominant actinobacteria in distinct ecological habitats. These factors subsequently influence their ecological adaptation, roles and functions.</t>
  </si>
  <si>
    <t>[Sanyika, Tendai Walter] Univ Zimbabwe, Dept Biochem, Harare, Zimbabwe; [Sanyika, Tendai Walter; Cowan, Don A.] Univ Western Cape, Inst Microbial Biotechnol &amp; Metagen, ZA-7535 Bellville, South Africa; [Stafford, William] CSIR, ZA-7600 Stellenbosch, South Africa</t>
  </si>
  <si>
    <t>University of Zimbabwe; University of the Western Cape; Council for Scientific &amp; Industrial Research (CSIR) - South Africa</t>
  </si>
  <si>
    <t>Sanyika, TW (corresponding author), Univ Zimbabwe, Dept Biochem, POB MP, Harare, Zimbabwe.</t>
  </si>
  <si>
    <t>waltersanyika@yahoo.com</t>
  </si>
  <si>
    <t>Cowan, Donald A/E-3991-2012</t>
  </si>
  <si>
    <t>Cowan, Donald A/0000-0001-8059-861X</t>
  </si>
  <si>
    <t>National Research Foundation (NRF) of South Africa</t>
  </si>
  <si>
    <t>National Research Foundation (NRF) of South Africa(National Research Foundation - South Africa)</t>
  </si>
  <si>
    <t>The authors gratefully thank the National Research Foundation (NRF) of South Africa for funding this PhD work under the (SANAP) programme. We would also like to thank Maphefo Wendy Sekgota for helping with the isolation of actinobacteria and Marla Tuffin for editing the manuscript.</t>
  </si>
  <si>
    <t>10.1007/s00300-012-1160-0</t>
  </si>
  <si>
    <t>973FW</t>
  </si>
  <si>
    <t>WOS:000306345800001</t>
  </si>
  <si>
    <t>Sochting, U; Castello, M</t>
  </si>
  <si>
    <t>Sochting, U.; Castello, M.</t>
  </si>
  <si>
    <t>The polar lichens Caloplaca darbishirei and C-soropelta highlight the direction of bipolar migration</t>
  </si>
  <si>
    <t>Antarctica; Bipolar; Caloplaca citrina; ITS; Phylogeography; Long-range dispersal</t>
  </si>
  <si>
    <t>CITRINA GROUP; ASCOMYCOTA; INFERENCE; TAXONOMY; MRBAYES</t>
  </si>
  <si>
    <t>A proper phytogeographic affiliation of Antarctic lichen species has become feasible using molecular phylogeographic methods. Caloplaca citrina is a heterogeneous taxon including several species which occurs in polar regions and is common in Antarctica. Collections of C. citrina from the Antarctic were revised using morphological, anatomical and molecular characters (ITS). They were found to belong to two species: Caloplaca darbishirei (C.W. Dodge &amp; G.E. Baker) Cretz. and C. soropelta (E.S. Hansen, Poelt &amp; Sochting) Sochting. The molecular phylogeny showed them to be sister species, but well separated. Morphological and chemical characters, ecology and distribution of the species are discussed. C. darbishirei is the most common species in the Antarctic, and it is so far known only from Antarctica and Southern South America. C. soropelta, reported here as new to South America, is a bipolar species with all close relatives in the Southern Hemisphere; it is therefore most likely that the species colonized the Arctic from the south. C. citrina s. str. is not confirmed to occur in Antarctica. The study emphasizes the suitability of genotyping for understanding the taxonomy and phylogeography of bipolar lichens.</t>
  </si>
  <si>
    <t>[Sochting, U.] Univ Copenhagen, Dept Biol, Sect Ecol &amp; Evolut, DK-2100 Copenhagen O, Denmark; [Castello, M.] Univ Trieste, Dept Life Sci, I-34127 Trieste, Italy</t>
  </si>
  <si>
    <t>University of Copenhagen; University of Trieste</t>
  </si>
  <si>
    <t>Sochting, U (corresponding author), Univ Copenhagen, Dept Biol, Sect Ecol &amp; Evolut, Univ Pk 15, DK-2100 Copenhagen O, Denmark.</t>
  </si>
  <si>
    <t>ulriks@bio.ku.dk</t>
  </si>
  <si>
    <t>; Sochting, Ulrik/M-2886-2014</t>
  </si>
  <si>
    <t>CASTELLO, Miris/0000-0002-5081-0365; Sochting, Ulrik/0000-0001-7122-9425</t>
  </si>
  <si>
    <t>Carlsberg Foundation [2008_01_0645]</t>
  </si>
  <si>
    <t>Carlsberg Foundation(Carlsberg Foundation)</t>
  </si>
  <si>
    <t>Lene Christiansen performed the HPLC analyses, Lisbeth Knudsen assisted with molecular sequencing, and Bjorn Hermansen prepared the maps. Rod Seppelt, Hobart, Tasmania and Helen Peat, British Antarctic Survey, Cambridge, provided information and material from HOB and AAS, respectively. Leopoldo G. Sancho organized field work in Tierra del Fuego. Farlow Herbarium (FH) is thanked for loan of type material. The study was supported by grant 2008_01_0645 from the Carlsberg Foundation to the first author.</t>
  </si>
  <si>
    <t>10.1007/s00300-012-1161-z</t>
  </si>
  <si>
    <t>WOS:000306345800002</t>
  </si>
  <si>
    <t>Siegel, V</t>
  </si>
  <si>
    <t>Siegel, Volker</t>
  </si>
  <si>
    <t>Krill stocks in high latitudes of the Antarctic Lazarev Sea: seasonal and interannual variation in distribution, abundance and demography</t>
  </si>
  <si>
    <t>Euphausia superba; Winter survey; Population dynamics; Re-maturation; Day-night comparison</t>
  </si>
  <si>
    <t>EUPHAUSIA-SUPERBA DANA; SOUTHERN WEDDELL SEA; MARGINAL ICE-ZONE; ATLANTIC SECTOR; AUSTRAL SUMMER; CIRCUMPOLAR CURRENT; VERTICAL MIGRATION; SCALE DISTRIBUTION; SCOTIA SEA; OCEAN</t>
  </si>
  <si>
    <t>The motivation of the LAKRIS project (Lazarev Krill Study) was to investigate the seasonal and interannual variability in distribution, demography, phenology and population dynamics of Antarctic krill Euphausia superba in poorly studied high-latitude areas. The core data set consists of four RMT-net-sampling surveys that were conducted in early summer (December 2005 and 2007), autumn (April 2004) and winter (July to August 2006). Supplementary data were analysed from the 1980s to view the results in a wider geographical context. The major observations are the following: (1) krill abundance and distribution showed geographical, seasonal and interannual fluctuations. Krill abundance was almost one order of magnitude lower compared to the Southwest Atlantic. (2) Krill density showed substantial differences between day and night for autumn and winter surveys. (3) A spatial gradient was observed for krill size groups, with larger sized (adult spawning) krill further south and medium-sized juveniles and immatures mainly between 60A degrees and 67A degrees S. (4) Data on maturity stage composition and larvae occurrence indicate an active and successful spawning in these high-latitude areas even under the conditions of sea-ice cover. At the end of the spawning season, females and males regressed in their external sexual characteristics ('re-juvenation') to overwintering immature stages. Major conclusions relate to a conceptual view of the spatial distribution of krill size classes and the occurrence of larvae in the context of major oceanographic features and current systems in the Lazarev Sea and adjacent ocean sectors. The Lazarev Sea obviously does not support a single self-maintaining population, but represents a complex transition zone of stocks with different origins from the Scotia Sea and the Cosmonaut Sea.</t>
  </si>
  <si>
    <t>Johann Heinrich von Thunen Inst Seefischerei, D-22767 Hamburg, Germany</t>
  </si>
  <si>
    <t>Johann Heinrich von Thunen Institute</t>
  </si>
  <si>
    <t>Siegel, V (corresponding author), Johann Heinrich von Thunen Inst Seefischerei, Palmaille 9, D-22767 Hamburg, Germany.</t>
  </si>
  <si>
    <t>volker.siegel@vti.bund.de</t>
  </si>
  <si>
    <t>German Ministry of Education and Research (BMBF) [03F0406A]; Lazarev Sea Krill Study (LAKRIS) Project</t>
  </si>
  <si>
    <t>German Ministry of Education and Research (BMBF)(Federal Ministry of Education &amp; Research (BMBF)); Lazarev Sea Krill Study (LAKRIS) Project</t>
  </si>
  <si>
    <t>The author would like to thank the captain and crew of RV 'Polarstern' for their professional support during all LAKRIS cruises. The author also acknowledges the support of the colleagues on board, in particular Bosse Bergstrom. Matilda Haraldsson, Susanne Scholing, Martina Vortkamp and Laura Wurzberg for their excellent technical assistance and hard work during long weeks at sea. The author thanks Angus Atkinson (BAS Cambridge) and Christian Reiss (US AMLR Program, La Jolla) for their comments on the draft manuscript as well as one anonymous referee, So Kawaguchi (AAD Kingston Tas) and Robin Ross (Santa Barbara USA) for their critical and constructive comments during the review process, which helped to considerably improve the manuscript. The ancillary data were made available in a joint German-Russian project in cooperation by Vyacheslav Sushin from AtlantNIRO Kaliningrad, Russia. The research was supported by funding from the German Ministry of Education and Research (BMBF) through project 03F0406A, Subproject 1 of the Lazarev Sea Krill Study (LAKRIS) Project. The LAKRIS Project is the German contribution to the Southern Ocean-Global Ocean Ecosystem Dynamics (SO-GLOBEC) program.</t>
  </si>
  <si>
    <t>10.1007/s00300-012-1162-y</t>
  </si>
  <si>
    <t>WOS:000306345800003</t>
  </si>
  <si>
    <t>Ward, P; Tarling, GA; Coombs, SH; Enderlein, P</t>
  </si>
  <si>
    <t>Ward, Peter; Tarling, Geraint A.; Coombs, Stephen H.; Enderlein, Peter</t>
  </si>
  <si>
    <t>Comparing Bongo net and N70 mesozooplankton catches: using a reconstruction of an original net to quantify historical plankton catch data</t>
  </si>
  <si>
    <t>Bongo net; N70 net; Zooplankton; Southern Ocean; Discovery Investigations; Net comparison</t>
  </si>
  <si>
    <t>GEORGIA SOUTHERN-OCEAN; COMMUNITY STRUCTURE; ANTARCTIC PENINSULA; SCOTIA SEA; VARIABILITY; TEMPERATURE; FOOD; POPULATIONS; TRENDS; KRILL</t>
  </si>
  <si>
    <t>If Southern Ocean plankton communities are changing in response to climate, biases in various nets need to be evaluated to help understand regional and temporal differences between historical and contemporary sample collections. A comparison of the catching ability of a Bongo net (mesh aperture 200 mu m) and a reconstructed version of an N70 net (upper mesh aperture 445 mu m, lower mesh aperture 195 mu m) as used by the Discovery Investigations was therefore undertaken. Forty Bongo and forty N70 samples were obtained from 10 stations in the Southern Ocean during December 2009. Bongo net catch abundance was similar to 3 times greater than the N70 and similar to 4 times greater when only copepod instars &lt; 0.5 mm body length were considered. The Bongo net captured more plankton at all chlorophyll a (Chl a) concentrations encountered, although the difference was less at high Chl a when the N70 appeared to filter all size classes of copepod more efficiently, as well as retaining a relatively greater proportion of non-copepod plankton. Application of these findings was made to a previous study in which N70 samples from 1926/1927 were compared to a series of Bongo net hauls made post-1995. By 'correcting' abundances for net bias among a common set of 45 taxa, N70 data were within the range of variability seen in the Bongo net samples. Making such inter-net comparisons allows us to use historical collections and better judge the nature and magnitude of change in these plankton communities.</t>
  </si>
  <si>
    <t>[Ward, Peter; Tarling, Geraint A.; Enderlein, Peter] British Antarctic Survey, Nat Environm Res Council, Cambridge CB3 0ET, England; [Coombs, Stephen H.] Marine Biol Assoc United Kingdom Lab, Plymouth PL1 2PB, Devon, England</t>
  </si>
  <si>
    <t>UK Research &amp; Innovation (UKRI); Natural Environment Research Council (NERC); NERC British Antarctic Survey; Marine Biological Association United Kingdom</t>
  </si>
  <si>
    <t>Ward, P (corresponding author), British Antarctic Survey, Nat Environm Res Council, Madingley Rd, Cambridge CB3 0ET, England.</t>
  </si>
  <si>
    <t>pwar@bas.ac.uk</t>
  </si>
  <si>
    <t>NERC [MBA010001, bas0100025] Funding Source: UKRI; Natural Environment Research Council [MBA010001, bas0100025] Funding Source: researchfish</t>
  </si>
  <si>
    <t>10.1007/s00300-012-1163-x</t>
  </si>
  <si>
    <t>WOS:000306345800004</t>
  </si>
  <si>
    <t>Zmudczynska, K; Olejniczak, I; Zwolicki, A; Iliszko, L; Convey, P; Stempniewicz, L</t>
  </si>
  <si>
    <t>Zmudczynska, Katarzyna; Olejniczak, Izabela; Zwolicki, Adrian; Iliszko, Lech; Convey, Peter; Stempniewicz, Lech</t>
  </si>
  <si>
    <t>Influence of allochtonous nutrients delivered by colonial seabirds on soil collembolan communities on Spitsbergen</t>
  </si>
  <si>
    <t>Arctic seabirds; Collembola; Nutrients; Ornithogenic tundra; Soil properties; Spitsbergen</t>
  </si>
  <si>
    <t>MOSS-TURF HABITAT; MICROARTHROPOD ASSEMBLAGES; TERRESTRIAL ECOSYSTEMS; ORNITHOGENIC PRODUCTS; ARTHROPOD COMMUNITIES; PENGUIN ROOKERIES; PLANT-COMMUNITIES; SPECIES RICHNESS; LAND; ISLANDS</t>
  </si>
  <si>
    <t>Despite a widespread recognition of the role of seabird colonies in the fertilization of nutrient-poor polar terrestrial ecosystems, qualitative and quantitative data documenting any consequential influence on soil invertebrate communities are still lacking. Therefore, we studied community structure and abundance of springtails (Collembola) in ornithogenic tundra near two large seabird colonies in Hornsund, south-west Spitsbergen. We found considerably (5-20x) higher densities and biomass of Collembola in the vicinities of both colonies (the effect extending up to ca. 50 m from the colony edge) than in comparable control areas of tundra not influenced by allochtonous nutrient input. The most common springtails observed in the seabird-influenced areas were Folsomia quadrioculata, Hypogastrura viatica and Megaphorura arctica. The latter species appeared the most resistant to ornithogenic nutrient input and was found commonly closest to the bird colonies. Collembolan abundance decreased with increasing distance from the seabird colonies. However, relationships between collembolan density and specific physicochemical soil parameters and vegetation characteristics were weak. The most important factors were the cover of the nitrophilous green alga Prasiola crispa, total plant biomass and soil solution conductivity, all of which were correlated with distance from the colony and estimated amount by guano deposition. Community composition and abundance of springtails showed no evidence of being influenced of seabird diet, with no differences apparent between communities found in ornithogenic tundra developing in the vicinity of planktivorous and piscivorous seabird colonies. The study provides confirmation of the influence of marine nutrient input by seabirds on soil microfaunal communities.</t>
  </si>
  <si>
    <t>[Zmudczynska, Katarzyna; Zwolicki, Adrian; Iliszko, Lech; Stempniewicz, Lech] Univ Gdansk, Dept Vertebrate Ecol &amp; Zool, PL-80441 Gdansk, Poland; [Olejniczak, Izabela] Polish Acad Sci, Ctr Ecol Res, PL-05092 Dziekanow Lesny, Lomianki, Poland; [Convey, Peter] British Antarctic Survey, Nat Environm Res Council, Cambridge CB3 0ET, England</t>
  </si>
  <si>
    <t>Fahrenheit Universities; University of Gdansk; Polish Academy of Sciences; UK Research &amp; Innovation (UKRI); Natural Environment Research Council (NERC); NERC British Antarctic Survey</t>
  </si>
  <si>
    <t>Zmudczynska, K (corresponding author), Univ Gdansk, Dept Vertebrate Ecol &amp; Zool, Legionow 9, PL-80441 Gdansk, Poland.</t>
  </si>
  <si>
    <t>biozmud@ug.edu.pl</t>
  </si>
  <si>
    <t>Convey, Peter/AAV-5728-2020; Olejniczak, Izabella/AEV-8367-2022; Zmudczynska-Skarbek, Katarzyna/HNP-0022-2023; Stempniewicz, Lech/JAN-4833-2023</t>
  </si>
  <si>
    <t>Convey, Peter/0000-0001-8497-9903; Olejniczak, Izabella/0000-0003-4746-7874; Stempniewicz, Lech/0000-0001-9405-7320; Zmudczynska-Skarbek, Katarzyna/0000-0003-2276-4565; Zwolicki, Adrian/0000-0003-2710-681X</t>
  </si>
  <si>
    <t>Polish Ministry of Science and Higher Education [1883/P01/2007/32, IPY/25/2007]; Polish-Norwegian Research Fund [PNRF-234-AI-1/07]; NERC [bas0100025] Funding Source: UKRI; Natural Environment Research Council [bas0100025] Funding Source: researchfish</t>
  </si>
  <si>
    <t>Polish Ministry of Science and Higher Education(Ministry of Science and Higher Education, Poland); Polish-Norwegian Research Fund; NERC(UK Research &amp; Innovation (UKRI)Natural Environment Research Council (NERC)); Natural Environment Research Council(UK Research &amp; Innovation (UKRI)Natural Environment Research Council (NERC))</t>
  </si>
  <si>
    <t>We thank Slawomira Fryderyk and Mateusz Barcikowski (University of Gdansk) for assistance in data collection and laboratory analyses, and Bronislaw Wojtun (University of Wroclaw) and Jan Matula (Wroclaw University of Environmental and Life Sciences) for help in botanical analyses. We are also grateful to three anonymous reviewers and the Editor for their constructive comments on the manuscript. This study was supported by the Polish Ministry of Science and Higher Education (Grant Nos. 1883/P01/2007/32 and IPY/25/2007) and the Polish-Norwegian Research Fund (Grant No. PNRF-234-AI-1/07, ALKEKONGE). The study was performed under the permission of the Governor of Svalbard.</t>
  </si>
  <si>
    <t>10.1007/s00300-012-1169-4</t>
  </si>
  <si>
    <t>Green Accepted, hybrid</t>
  </si>
  <si>
    <t>WOS:000306345800009</t>
  </si>
  <si>
    <t>Adams, CJ; Griffin, WL</t>
  </si>
  <si>
    <t>Adams, C. J.; Griffin, W. L.</t>
  </si>
  <si>
    <t>Rodinian detrital zircons in Late Cretaceous sandstones indicate a possible Precambrian basement under southern Zealandia</t>
  </si>
  <si>
    <t>PRECAMBRIAN RESEARCH</t>
  </si>
  <si>
    <t>Detrital zircon; Zircon geochronology; Provenance; Precambrian, Zealandia</t>
  </si>
  <si>
    <t>U-PB GEOCHRONOLOGY; PROVENANCE; AGE; TERRANE; MARGIN; ISLAND; ROCKS; ANTARCTICA; MAGMATISM; AUSTRALIA</t>
  </si>
  <si>
    <t>U-Pb ages of detrital zircons in Late Cretaceous sandstones overlying Paleozoic basement in southern-most Zealandia have unusually high proportions (40%) of Precambrian zircons, mostly Mesoproterozoic (ca. 1100 Ma) and Neoproterozoic (ca. 800 Ma). The proportion of Precambrian (Rodinia), relative to early Paleozoic (Gondwana), zircon groups is anomalously high and the former cannot have been reworked from any known basement rocks within Zealandia. Since Late Cretaceous sandstones were deposited after the breakup of Gondwana, it is proposed that their Precambrian zircons originated in Precambrian basement within Zealandia, briefly exposed along its Australian/Antarctic margin during Gondwana breakup. The ca. 1100 Ma and ca. 800 Ma age components suggest a former juxtaposition against the South China Block, when Zealandia was located east of Australia in Meso- and Neoproterozoic time. (C) 2012 Elsevier B.V. All rights reserved.</t>
  </si>
  <si>
    <t>[Adams, C. J.] GNS Sci, Dunedin 9054, New Zealand; [Adams, C. J.] Macquarie Univ, Ctr Excellence Core Crust Fluid Syst, N Ryde, NSW 2109, Australia; [Griffin, W. L.] Macquarie Univ, ARC Key Ctr Geochem Evolut &amp; Metallogeny Continen, Dept Earth &amp; Planetary Sci, N Ryde, NSW 2109, Australia</t>
  </si>
  <si>
    <t>GNS Science - New Zealand; Macquarie University; Macquarie University</t>
  </si>
  <si>
    <t>Adams, CJ (corresponding author), GNS Sci, Private Bag 1930, Dunedin 9054, New Zealand.</t>
  </si>
  <si>
    <t>argon@gns.cri.nz</t>
  </si>
  <si>
    <t>GAU, geochemist/H-1985-2016; Griffin, William L/F-7713-2011</t>
  </si>
  <si>
    <t>Griffin, William L/0000-0002-0980-2566</t>
  </si>
  <si>
    <t>ARC; DEST; Macquarie University and industry</t>
  </si>
  <si>
    <t>ARC(Australian Research Council); DEST(Australian GovernmentDepartment of Industry, Innovation and Science); Macquarie University and industry</t>
  </si>
  <si>
    <t>Analytical work at GEMOC used instrumentation purchased with, and supported by, funding from ARC, DEST, Macquarie University and industry. Drs. Norman Pearson, William Powell and Elena Belousova are thanked for their analytical assistance. This is publication 171/820 from GEMOC National Centre and YYY from the ARC Centre of Excellence for Core to Crust Fluid Systems. Nick Mortimer is thanked reviewing an initial draft of this manuscript.</t>
  </si>
  <si>
    <t>0301-9268</t>
  </si>
  <si>
    <t>1872-7433</t>
  </si>
  <si>
    <t>PRECAMBRIAN RES</t>
  </si>
  <si>
    <t>Precambrian Res.</t>
  </si>
  <si>
    <t>10.1016/j.precamres.2012.04.003</t>
  </si>
  <si>
    <t>982ZK</t>
  </si>
  <si>
    <t>WOS:000307085500002</t>
  </si>
  <si>
    <t>Fraser, CI; Nikula, R; Ruzzante, DE; Waters, JM</t>
  </si>
  <si>
    <t>Fraser, Ceridwen I.; Nikula, Raisa; Ruzzante, Daniel E.; Waters, Jonathan M.</t>
  </si>
  <si>
    <t>Poleward bound: biological impacts of Southern Hemisphere glaciation</t>
  </si>
  <si>
    <t>POPULATION GENETIC-STRUCTURE; ANTARCTIC POLAR FRONT; NEW-ZEALAND; CLIMATE-CHANGE; EVOLUTIONARY HISTORY; PROMACHOCRINUS-KERGUELENSIS; MITOCHONDRIAL LINEAGES; MOLECULAR PHYLOGENY; DNA PHYLOGEOGRAPHY; OCEAN BARRIERS</t>
  </si>
  <si>
    <t>Postglacial recolonisation patterns are well documented for the Northern Hemisphere biota, but comparable processes in the Southern Hemisphere have only recently been examined. In the largely terrestrial Northern Hemisphere, recession of ice after the Last Glacial Maximum (LGM) allowed various taxa, including slow-moving terrestrial species, to migrate poleward. By contrast, the Southern Hemisphere polar region is completely ringed by ocean, and recolonisation of Antarctica and the sub-Antarctic islands has thus presented considerable challenges. Although a few highly dispersive marine species have been able to recolonise postglacially, most surviving high-latitude taxa appear to have persisted throughout glacial maxima in local refugia. These contrasting patterns highlight the importance of habitat continuity in facilitating biological range shifts in response to climate change.</t>
  </si>
  <si>
    <t>[Fraser, Ceridwen I.] Univ Libre Bruxelles, B-1050 Brussels, Belgium; [Nikula, Raisa; Waters, Jonathan M.] Univ Otago, Dept Zool, Allan Wilson Ctr Mol Ecol &amp; Evolut, Dunedin 9016, New Zealand; [Ruzzante, Daniel E.] Dalhousie Univ, Dept Biol, Halifax, NS B3H 4R2, Canada</t>
  </si>
  <si>
    <t>Universite Libre de Bruxelles; University of Otago; Dalhousie University</t>
  </si>
  <si>
    <t>Fraser, CI (corresponding author), Univ Libre Bruxelles, 50 Av FD Roosevelt,CP 160-12, B-1050 Brussels, Belgium.</t>
  </si>
  <si>
    <t>ceridwen.fraser@gmail.com</t>
  </si>
  <si>
    <t>Nikula, Raisa A-M/B-4137-2011; Waters, Jonathan/B-4983-2009</t>
  </si>
  <si>
    <t>Waters, Jonathan/0000-0002-1514-7916; Ruzzante, Daniel/0000-0002-8536-8335; Fraser, Ceridwen/0000-0002-6918-8959</t>
  </si>
  <si>
    <t>Fonds National de la Recherche Scientifique (FNRS) of Belgium; Allan Wilson Centre for Molecular Ecology and Evolution, New Zealand; Canadian NSERC</t>
  </si>
  <si>
    <t>Fonds National de la Recherche Scientifique (FNRS) of Belgium(Fonds de la Recherche Scientifique - FNRS); Allan Wilson Centre for Molecular Ecology and Evolution, New Zealand; Canadian NSERC(Natural Sciences and Engineering Research Council of Canada (NSERC))</t>
  </si>
  <si>
    <t>We thank Godfrey Hewitt, Peter Convey and two anonymous reviewers and Paul Craze for comments that helped improve the manuscript. We apologise to the authors of several relevant papers that could not be included in this review owing to space restrictions. We acknowledge support from the Fonds National de la Recherche Scientifique (FNRS) of Belgium (C.I.F.), the Allan Wilson Centre for Molecular Ecology and Evolution, New Zealand (R.N. and J.M.W.), and a Canadian NSERC Discovery grant (D.E.R.). Thanks to Santjie du Toit (South African National Antarctic Program) for the nunatak photograph inset in Figure 1. D.E.R. thanks S. Walde for discussions and C.I.F. thanks Bruno Danis for technical advice.</t>
  </si>
  <si>
    <t>10.1016/j.tree.2012.04.011</t>
  </si>
  <si>
    <t>990HT</t>
  </si>
  <si>
    <t>WOS:000307622300009</t>
  </si>
  <si>
    <t>Bekaroglu, E</t>
  </si>
  <si>
    <t>Bekaroglu, Erdem</t>
  </si>
  <si>
    <t>Evidence of Climate-Driven a Sea-Level High Stand During the Penultimate Glacial Period</t>
  </si>
  <si>
    <t>TURKIYE JEOLOJI BULTENI-GEOLOGICAL BULLETIN OF TURKEY</t>
  </si>
  <si>
    <t>Turkish</t>
  </si>
  <si>
    <t>Coral reef; insolation; sea-level change; TIMS; The Penultimate Glacial period; U/T</t>
  </si>
  <si>
    <t>In this study, coral records of sea-level changes as a proxy of past ice volume variations suggest that the sea-level rose up to -40/-50 m bpsl during the Penultimate Glacial period which is characterized by a series of climatic instability, and constituted a high sea-stand at around similar to 177-168 ka BP. During the same time interval, other proxy records of past climate (delta O-18 records of deep sea sediments, speleothems, pollen records, CO2, CH4, delta D, dust records derived from Antarctic ice cores) show the enhancement of monsoonal activity in tropical regions, occurance of an organic rich sapropel formation in the Mediterranean due to the halt of the deep water formation, prevailing wet climatic conditions and the expansion of arboreal vegetation in mid-latitudes and decrease in the ice-volumes in polar regions. These sequence of events point out that climatic instability in this time interval is driven by 65 degrees N insolation. This in turn indicates that orbital parameters of the astronomical theory, the main driving forces of the climate and sea-level changes over glacial-interglacial time scales, are also a major forcing factor of the climatic instability between similar to 177-168 ka BP.</t>
  </si>
  <si>
    <t>[Bekaroglu, Erdem] Ankara Univ, Cografya Bolumu, TR-06100 Ankara, Turkey</t>
  </si>
  <si>
    <t>Ankara University</t>
  </si>
  <si>
    <t>Bekaroglu, E (corresponding author), Ankara Univ, Cografya Bolumu, TR-06100 Ankara, Turkey.</t>
  </si>
  <si>
    <t>erdem.bekaroglu@ankara.edu.tr</t>
  </si>
  <si>
    <t>Bekaroglu, Erdem/AAJ-8994-2020</t>
  </si>
  <si>
    <t>TMMOB JEOLOJI MUHENDISLERI ODASI</t>
  </si>
  <si>
    <t>ANKARA</t>
  </si>
  <si>
    <t>P.K. 464 - YENISEHIR, ANKARA, TURKEY</t>
  </si>
  <si>
    <t>1016-9164</t>
  </si>
  <si>
    <t>TURK JEOL BULT</t>
  </si>
  <si>
    <t>Turk. Jeol. Bult.</t>
  </si>
  <si>
    <t>VF8HQ</t>
  </si>
  <si>
    <t>WOS:000443700600002</t>
  </si>
  <si>
    <t>Kuo, CH; Chiang, SH; Ju, HY; Chen, YM; Liao, MY; Liu, YC; Shieh, CJ</t>
  </si>
  <si>
    <t>Kuo, Chia-Hung; Chiang, Shu-Hua; Ju, Hen-Yi; Chen, Yu-Min; Liao, Ming-Yuan; Liu, Yung-Chuan; Shieh, Chwen-Jen</t>
  </si>
  <si>
    <t>Enzymatic synthesis of rose aromatic ester (2-phenylethyl acetate) by lipase</t>
  </si>
  <si>
    <t>JOURNAL OF THE SCIENCE OF FOOD AND AGRICULTURE</t>
  </si>
  <si>
    <t>lipase; 2-phenylethyl acetate; kinetics; acetylation; transesterification</t>
  </si>
  <si>
    <t>PHENYLETHYL ACETATE; CLARKIA-BREWERI; ISOAMYL ACETATE; ACETYLTRANSFERASE; ESTERIFICATION; ACETYLATION; CATALYSTS; FLOWERS</t>
  </si>
  <si>
    <t>BACKGROUND: 2-Phenylethyl acetate (2-PEAc) is a highly valued natural volatile ester with a rose-like odour that is widely used to add scent or flavour to cosmetics, soaps, foods and drinks. In this study, 2-PEAc was synthesised enzymatically by transesterification of vinyl acetate with 2-phenethyl alcohol catalysed by immobilised lipase (Novozym (R) 435) from Candida antarctic RESULTS: Response surface methodology and a three-level/three-factor BoxBehnken design were used to evaluate the effects of time, temperature and enzyme amount on the molar conversion % of 2-PEAc. The results showed that temperature was the most important variable. Based on the ridge max analysis results, optimum enzymatic synthesis conditions were predicted as a reaction time of 79 min, a temperature of 57.8 degrees C and an enzyme amount of 122.5 mg. The predicted and experimental yields were 86.4 and 85.4% respectively. CONCLUSION: Three immobilised lipases were screened and 15 reaction conditions were tested in order to find the combination for maximum yield. The optimisation of 2-PEAc synthesis catalysed by Novozym (R) 435 was successfully developed. The kinetic study of this transesterification reaction showed that it followed an ordered ping-pong bi-bi mechanism without any inhibition by reactants. Copyright (C) 2012 Society of Chemical Industry</t>
  </si>
  <si>
    <t>[Kuo, Chia-Hung; Ju, Hen-Yi; Shieh, Chwen-Jen] Natl Chung Hsing Univ, Ctr Biotechnol, Taichung 402, Taiwan; [Chiang, Shu-Hua] Taiwan Hospitality &amp; Tourism Coll, Dept Food &amp; Beverage Management, Hualien 974, Shou Feng Count, Taiwan; [Chen, Yu-Min; Liao, Ming-Yuan] Natl Chung Hsing Univ, Dept Chem, Taichung 402, Taiwan; [Liu, Yung-Chuan] Natl Chung Hsing Univ, Dept Chem Engn, Taichung 402, Taiwan</t>
  </si>
  <si>
    <t>National Chung Hsing University; National Chung Hsing University; National Chung Hsing University</t>
  </si>
  <si>
    <t>Shieh, CJ (corresponding author), Natl Chung Hsing Univ, Ctr Biotechnol, 250 Kuo Kuang Rd, Taichung 402, Taiwan.</t>
  </si>
  <si>
    <t>cjshieh@nchu.edu.tw</t>
  </si>
  <si>
    <t>Kuo, Chia-Hung/I-6058-2012</t>
  </si>
  <si>
    <t>Kuo, Chia-Hung/0000-0003-3445-5663; Liu, Yung-Chuan/0000-0002-4800-3337</t>
  </si>
  <si>
    <t>0022-5142</t>
  </si>
  <si>
    <t>1097-0010</t>
  </si>
  <si>
    <t>J SCI FOOD AGR</t>
  </si>
  <si>
    <t>J. Sci. Food Agric.</t>
  </si>
  <si>
    <t>10.1002/jsfa.5599</t>
  </si>
  <si>
    <t>Agriculture, Multidisciplinary; Chemistry, Applied; Food Science &amp; Technology</t>
  </si>
  <si>
    <t>Agriculture; Chemistry; Food Science &amp; Technology</t>
  </si>
  <si>
    <t>956CJ</t>
  </si>
  <si>
    <t>WOS:000305067100018</t>
  </si>
  <si>
    <t>Marschoff, ER; Barrera-Oro, ER; Alescio, NS; Ainley, DG</t>
  </si>
  <si>
    <t>Marschoff, Enrique R.; Barrera-Oro, Esteban R.; Alescio, Nadia S.; Ainley, David G.</t>
  </si>
  <si>
    <t>Slow recovery of previously depleted demersal fish at the South Shetland Islands, 1983-2010</t>
  </si>
  <si>
    <t>Depensation; Fishery depletion; Fish stock recovery; Nototheniidae; South Shetland Islands</t>
  </si>
  <si>
    <t>WEST ANTARCTIC PENINSULA; FJORD NOTOTHENIA-ROSSII; MARINE FOOD-WEB; POTTER COVE; GOBIONOTOTHEN-GIBBERIFRONS; MANAGING FISHERIES; CLIMATE-CHANGE; CORIICEPS; OCEAN; IMPLEMENTATION</t>
  </si>
  <si>
    <t>Following seals and baleen whales prior to the 1970s. demersal fish stocks were depleted off the South Shetland Islands by intensive industrial fishing during the late 1970s to early 1980s. Little has been reported since about how these stocks have fared, after international agreement closed this fishery in 1990. We report changes in size and abundance of the commercially exploited Notothenia rossii and Gobionotothen gibberifrons relative to the ecologically similar but unexploited Notothenia coriiceps at Potter Cove, South Shetland Islands, over a 28-yr period, 1983-2010. N. rossii abundance declined from 1983 to 1991, and an increase in mean size during 1983-1984 is consistent with weak cohorts during preceding years. Modal age changed from 2-3 to 6-7 yr. Length data of G. gibberifrons, available from 1986, exhibited a similar pattern, showing a decrease until 1991-1992. After a period of relative stability (1992-1994), a sharp increase in length and a continued decline in relative abundance indicated low recruitment. The length-frequency distribution of unexploited N. coriiceps throughout the whole period showed no change in modal size or mean length of the fish. We relate these patterns to the fishery and suggest that a further two decades will lapse before these stocks recover. Using the South Shetland fisheries as an example, current management rules for Southern Ocean fisheries, deemed to be precautionary and disallowing depletion beyond which a stock can recover in 2-3 decades, may be unrealistic in an ocean profoundly altered by numerous stock depletions and rapid climate change. (C) 2012 Elsevier DV. All rights reserved.</t>
  </si>
  <si>
    <t>[Ainley, David G.] HT Harvey &amp; Associates, Los Gatos, CA 95032 USA; [Marschoff, Enrique R.; Barrera-Oro, Esteban R.; Alescio, Nadia S.] Inst Antartico Argentino, RA-1010 Buenos Aires, DF, Argentina; [Barrera-Oro, Esteban R.; Alescio, Nadia S.] Consejo Nacl Invest Cient &amp; Tecn, RA-1033 Buenos Aires, DF, Argentina; [Barrera-Oro, Esteban R.; Alescio, Nadia S.] Museo Argentina Ciencias Nat Bernardino Rivadavia, Div Ictiol, Buenos Aires, DF, Argentina</t>
  </si>
  <si>
    <t>Instituto Antartico Argentino; Consejo Nacional de Investigaciones Cientificas y Tecnicas (CONICET); Museo Argentino de Ciencias Naturales Bernardino Rivadavia (MACN)</t>
  </si>
  <si>
    <t>Ainley, DG (corresponding author), HT Harvey &amp; Associates, 983 Univ Ave, Los Gatos, CA 95032 USA.</t>
  </si>
  <si>
    <t>dainley@penguinscience.com</t>
  </si>
  <si>
    <t>Ubacyt; Secretaria de Ciencia y Tecnica; Universidad de Buenos Aires [X807]; U.S. National Science Foundation [ANT-0944411]; Directorate For Geosciences; Office of Polar Programs (OPP) [0944411] Funding Source: National Science Foundation</t>
  </si>
  <si>
    <t>Ubacyt; Secretaria de Ciencia y Tecnica(Secretaria de Ciencia y Tecnologia (SECYT)); Universidad de Buenos Aires(University of Buenos Aires); U.S. National Science Foundation(National Science Foundation (NSF)); Directorate For Geosciences; Office of Polar Programs (OPP)(National Science Foundation (NSF)NSF - Directorate for Geosciences (GEO))</t>
  </si>
  <si>
    <t>We thank C. Bellisio, L. Vila, O. Gonzalez, R. Casaux, M. Favero, A. Mazzotta, J. Ageitos, J. Luski, the late A. Thibaud and R. Di Paola for their cooperation in the fishing tasks. This work was funded by Ubacyt Project 2006-2009, Secretaria de Ciencia y Tecnica, Universidad de Buenos Aires (Project X807); DGA's effort was funded by the U.S. National Science Foundation, ANT-0944411 (but results do not necessarily represent the views of NSF).</t>
  </si>
  <si>
    <t>10.1016/j.fishres.2012.02.017</t>
  </si>
  <si>
    <t>953EG</t>
  </si>
  <si>
    <t>WOS:000304849100022</t>
  </si>
  <si>
    <t>Mienis, F; De Stigter, HC; De Haas, H; Van der Land, C; Van Weering, TCE</t>
  </si>
  <si>
    <t>Mienis, F.; De Stigter, H. C.; De Haas, H.; Van der Land, C.; Van Weering, T. C. E.</t>
  </si>
  <si>
    <t>Hydrodynamic conditions in a cold-water coral mound area on the Renard Ridge, southern Gulf of Cadiz</t>
  </si>
  <si>
    <t>Cold-water coral mounds; Renard Ridge; Hydrodynamic conditions; Tidal currents; Bottom landers</t>
  </si>
  <si>
    <t>ROCKALL TROUGH MARGIN; MUD VOLCANO FIELD; LOPHELIA-PERTUSA; NE ATLANTIC; CARBONATE MOUNDS; NORTH-ATLANTIC; MEDITERRANEAN WATER; DEEP; SEA; VARIABILITY</t>
  </si>
  <si>
    <t>Near-bed hydrodynamic conditions obtained by bottom landers on the Renard Ridge are presented complemented with a data set from repeated CTD casts. On the Renard Ridge cold-water coral mounds were discovered in the last 10 years. Unlike cold-water coral habitats known from the Norwegian and Irish margins, these mounds are not covered with living corals. Mounds are located near the boundary between North Atlantic Central Water and Antarctic Intermediate Water. Mediterranean Water was present at greater depth, but was not observed in the vicinity of the Renard Ridge. Near-bed temperature and current speed reflect a baroclinic semi-diurnal tidal motion, causing vertical watermass movements up to 100 m and temperature fluctuations up to 1.2 degrees C. Average current speed was 8.8 cm s(-1), while occasionally peak current speeds up to 30 cm s(-1) occurred on top of the Renard Ridge. Tidal currents force the formation of up to 300 m thick bottom nepheloid layers. Near-bed hydrodynamic conditions around the mounds fit in the range for cold-water coral occurrences as described in literature. However, at present coral growth seems restricted by the low near-bed current speeds, the low surface productivity in a well stratified water column and the high near-bed load of fine sediment particles. (C) 2012 Elsevier B.V. All rights reserved.</t>
  </si>
  <si>
    <t>[Mienis, F.; De Stigter, H. C.; De Haas, H.; Van der Land, C.; Van Weering, T. C. E.] Netherlands Inst Sea Res NIOZ, Dept Marine Geol, NL-1790 AB Den Burg, Netherlands; [Van Weering, T. C. E.] Vrije Univ Amsterdam, Fac Earth &amp; Life Sci, NL-1081 HV Amsterdam, Netherlands</t>
  </si>
  <si>
    <t>Utrecht University; Royal Netherlands Institute for Sea Research (NIOZ); Vrije Universiteit Amsterdam</t>
  </si>
  <si>
    <t>Mienis, F (corresponding author), Univ Bremen, Ctr Marine Environm Sci MARUM, Leobenerstr, D-28359 Bremen, Germany.</t>
  </si>
  <si>
    <t>fmienis@marum.de</t>
  </si>
  <si>
    <t>de Stigter, Henko/ABC-8757-2021; Mienis, Furu/L-1934-2015</t>
  </si>
  <si>
    <t>de Stigter, Henko/0000-0002-4878-6546; van der Land, Cees/0000-0002-0301-6927; Mienis, Furu/0000-0002-7370-0652</t>
  </si>
  <si>
    <t>European Science Foundation/Netherlands Organisation for Scientific Research [855 01 106 (MiCROSYTEMS)]; DFG-Research Center/Excellence Cluster The Ocean in the Earth System; European Community [226354]</t>
  </si>
  <si>
    <t>European Science Foundation/Netherlands Organisation for Scientific Research; DFG-Research Center/Excellence Cluster The Ocean in the Earth System(German Research Foundation (DFG)); European Community</t>
  </si>
  <si>
    <t>We thank the officers and crew of the RV Pelagia and Royal NIOZ staff and technicians for their support during cruise preparations and at sea. Bob Koster was our help during lander operations. We also thank Hendrik van Aken and Jenny Ullgren for helpful discussions. The carbonate mound studies were financially supported by the European Science Foundation/Netherlands Organisation for Scientific Research under contract number 855 01 106 (MiCROSYTEMS). FM was funded through the DFG-Research Center/Excellence Cluster The Ocean in the Earth System. HdS acknowledges funding from the European Community's Seventh Framework Programme (FP7/2007-2013) under the HERMIONE project, grant agreement no. 226354. We thank Veerle Huvenne and one anonymous reviewer, for their helpful comments and suggestions, which helped to improve the manuscript considerably.</t>
  </si>
  <si>
    <t>10.1016/j.jmarsys.2012.02.002</t>
  </si>
  <si>
    <t>929TH</t>
  </si>
  <si>
    <t>WOS:000303088100006</t>
  </si>
  <si>
    <t>Bart, PJ; Owolana, B</t>
  </si>
  <si>
    <t>Bart, Philip J.; Owolana, Boluwatife</t>
  </si>
  <si>
    <t>On the duration of West Antarctic Ice Sheet grounding events in Ross Sea during the Quaternary</t>
  </si>
  <si>
    <t>Antarctic Ice Sheet; Last glacial cycle; Last Glacial Maximum; Grounding zone wedge; Grounding event duration</t>
  </si>
  <si>
    <t>LAST GLACIAL MAXIMUM; PINE ISLAND BAY; PLEISTOCENE-HOLOCENE RETREAT; OUTER CONTINENTAL-SHELF; TAYLOR VALLEY; LINE RETREAT; PRYDZ BAY; EROSION; BENEATH; BASIN</t>
  </si>
  <si>
    <t>A back-stepping succession of three seismically-defined grounding zone wedges (GZWs) in the Glomar Challenger Basin palaeo-ice-stream trough is usually assigned to the short time that elapsed since the West Antarctic Ice Sheet retreat began at 11 ka C-14 BP. Recent radiocarbon dates have however suggested an alternate interpretation in which the youngest of these three GZWs, the Gray Unit GZW on the middle shelf, corresponds to deposition during the Last Glacial Maximum (LGM). If so, then the Gray Unit must represent an amalgamation of erosion and deposition spanning a much longer time interval, i.e., the 100 ky interval between the Last Interglacial and the LGM. To test these conflicting interpretations, the Gray Unit sediment volume was mapped from seismic and multibeam data. Two end-member durations were calculated because flux during ice sheet retreat is significantly higher than flux during ice sheet advance. Using the retreat-mode flux, the 1.47 ky grounding event estimate shows that the middle shelf GZW could have been deposited during the post-LGM retreat. However, the 147.34 ky grounding event estimate based on the advance-mode flux also demonstrates that the GZW might reasonably represent an amalgamation of erosion and deposition as grounded ice gradually advanced between MIS5e and MIS2, i.e., from the Last Interglacial to the Last Glacial Maximum. These data thus require that both interpretations of how the near-surface stratigraphy relates to grounding-line translations in the last glacial cycle be considered feasible working hypotheses. (C) 2012 Elsevier Ltd. All rights reserved.</t>
  </si>
  <si>
    <t>[Bart, Philip J.; Owolana, Boluwatife] Louisiana State Univ, Dept Geol &amp; Geophys, Baton Rouge, LA 70803 USA</t>
  </si>
  <si>
    <t>Louisiana State University System; Louisiana State University</t>
  </si>
  <si>
    <t>Bart, PJ (corresponding author), Louisiana State Univ, Dept Geol &amp; Geophys, Howe Russell Bldg E235, Baton Rouge, LA 70803 USA.</t>
  </si>
  <si>
    <t>NSF OPP</t>
  </si>
  <si>
    <t>NSF OPP(National Science Foundation (NSF)NSF - Directorate for Geosciences (GEO))</t>
  </si>
  <si>
    <t>We thank John Anderson for access to seismic and multibeam data collected in 1990 and 1994. We thank German Leitchenkov for access to M89 seismic data. We acknowledge SJ Bentley for valuable discussions concerning yield in glacial systems. We acknowledge support from NSF OPP grant to PJ Bart. We thank Alastair Graham and Rob McKay for a thorough review and suggestions that greatly improved the manuscript.</t>
  </si>
  <si>
    <t>JUL 30</t>
  </si>
  <si>
    <t>10.1016/j.quascirev.2012.04.023</t>
  </si>
  <si>
    <t>978GR</t>
  </si>
  <si>
    <t>WOS:000306729300008</t>
  </si>
  <si>
    <t>Simms, AR; Ivins, ER; DeWitt, R; Kouremenos, P; Simkins, LM</t>
  </si>
  <si>
    <t>Simms, Alexander R.; Ivins, Erik R.; DeWitt, Regina; Kouremenos, Peter; Simkins, Lauren M.</t>
  </si>
  <si>
    <t>Timing of the most recent Neoglacial advance and retreat in the South Shetland Islands, Antarctic Peninsula: insights from raised beaches and Holocene uplift rates</t>
  </si>
  <si>
    <t>Glacial rebound; Antarctica; Little Ice Age; Sea level; Climate; Optically stimulated luminescence</t>
  </si>
  <si>
    <t>KING-GEORGE-ISLAND; RELATIVE SEA-LEVEL; OPTICALLY STIMULATED LUMINESCENCE; ICE-SHELF; GLACIAL HISTORY; GLACIOMARINE SEDIMENTATION; LIVINGSTON-ISLAND; BRANSFIELD BASIN; MAXWELL BAY; WEST</t>
  </si>
  <si>
    <t>The timing of the most recent Neoglacial advance in the Antarctic Peninsula is important for establishing global climate teleconnections and providing important post-glacial rebound corrections to gravity-based satellite measurements of ice loss. However, obtaining accurate ages from terrestrial geomorphic and sedimentary indicators of the most recent Neoglacial advance in Antarctica has been hampered by the lack of historical records and the difficulty of dating materials in Antarctica. Here we use a new approach to dating flights of raised beaches in the South Shetland Islands of the northern Antarctic Peninsula to bracket the age of a Neoglacial advance that occurred between 1500 and 1700 AD, broadly synchronous with compilations for the timing of the Little Ice Age in the northern hemisphere. Our approach is based on optically stimulated luminescence of the underside of buried cobbles to obtain the age of beaches previously shown to have been deposited immediately inside and outside the moraines of the most recent Neoglacial advance. In addition, these beaches mark the timing of an apparent change in the rate of isostatic rebound thought to be in response to the same glacial advance within the South Shetland Islands. We use a Maxwell viscoelastic model of glacial-isostatic adjustment (GIA) to determine whether the rates of uplift calculated from the raised beaches are realistic given the limited constraints on the ice advance during this most recent Neoglacial advance. Our rebound model suggests that the subsequent melting of an additional 16-22% increase in the volume of ice within the South Shetland Islands would result in a subsequent uplift rate of 12.5 mm/yr that lasted until 1840 AD resulting in a cumulative uplift of 2.5 m. This uplift rate and magnitude are in close agreement with observed rates and magnitudes calculated from the raised beaches since the most recent Neoglacial advance along the South Shetland Islands and falls within the range of uplift rates from similar settings such as Alaska. (C) 2012 Elsevier Ltd. All rights reserved.</t>
  </si>
  <si>
    <t>[Simms, Alexander R.; Simkins, Lauren M.] Univ Calif Santa Barbara, Dept Earth Sci, Santa Barbara, CA 93106 USA; [Ivins, Erik R.] CALTECH, Jet Prop Lab, Pasadena, CA 91109 USA; [DeWitt, Regina] Oklahoma State Univ, Dept Phys, Stillwater, OK 74078 USA; [Kouremenos, Peter] BP Canada, Edmonton, AB T5C 0N5, Canada</t>
  </si>
  <si>
    <t>University of California System; University of California Santa Barbara; National Aeronautics &amp; Space Administration (NASA); NASA Jet Propulsion Laboratory (JPL); California Institute of Technology; Oklahoma State University System; Oklahoma State University - Stillwater; BP</t>
  </si>
  <si>
    <t>Simms, AR (corresponding author), Univ Calif Santa Barbara, Dept Earth Sci, 1006 Webb Hall, Santa Barbara, CA 93106 USA.</t>
  </si>
  <si>
    <t>asimms@geol.ucsb.edu; Erik.R.Ivins@jpl.nasa.gov; dewittr@ecu.edu; pkouremenos@yahoo.ca; lauren_e_miller@umail.ucsb.edu</t>
  </si>
  <si>
    <t>Ivins, Erik R/C-2416-2011; Simms, Alexander R/E-5609-2012</t>
  </si>
  <si>
    <t>Simms, Alexander/0000-0001-5034-2189; Miller, Lauren/0000-0002-9075-5196; DeWitt, Regina/0000-0003-2876-5489</t>
  </si>
  <si>
    <t>National Science Foundation [OPP-0724929, 0838781]; NASA; Office of Polar Programs (OPP); Directorate For Geosciences [0838781] Funding Source: National Science Foundation</t>
  </si>
  <si>
    <t>National Science Foundation(National Science Foundation (NSF)); NASA(National Aeronautics &amp; Space Administration (NASA)); Office of Polar Programs (OPP); Directorate For Geosciences(National Science Foundation (NSF)NSF - Directorate for Geosciences (GEO))</t>
  </si>
  <si>
    <t>The authors would like to thank Annie Drewry and the rest of the science party and crew of the R/V Nathaniel B. Palmer NBP0703 cruise for their help in collecting the samples. The authors also thank Dr. Eric Benton for the gamma spectrometry measurements. We benefited from discussion of active rift-shoulder tectonics with Gilles Peltzer. This project was funded by the National Science Foundation grants #OPP-0724929 and 0838781 to ARS and RD. Some of this research was supported by NASA's Earth Surface and Interior Focus Area, NASA's Cryosphere Program and was performed at the Jet Propulsion Laboratory, California Institute of Technology.</t>
  </si>
  <si>
    <t>10.1016/j.quascirev.2012.05.013</t>
  </si>
  <si>
    <t>WOS:000306729300004</t>
  </si>
  <si>
    <t>Gramling, C</t>
  </si>
  <si>
    <t>Gramling, Carolyn</t>
  </si>
  <si>
    <t>POLAR SCIENCE Needed Antarctic Upgrades Would Trim Science Budget</t>
  </si>
  <si>
    <t>JUL 27</t>
  </si>
  <si>
    <t>10.1126/science.337.6093.397</t>
  </si>
  <si>
    <t>979FS</t>
  </si>
  <si>
    <t>WOS:000306802300009</t>
  </si>
  <si>
    <t>Bingham, RG; Ferraccioli, F; King, EC; Larter, RD; Pritchard, HD; Smith, AM; Vaughan, DG</t>
  </si>
  <si>
    <t>Bingham, Robert G.; Ferraccioli, Fausto; King, Edward C.; Larter, Robert D.; Pritchard, Hamish D.; Smith, Andrew M.; Vaughan, David G.</t>
  </si>
  <si>
    <t>Inland thinning of West Antarctic Ice Sheet steered along subglacial rifts</t>
  </si>
  <si>
    <t>CRUSTAL STRUCTURE; LAND; SEA; ANOMALIES; DYNAMICS; REGION; BASIN</t>
  </si>
  <si>
    <t>Current ice loss from the West Antarctic Ice Sheet (WAIS) accounts for about ten per cent of observed global sea-level rise(1). Losses are dominated by dynamic thinning, in which forcings by oceanic or atmospheric perturbations to the ice margin lead to an accelerated thinning of ice along the coastline(2-5). Although central to improving projections of future ice-sheet contributions to global sea-level rise, the incorporation of dynamic thinning into models has been restricted by lack of knowledge of basal topography and subglacial geology so that the rate and ultimate extent of potential WAIS retreat remains difficult to quantify. Here we report the discovery of a subglacial basin under Ferrigno Ice Stream up to 1.5 kilometres deep that connects the ice-sheet interior to the Bellingshausen Sea margin, and whose existence profoundly affects ice loss. We use a suite of ice-penetrating radar, magnetic and gravity measurements to propose a rift origin for the basin in association with the wider development of the West Antarctic rift system. The Ferrigno rift, overdeepened by glacial erosion, is a conduit which fed a major palaeo-ice stream on the adjacent continental shelf during glacial maxima(6). The palaeo-ice stream, in turn, eroded the 'Belgica' trough, which today routes warm open-ocean water back to the ice front(7) to reinforce dynamic thinning. We show that dynamic thinning from both the Bellingshausen and Amundsen Sea region is being steered back to the ice-sheet interior along rift basins. We conclude that rift basins that cut across the WAIS margin can rapidly transmit coastally perturbed change inland, thereby promoting ice-sheet instability.</t>
  </si>
  <si>
    <t>[Bingham, Robert G.] Univ Aberdeen, Sch Geosci, Aberdeen AB24 3UF, Scotland; [Ferraccioli, Fausto; King, Edward C.; Larter, Robert D.; Pritchard, Hamish D.; Smith, Andrew M.; Vaughan, David G.] British Antarctic Survey, Cambridge CB3 0ET, England</t>
  </si>
  <si>
    <t>University of Aberdeen; UK Research &amp; Innovation (UKRI); Natural Environment Research Council (NERC); NERC British Antarctic Survey</t>
  </si>
  <si>
    <t>Bingham, RG (corresponding author), Univ Aberdeen, Sch Geosci, Elphinstone Rd, Aberdeen AB24 3UF, Scotland.</t>
  </si>
  <si>
    <t>r.bingham@abdn.ac.uk</t>
  </si>
  <si>
    <t>Pritchard, Hamish Daniel/AAU-4696-2021; Vaughan, David/C-8348-2011; Bingham, Robert G/G-3576-2017</t>
  </si>
  <si>
    <t>Ferraccioli, Fausto/0000-0002-9347-4736; Bingham, Robert G/0000-0002-0630-2021; Larter, Robert/0000-0002-8414-7389; Vaughan, David/0000-0002-9065-0570</t>
  </si>
  <si>
    <t>Natural Environment Research Council [NERC/AFI/CGS/11/60]; British Antarctic Survey research programme Polar Science for Planet Earth; NERC [bas0100027, bas0100026] Funding Source: UKRI; Natural Environment Research Council [bas0100027, bas0100026] Funding Source: researchfish</t>
  </si>
  <si>
    <t>Natural Environment Research Council(UK Research &amp; Innovation (UKRI)Natural Environment Research Council (NERC)); British Antarctic Survey research programme Polar Science for Planet Earth; NERC(UK Research &amp; Innovation (UKRI)Natural Environment Research Council (NERC)); Natural Environment Research Council(UK Research &amp; Innovation (UKRI)Natural Environment Research Council (NERC))</t>
  </si>
  <si>
    <t>This study was supported by the Natural Environment Research Council (NERC/AFI/CGS/11/60) and British Antarctic Survey research programme Polar Science for Planet Earth. We acknowledge NASA Operation IceBridge for airborne ice-sounding data, A. G. C. Graham for bathymetry data and C. Griffiths for field assistance.</t>
  </si>
  <si>
    <t>JUL 26</t>
  </si>
  <si>
    <t>10.1038/nature11292</t>
  </si>
  <si>
    <t>979KD</t>
  </si>
  <si>
    <t>WOS:000306815300035</t>
  </si>
  <si>
    <t>Raju, KAK; Samudrala, K; Drolia, RK; Amarnath, D; Ramachandran, R; Mudholkar, A</t>
  </si>
  <si>
    <t>Raju, K. A. Kamesh; Samudrala, Kiranmai; Drolia, R. K.; Amarnath, Dileep; Ramachandran, Ratheesh; Mudholkar, Abhay</t>
  </si>
  <si>
    <t>Segmentation and morphology of the Central Indian Ridge between 3°S and 11°S, Indian Ocean</t>
  </si>
  <si>
    <t>Central Indian Ridge; Multibeam bathymetry; Magnetic anomalies; Ridge segmentation; Oceanic core complex; Diffuse plate boundary</t>
  </si>
  <si>
    <t>MID-ATLANTIC RIDGE; DISTRIBUTED LITHOSPHERIC DEFORMATION; MIDOCEAN RIDGE; GRAVITY-ANOMALIES; CRUSTAL THICKNESS; TRIPLE JUNCTION; 20 MA; MOTION; PLATE; CONSTRAINTS</t>
  </si>
  <si>
    <t>The segmentation pattern of 750 km long Central Indian Ridge (CIR) between 3 degrees S and 11 degrees S latitudes in the Indian Ocean has been studied using multibeam bathymetry and magnetic data. Twelve ridge segments were identified that are separated by well defined transform faults and non-transform discontinuities. Magnetic model studies qualify the ridge as a slow spreading ridge with average full spreading rates varying from 26 to 38 mm/yr. The disposition of the magnetic anomalies suggests that the plate opening direction has not changed during the last 0-4 Ma period. Along axis variations in the magnetic anomalies, presence of axial volcanic ridges on the inner valley floor, variations in the depth and geometry of the rift valley, suggest distinct variations in the accretionary processes along the ridge. Based on these characteristics and the segmentation pattern, we suggest that ten ridge segments are undergoing less magmatic phase of extension, while two segments have shown characteristics of magmatic accretion. The linear segments with narrow and shallow rift valley floor and near symmetric magnetic anomalies are identified as segments with magmatic accretion. The influence of diffuse plate boundary zone on the young seafloor fabric generated by the CIR has been examined. The seafloor topography different from the normal ridge parallel fabric observed at few places over the NE flank of the CIR is suggested to be the consequence of gradual and progressive influence of the distributed diffuse plate boundary (between the Indian-Capricorn plates), on the newly generated oceanic lithosphere. Further, we documented distinct ridge-transform intersection (RTI) highs, three of these RTI highs are identified as oceanic core complexes/megamullion structures. Megamullion structures are found to be associated with less magmatic sections. Increased seismicity has been observed at the less magmatic segment ends suggesting the predominance of tectonic extension prevalent at the sparsely magmatic sections. (C) 2012 Elsevier B.V. All rights reserved.</t>
  </si>
  <si>
    <t>[Raju, K. A. Kamesh; Samudrala, Kiranmai; Mudholkar, Abhay] Natl Inst Oceanog, Panaji 403004, Goa, India; [Drolia, R. K.] Natl Geophys Res Inst, Hyderabad 500007, Andhra Pradesh, India; [Amarnath, Dileep] Upstream Petr Consultants, Dubai, U Arab Emirates; [Ramachandran, Ratheesh] Natl Ctr Antarctic &amp; Ocean Res, Vasco Da Gama, Goa, India</t>
  </si>
  <si>
    <t>Council of Scientific &amp; Industrial Research (CSIR) - India; CSIR - National Institute of Oceanography (NIO); Council of Scientific &amp; Industrial Research (CSIR) - India; CSIR - National Geophysical Research Institute (NGRI); Ministry of Earth Sciences (MoES) - India; National Centre for Polar and Ocean Research (NCPOR)</t>
  </si>
  <si>
    <t>Raju, KAK (corresponding author), Natl Inst Oceanog, Panaji 403004, Goa, India.</t>
  </si>
  <si>
    <t>kamesh@nio.org</t>
  </si>
  <si>
    <t>Hydrothermal Sulphides program</t>
  </si>
  <si>
    <t>We thank Dr. S.R. Shetye, Director, National Institute of Oceanography, Goa, for the encouragement and support given to carry out the study. We thank Dr. Jerome Dyment, an anonymous reviewer, and Dr. DeMets for providing useful suggestions and comments on this paper. Comments and suggestions, in particular by Jerome Dyment and DeMets helped us to improve the manuscript. Editor-in-Chief, Dr. Hans Thybo is thanked for suggestions and encouragement. The study was carried out under the CSIR Network program on RIDGEs and the MoES funded Hydrothermal Sulphides program. Ministry of Earth Sciences (MoES), New Delhi is thanked for providing ship time on ORV Sagar Kanya. This is N.I.O. contribution no. 5186.</t>
  </si>
  <si>
    <t>JUL 25</t>
  </si>
  <si>
    <t>10.1016/j.tecto.2012.06.001</t>
  </si>
  <si>
    <t>983RR</t>
  </si>
  <si>
    <t>WOS:000307136900010</t>
  </si>
  <si>
    <t>Bascuñán-Godoy, L; Sanhueza, C; Cuba, M; Zuñiga, GE; Corcuera, LJ; Bravo, LA</t>
  </si>
  <si>
    <t>Bascunan-Godoy, Luisa; Sanhueza, Carolina; Cuba, Marely; Zuniga, Gustavo E.; Corcuera, Luis J.; Bravo, Leon A.</t>
  </si>
  <si>
    <t>Cold-acclimation limits low temperature induced photoinhibition by promoting a higher photochemical quantum yield and a more effective PSII restoration in darkness in the Antarctic rather than the Andean ecotype of Colobanthus quitensis Kunt Bartl (Cariophyllaceae)</t>
  </si>
  <si>
    <t>BMC PLANT BIOLOGY</t>
  </si>
  <si>
    <t>Antarctic plants; Andean plants; Cold-induced-photoinhibition; Recovery; PSII restoration; D1 cycle; Photoprotection</t>
  </si>
  <si>
    <t>PHOTOSYSTEM-II; ELECTRON-TRANSPORT; XANTHOPHYLL CYCLE; IN-VIVO; PHOTOSYNTHETIC PERFORMANCE; CHLOROPHYLL FLUORESCENCE; ARABIDOPSIS-THALIANA; CYTOCHROME B(6)/F; ATP SYNTHASE; REDOX STATE</t>
  </si>
  <si>
    <t>Background: Ecotypes of Colobanthus quitensis Kunt Bartl (Cariophyllaceae) from Andes Mountains and Maritime Antarctic grow under contrasting photoinhibitory conditions, reaching differential cold tolerance upon cold acclimation. Photoinhibition depends on the extent of photodamage and recovery capability. We propose that cold acclimation increases resistance to low-temperature-induced photoinhibition, limiting photodamage and promoting recovery under cold. Therefore, the Antarctic ecotype (cold hardiest) should be less photoinhibited and have better recovery from low-temperature-induced photoinhibition than the Andean ecotype. Both ecotypes were exposed to cold induced photoinhibitory treatment (PhT). Photoinhibition and recovery of photosystem II (PSII) was followed by fluorescence, CO2 exchange, and immunoblotting analyses. Results: The same reduction (25%) in maximum PSII efficiency (Fv/Fm) was observed in both cold-acclimated (CA) and non-acclimated (NA) plants under PhT. A full recovery was observed in CA plants of both ecotypes under dark conditions, but CA Antarctic plants recover faster than the Andean ecotype. Under PhT, CA plants maintain their quantum yield of PSII, while NA plants reduced it strongly (50% and 73% for Andean and Antarctic plants respectively). Cold acclimation induced the maintenance of PsaA and Cyt b6/f and reduced a 41% the excitation pressure in Antarctic plants, exhibiting the lowest level under PhT. xCold acclimation decreased significantly NPQs in both ecotypes, and reduced chlorophylls and D1 degradation in Andean plants under PhT. NA and CA plants were able to fully restore their normal photosynthesis, while CA Antarctic plants reached 50% higher photosynthetic rates after recovery, which was associated to electron fluxes maintenance under photoinhibitory conditions. Conclusions: Cold acclimation has a greater importance on the recovery process than on limiting photodamage. Cold acclimation determined the kinetic and extent of recovery process under darkness in both C. quitensis ecotypes. The greater recovery of PSII at low temperature in the Antarctic ecotype was related with its ability to maintain PsaA, Cyt b6/f and D1 protein after photoinhibitory conditions. This is probably due to either a higher stability of these polypeptides or to the maintenance of their turnover upon cold acclimation. In both cases, it is associated to the maintenance of electron drainage from the intersystem pool, which maintains Q(A) more oxidized and may allow the synthesis of ATP and NADPH necessaries for the regeneration of ribulose 1,5-bisphosphate in the Calvin Cycle. This could be a key factor for C. quitensis success under the harsh conditions and the short growing period in the Maritime Antarctic.</t>
  </si>
  <si>
    <t>[Bravo, Leon A.] Univ La Frontera, Fac Ciencias Agr &amp; Forestales, Dept Ciencias Agr &amp; Recursos Nat,Inst Agroindustr, Lab Fisiol &amp; Biol Mol Vegetal, Temuco, Chile; [Bravo, Leon A.] Univ La Frontera, Ctr Plant Soil Interact &amp; Nat Resources Biotechn, Temuco, Chile; [Bascunan-Godoy, Luisa] Ctr Estudios Avanzado Zonas Aridas, Lab Fisiol Vegetal, La Serena, Chile; [Sanhueza, Carolina; Corcuera, Luis J.] Univ Concepcion, Fac Ciencias Nat &amp; Oceanog, Dept Bot, Concepcion, Chile; [Cuba, Marely] Univ Concepcion, Escuela Ciencias &amp; Tecnol, Dept Ciencias &amp; Tecnol Vegetal, Lab Biotecnol &amp; Estudios Ambientales, Los Angeles, Chile; [Zuniga, Gustavo E.] Univ Santiago Chile, Fac Quim &amp; Biol, Lab Fisiol Vegetal, Santiago, Chile</t>
  </si>
  <si>
    <t>Universidad de La Frontera; Universidad de La Frontera; Universidad de Concepcion; Universidad de Concepcion; Universidad de Santiago de Chile</t>
  </si>
  <si>
    <t>Bravo, LA (corresponding author), Univ La Frontera, Fac Ciencias Agr &amp; Forestales, Dept Ciencias Agr &amp; Recursos Nat,Inst Agroindustr, Lab Fisiol &amp; Biol Mol Vegetal, Casilla 54D, Temuco, Chile.</t>
  </si>
  <si>
    <t>lbravo@ufro.cl</t>
  </si>
  <si>
    <t>Bascunan-Godoy, Luisa/H-7357-2015; Sanhueza, Carolina/JQW-9959-2023; Zuñiga, Gustavo E/P-8306-2015; Bravo, Leon/H-9251-2018; Bravo, León/AAO-8437-2020; Sanhueza, Carolina/AAG-7456-2019; Corcuera, Luis J/G-1714-2014; Godoy, Luisa Bascunan/AAF-2978-2019</t>
  </si>
  <si>
    <t>Bascunan-Godoy, Luisa/0000-0001-8346-7295; Bravo, Leon/0000-0003-4705-4842; Bravo, León/0000-0003-4705-4842; Sanhueza, Carolina/0000-0002-1564-2490; Godoy, Luisa Bascunan/0000-0001-8346-7295; Zuniga, Gustavo/0000-0002-8286-9468</t>
  </si>
  <si>
    <t>INACH [B_01-06]; CONICYT; FONDECYT [1060910]</t>
  </si>
  <si>
    <t>INACH; CONICYT(Comision Nacional de Investigacion Cientifica y Tecnologica (CONICYT)); FONDECYT(Comision Nacional de Investigacion Cientifica y Tecnologica (CONICYT)CONICYT FONDECYT)</t>
  </si>
  <si>
    <t>Luisa Bascunan thanks INACH for the logistics and permits to study and collect plant material in protected areas in the Maritime Antarctic. Bascunan-Godoy thanks INACH B_01-06 for a fellowship to support of her Doctoral Thesis, CONICYT for a graduate fellowship and FONDECYT 1060910.</t>
  </si>
  <si>
    <t>1471-2229</t>
  </si>
  <si>
    <t>BMC PLANT BIOL</t>
  </si>
  <si>
    <t>BMC Plant Biol.</t>
  </si>
  <si>
    <t>JUL 24</t>
  </si>
  <si>
    <t>10.1186/1471-2229-12-114</t>
  </si>
  <si>
    <t>038TY</t>
  </si>
  <si>
    <t>WOS:000311198200001</t>
  </si>
  <si>
    <t>Downey, RV; Griffiths, HJ; Linse, K; Janussen, D</t>
  </si>
  <si>
    <t>Downey, Rachel V.; Griffiths, Huw J.; Linse, Katrin; Janussen, Dorte</t>
  </si>
  <si>
    <t>Diversity and Distribution Patterns in High Southern Latitude Sponges</t>
  </si>
  <si>
    <t>WEDDELL SEA; SHETLAND ISLANDS; MARINE SPONGES; BIODIVERSITY; BIOGEOGRAPHY; PORIFERA; OCEAN; DEMOSPONGIAE; ECOLOGY; FAUNA</t>
  </si>
  <si>
    <t>Sponges play a key role in Antarctic marine benthic community structure and dynamics and are often a dominant component of many Southern Ocean benthic communities. Understanding the drivers of sponge distribution in Antarctica enables us to understand many of general benthic biodiversity patterns in the region. The sponges of the Antarctic and neighbouring oceanographic regions were assessed for species richness and biogeographic patterns using over 8,800 distribution records. Species-rich regions include the Antarctic Peninsula, South Shetland Islands, South Georgia, Eastern Weddell Sea, Kerguelen Plateau, Falkland Islands and north New Zealand. Sampling intensity varied greatly within the study area, with sampling hotspots found at the Antarctic Peninsula, South Georgia, north New Zealand and Tierra del Fuego, with limited sampling in the Bellingshausen and Amundsen seas in the Southern Ocean. In contrast to previous studies we found that eurybathy and circumpolar distributions are important but not dominant characteristics in Antarctic sponges. Overall Antarctic sponge species endemism is similar to 43%, with a higher level for the class Hexactinellida (68%). Endemism levels are lower than previous estimates, but still indicate the importance of the Polar Front in isolating the Southern Ocean fauna. Nineteen distinct sponge distribution patterns were found, ranging from regional endemics to cosmopolitan species. A single, distinct Antarctic demosponge fauna is found to encompass all areas within the Polar Front, and the sub-Antarctic regions of the Kerguelen Plateau and Macquarie Island. Biogeographical analyses indicate stronger faunal links between Antarctica and South America, with little evidence of links between Antarctica and South Africa, Southern Australia or New Zealand. We conclude that the biogeographic and species distribution patterns observed are largely driven by the Antarctic Circumpolar Current and the timing of past continent connectivity.</t>
  </si>
  <si>
    <t>[Downey, Rachel V.; Griffiths, Huw J.; Linse, Katrin] British Antarctic Survey, Nat Environm Res Council, Cambridge CB3 0ET, England; [Janussen, Dorte] Forschungsinst &amp; Nat Museum Senckenberg, Sekt Marine Evertebraten 1, Frankfurt, Germany</t>
  </si>
  <si>
    <t>UK Research &amp; Innovation (UKRI); Natural Environment Research Council (NERC); NERC British Antarctic Survey; Senckenberg Gesellschaft fur Naturforschung (SGN)</t>
  </si>
  <si>
    <t>Downey, RV (corresponding author), British Antarctic Survey, Nat Environm Res Council, Cambridge CB3 0ET, England.</t>
  </si>
  <si>
    <t>hjg@bas.ac.uk</t>
  </si>
  <si>
    <t>Downey, Rachel/Q-4156-2019; Griffiths, Huw J/D-4234-2009</t>
  </si>
  <si>
    <t>Griffiths, Huw J/0000-0003-1764-223X; Linse, Katrin/0000-0003-3477-3047; Downey, Rachel/0000-0001-9275-8879</t>
  </si>
  <si>
    <t>Scientific Committee on Antarctic Research Marine Biodiversity Information Network (SCAR-MarBIN); TOTAL Foundation; German Research Foundation [JA 1063/14-1, JA 1063/14-2]; NERC [bas0100026] Funding Source: UKRI; Natural Environment Research Council [bas0100026] Funding Source: researchfish</t>
  </si>
  <si>
    <t>Scientific Committee on Antarctic Research Marine Biodiversity Information Network (SCAR-MarBIN); TOTAL Foundation(Total SA); German Research Foundation(German Research Foundation (DFG)); NERC(UK Research &amp; Innovation (UKRI)Natural Environment Research Council (NERC)); Natural Environment Research Council(UK Research &amp; Innovation (UKRI)Natural Environment Research Council (NERC))</t>
  </si>
  <si>
    <t>The authors thank the Scientific Committee on Antarctic Research Marine Biodiversity Information Network (SCAR-MarBIN) and the TOTAL Foundation for providing the funding to create the database. This paper is a contribution to the British Antarctic Survey core project, Environmental Change and Evolution. DJ would like to thank the German Research Foundation which finances projects JA 1063/14-1, 2. The funders had no role in study design, data collection and analysis, decision to publish, or preparation of the manuscript.</t>
  </si>
  <si>
    <t>e41672</t>
  </si>
  <si>
    <t>10.1371/journal.pone.0041672</t>
  </si>
  <si>
    <t>978NX</t>
  </si>
  <si>
    <t>WOS:000306751300063</t>
  </si>
  <si>
    <t>Kattner, G; Graeve, M; Hagen, W</t>
  </si>
  <si>
    <t>Kattner, Gerhard; Graeve, Martin; Hagen, Wilhelm</t>
  </si>
  <si>
    <t>Energy reserves of Southern Ocean copepods: Triacylglycerols with unusually long-chain monounsaturated fatty acids</t>
  </si>
  <si>
    <t>Antarctic; Zooplankton; Lipid biosynthesis; Fatty acid pathways; Life strategy</t>
  </si>
  <si>
    <t>MARGINAL ICE-ZONE; ANTARCTIC COPEPODS; CALANOIDES-ACUTUS; CALANUS-PROPINQUUS; RHINCALANUS-GIGAS; WAX ESTERS; LIPID STORAGE; HERBIVOROUS COPEPODS; LIFE-CYCLES; WEDDELL SEA</t>
  </si>
  <si>
    <t>Two of the dominant Southern Ocean copepods, Calanus simillimus and Calanus propinquus, are known for their lipid storage via triacylglycerols indicating year-round activity, as opposed to diapausing species, which accumulate wax esters. We studied the lipid and fatty acid compositions of C. simillimus (CV stages) with focus on its ability to produce unusually long-chain monounsaturated fatty acids. Besides the biosynthesis of high-energy fatty acids with 20 and 22 carbon atoms, the occurrence of fatty acids with 24 carbon atoms accounting for up to 15% of total fatty acids is intriguing. Their double bond positions were unequivocally determined as (n - 9), (n - 11) and (n - 13) by DMOX derivatisation. The dominant isomer was 24:1 (n - 11) contributing up to 8% to the total fatty acids. The major fatty acids were the isomers 22:1(n - 11) and (n - 9) averaging 20% and 10%, respectively. A re-evaluation of fatty acid data of C. propinquus also revealed 24:1 fatty acids exhibiting on average 5% with (n - 11) and (n - 9) as main isomers. The principal fatty acids were also 22:1(n - 11) and (n - 9), but in contrast to C. simillimus both fatty acids occurred in equally high amounts of about 20%. The de novo biosynthesis of these long-chain monounsaturated fatty acids generally represents a very efficient energy storage mode. Chain elongation to 22 and even to 24 carbon atoms in C. propinquus and further optimised by C. simillimus yields high-energy compounds for these triacylglycerol-storing copepods. Biosynthetic pathways for the fatty acids are proposed and discussed in view of the well-adapted life cycle strategies of the two species, which have to cope with a pronounced seasonal food supply in the Southern Ocean. (c) 2012 Elsevier B.V. All rights reserved.</t>
  </si>
  <si>
    <t>[Kattner, Gerhard; Graeve, Martin] Alfred Wegener Inst Polar &amp; Marine Res, D-27570 Bremerhaven, Germany; [Hagen, Wilhelm] Univ Bremen, Bremen Marine Ecol Ctr Res &amp; Educ, D-28334 Bremen, Germany</t>
  </si>
  <si>
    <t>Helmholtz Association; Alfred Wegener Institute, Helmholtz Centre for Polar &amp; Marine Research; University of Bremen</t>
  </si>
  <si>
    <t>Kattner, G (corresponding author), Alfred Wegener Inst Polar &amp; Marine Res, Handelshafen 12, D-27570 Bremerhaven, Germany.</t>
  </si>
  <si>
    <t>Gerhard.Kattner@awi.de</t>
  </si>
  <si>
    <t>Graeve, Martin/B-5751-2017</t>
  </si>
  <si>
    <t>Graeve, Martin/0000-0002-2294-1915; Hagen, Wilhelm/0000-0002-7462-9931</t>
  </si>
  <si>
    <t>JUL 20</t>
  </si>
  <si>
    <t>10.1016/j.marchem.2012.05.002</t>
  </si>
  <si>
    <t>024QN</t>
  </si>
  <si>
    <t>WOS:000310123800002</t>
  </si>
  <si>
    <t>Bachelet, E; Shin, IG; Han, C; Fouqué, P; Gould, A; Menzies, JW; Beaulieu, JP; Bennett, DP; Bond, IA; Dong, S; Heyrovsky, D; Marquette, JB; Marshall, J; Skowron, J; Street, RA; Sumi, T; Udalski, A; Abe, L; Agabi, K; Albrow, MD; Allen, W; Bertin, E; Bos, M; Bramich, DM; Chavez, J; Christie, GW; Cole, AA; Crouzet, N; Dieters, S; Dominik, M; Drummond, J; Greenhill, J; Guillot, T; Henderson, CB; Hessman, FV; Horne, K; Hundertmark, M; Johnson, JA; Jorgensen, UG; Kandori, R; Liebig, C; Mékarnia, D; McCormick, J; Moorhouse, D; Nagayama, T; Nataf, D; Natusch, T; Nishiyama, S; Rivet, JP; Sahu, KC; Shvartzvald, Y; Thornley, G; Tomczak, AR; Tsapras, Y; Yee, JC; Batista, V; Bennett, CS; Brillant, S; Caldwell, JAR; Cassan, A; Corrales, E; Coutures, C; Prester, DD; Donatowicz, J; Kubas, D; Martin, R; Williams, A; Zub, M; de Almeida, LA; DePoy, DL; Gaudi, BS; Hung, LW; Jablonski, F; Kaspi, S; Klein, N; Lee, CU; Lee, Y; Koo, JR; Maoz, D; Muñoz, JA; Pogge, RW; Polishook, D; Shporer, A; Abe, F; Botzler, CS; Chote, P; Freeman, M; Fukui, A; Furusawa, K; Harris, P; Itow, Y; Kobara, S; Ling, CH; Masuda, K; Matsubara, Y; Miyake, N; Ohmori, K; Ohnishi, K; Rattenbury, NJ; Saito, T; Sullivan, DJ; Suzuki, D; Sweatman, WL; Tristram, PJ; Wada, K; Yock, PCM; Szymanski, MK; Soszynski, I; Kubiak, M; Poleski, R; Ulaczyk, K; Pietrzynski, G; Wyrzykowski, L; Kains, N; Snodgrass, C; Steele, IA; Alsubai, KA; Bozza, V; Browne, P; Burgdorf, MJ; Novati, SC; Dodds, P; Dreizler, S; Finet, F; Gerner, T; Hardis, S; Harpsoe, K; Hinse, TC; Kerins, E; Mancini, L; Mathiasen, M; Penny, MT; Proft, S; Rahvar, S; Ricci, D; Scarpetta, G; Schäfer, S; Schönebeck, F; Southworth, J; Surdej, J; Wambsganss, J</t>
  </si>
  <si>
    <t>Bachelet, E.; Shin, I. -G.; Han, C.; Fouque, P.; Gould, A.; Menzies, J. W.; Beaulieu, J. -P.; Bennett, D. P.; Bond, I. A.; Dong, Subo; Heyrovsky, D.; Marquette, J. -B.; Marshall, J.; Skowron, J.; Street, R. A.; Sumi, T.; Udalski, A.; Abe, L.; Agabi, K.; Albrow, M. D.; Allen, W.; Bertin, E.; Bos, M.; Bramich, D. M.; Chavez, J.; Christie, G. W.; Cole, A. A.; Crouzet, N.; Dieters, S.; Dominik, M.; Drummond, J.; Greenhill, J.; Guillot, T.; Henderson, C. B.; Hessman, F. V.; Horne, K.; Hundertmark, M.; Johnson, J. A.; Jorgensen, U. G.; Kandori, R.; Liebig, C.; Mekarnia, D.; McCormick, J.; Moorhouse, D.; Nagayama, T.; Nataf, D.; Natusch, T.; Nishiyama, S.; Rivet, J. -P.; Sahu, K. C.; Shvartzvald, Y.; Thornley, G.; Tomczak, A. R.; Tsapras, Y.; Yee, J. C.; Batista, V.; Bennett, C. S.; Brillant, S.; Caldwell, J. A. R.; Cassan, A.; Corrales, E.; Coutures, C.; Prester, D. Dominis; Donatowicz, J.; Kubas, D.; Martin, R.; Williams, A.; Zub, M.; Andrade de Almeida, L.; DePoy, D. L.; Gaudi, B. S.; Hung, L. -W.; Jablonski, F.; Kaspi, S.; Klein, N.; Lee, C. -U.; Lee, Y.; Koo, J. -R.; Maoz, D.; Munoz, J. A.; Pogge, R. W.; Polishook, D.; Shporer, A.; Abe, F.; Botzler, C. S.; Chote, P.; Freeman, M.; Fukui, A.; Furusawa, K.; Harris, P.; Itow, Y.; Kobara, S.; Ling, C. H.; Masuda, K.; Matsubara, Y.; Miyake, N.; Ohmori, K.; Ohnishi, K.; Rattenbury, N. J.; Saito, To.; Sullivan, D. J.; Suzuki, D.; Sweatman, W. L.; Tristram, P. J.; Wada, K.; Yock, P. C. M.; Szymanski, M. K.; Soszynski, I.; Kubiak, M.; Poleski, R.; Ulaczyk, K.; Pietrzynski, G.; Wyrzykowski, L.; Kains, N.; Snodgrass, C.; Steele, I. A.; Alsubai, K. A.; Bozza, V.; Browne, P.; Burgdorf, M. J.; Novati, S. Calchi; Dodds, P.; Dreizler, S.; Finet, F.; Gerner, T.; Hardis, S.; Harpsoe, K.; Hinse, T. C.; Kerins, E.; Mancini, L.; Mathiasen, M.; Penny, M. T.; Proft, S.; Rahvar, S.; Ricci, D.; Scarpetta, G.; Schaefer, S.; Schoenebeck, F.; Southworth, J.; Surdej, J.; Wambsganss, J.</t>
  </si>
  <si>
    <t>PLANET Collaboration; FUN Collaboration; MOA Collaboration; OGLE Collaboration; RoboNet Collaboration; MiNDSTEp Consortium</t>
  </si>
  <si>
    <t>MOA 2010-BLG-477Lb: CONSTRAINING THE MASS OF A MICROLENSING PLANET FROM MICROLENSING PARALLAX, ORBITAL MOTION, AND DETECTION OF BLENDED LIGHT</t>
  </si>
  <si>
    <t>ASTROPHYSICAL JOURNAL</t>
  </si>
  <si>
    <t>gravitational lensing: micro; planetary systems</t>
  </si>
  <si>
    <t>DIFFERENCE IMAGE-ANALYSIS; HIGH-MAGNIFICATION; GALACTIC BULGE; SNOW LINE; JUPITER/SATURN ANALOG; PROTOPLANETARY DISK; MILKY-WAY; EVENTS; BINARY; STARS</t>
  </si>
  <si>
    <t>Microlensing detections of cool planets are important for the construction of an unbiased sample to estimate the frequency of planets beyond the snow line, which is where giant planets are thought to form according to the core accretion theory of planet formation. In this paper, we report the discovery of a giant planet detected from the analysis of the light curve of a high-magnification microlensing event MOA 2010-BLG-477. The measured planet-star mass ratio is q = (2.181 +/- 0.004) x 10(-3) and the projected separation is s = 1.1228 +/- 0.0006 in units of the Einstein radius. The angular Einstein radius is unusually large theta(E) = 1.38 +/- 0.11 mas. Combining this measurement with constraints on the microlens parallax and the lens flux, we can only limit the host mass to the range 0.13 &lt; M/M-circle dot &lt; 1.0. In this particular case, the strong degeneracy between microlensing parallax and planet orbital motion prevents us from measuring more accurate host and planet masses. However, we find that adding Bayesian priors from two effects (Galactic model and Keplerian orbit) each independently favors the upper end of this mass range, yielding star and planet masses of M-* = 0.67(-0.13)(+0.33) M-circle dot and m(p) = 1.5(-0.3)(+0.8) M-JUP at a distance of D = 2.3 +/- 0.6 kpc, and with a semi-major axis of a = 2(-1)(+3) AU. Finally, we show that the lens mass can be determined from future high-resolution near-IR adaptive optics observations independently from two effects, photometric and astrometric.</t>
  </si>
  <si>
    <t>[Shin, I. -G.; Han, C.] Chungbuk Natl Univ, Dept Phys, Chonju 361763, South Korea; [Bachelet, E.; Fouque, P.] Univ Toulouse, CNRS, IRAP, F-31400 Toulouse, France; [Gould, A.; Dong, Subo; Marshall, J.; Skowron, J.; Henderson, C. B.; Johnson, J. A.; Nataf, D.; Yee, J. C.; Batista, V.; Gaudi, B. S.; Hung, L. -W.; Pogge, R. W.] Ohio State Univ, Dept Astron, Columbus, OH 43210 USA; [Menzies, J. W.] S African Astron Observ, ZA-7925 Observatory, South Africa; [Beaulieu, J. -P.; Marquette, J. -B.; Bertin, E.; Batista, V.; Cassan, A.; Corrales, E.; Coutures, C.; Kubas, D.] UPMC, CNRS, Inst Astrophys Paris, UMR 7095, F-75014 Paris, France; [Bennett, D. P.] Univ Notre Dame, Dept Phys, Notre Dame, IN 46556 USA; [Bond, I. A.; Ling, C. H.; Sweatman, W. L.] Massey Univ, Inst Informat &amp; Math Sci, Auckland 1330, New Zealand; [Dong, Subo] Inst Adv Study, Princeton, NJ 08540 USA; [Heyrovsky, D.] Charles Univ Prague, Inst Theoret Phys, CR-18000 Prague, Czech Republic; [Street, R. A.; Tsapras, Y.; Shporer, A.] Las Cumbres Observ Global Telescope Network, Goleta, CA 93117 USA; [Sumi, T.; Suzuki, D.; Wada, K.] Osaka Univ, Grad Sch Sci, Dept Earth &amp; Space Sci, Toyonaka, Osaka 5600043, Japan; [Sumi, T.; Abe, F.; Furusawa, K.; Itow, Y.; Kobara, S.; Masuda, K.; Matsubara, Y.; Miyake, N.; Ohmori, K.] Nagoya Univ, Solar Terr Environm Lab, Nagoya, Aichi 4648601, Japan; [Udalski, A.; Szymanski, M. K.; Soszynski, I.; Kubiak, M.; Poleski, R.; Ulaczyk, K.; Pietrzynski, G.; Wyrzykowski, L.] Univ Warsaw Observ, PL-00478 Warsaw, Poland; [Abe, L.; Agabi, K.; Crouzet, N.; Guillot, T.; Mekarnia, D.; Rivet, J. -P.] Observ Cote Azur, Lab Fizeau, F-06300 Nice, France; [Albrow, M. D.] Univ Canterbury, Dept Phys &amp; Astron, Christchurch 8020, New Zealand; [Allen, W.] Vintage Lane Observ, Blenheim, New Zealand; [Bos, M.] Molehill Astron Observ, N Shore, New Zealand; [Bramich, D. M.; Kains, N.] European So Observ, D-85748 Garching, Germany; [Chavez, J.; Caldwell, J. A. R.] McDonald Observ, Ft Davis, TX 79734 USA; [Christie, G. W.; Natusch, T.] Auckland Observ, Auckland, New Zealand; [Cole, A. A.; Dieters, S.; Greenhill, J.] Univ Tasmania, Sch Math &amp; Phys, Hobart, Tas 7001, Australia; [Dominik, M.; Horne, K.; Hundertmark, M.; Liebig, C.; Kains, N.; Browne, P.; Dodds, P.] Univ St Andrews, Sch Phys &amp; Astron, SUPA, St Andrews KY16 9SS, Fife, Scotland; [Drummond, J.] Possum Observ, John Drummond, New Zealand; [Hessman, F. V.; Hundertmark, M.; Dreizler, S.; Schaefer, S.] Univ Gottingen, Inst Astrophys, D-37077 Gottingen, Germany; [Jorgensen, U. G.; Hardis, S.; Harpsoe, K.; Mathiasen, M.] Univ Copenhagen, Niels Bohr Inst, DK-2100 Copenhagen O, Denmark; [Jorgensen, U. G.; Harpsoe, K.] Univ Copenhagen, Ctr Star &amp; Planet Format, DK-1350 Copenhagen O, Denmark; [Kandori, R.] Natl Astron Observ, Mitaka, Tokyo 1818588, Japan; [Liebig, C.; Zub, M.; Gerner, T.; Proft, S.; Schoenebeck, F.; Wambsganss, J.] Heidelberg Univ, Zentrum Astron, Astron Rech Inst, D-69120 Heidelberg, Germany; [McCormick, J.] Ctr Backyard Astrophys, Farm Cove Observ, Auckland, New Zealand; [Moorhouse, D.; Thornley, G.] Kumeu Observ, Kumeu, New Zealand; [Nagayama, T.] Nagoya Univ, Grad Sch Sci, Chikusa Ku, Nagoya, Aichi 4648602, Japan; [Natusch, T.] AUT Univ, Inst Radiophys &amp; Space Res, Auckland, New Zealand; [Nishiyama, S.] Natl Inst Nat Sci, Natl Astron Observ Japan, Extrasolar Planet Detect Project Off, Mitaka, Tokyo 1818588, Japan; [Sahu, K. C.] Space Telescope Sci Inst, Baltimore, MD 21218 USA; [Shvartzvald, Y.; Kaspi, S.; Klein, N.; Maoz, D.; Polishook, D.] Tel Aviv Univ, Sch Phys &amp; Astron, IL-69978 Tel Aviv, Israel; [Shvartzvald, Y.; Kaspi, S.; Klein, N.; Maoz, D.; Polishook, D.] Tel Aviv Univ, Wise Observ, IL-69978 Tel Aviv, Israel; [Tomczak, A. R.; DePoy, D. L.] Texas A&amp;M Univ, Dept Phys &amp; Astron, College Stn, TX 77843 USA; [Tsapras, Y.] Queen Mary Univ London, Sch Phys &amp; Astron, London E1 4NS, England; [Bennett, C. S.] MIT, Dept Phys, Cambridge, MA 02139 USA; [Brillant, S.; Kubas, D.] European So Observ, Santiago 19, Chile; [Prester, D. Dominis] Univ Rijeka, Dept Phys, Rijeka 51000, Croatia; [Donatowicz, J.] Vienna Univ Technol, A-1040 Vienna, Austria; [Martin, R.; Williams, A.] Perth Observ, Perth, WA 6076, Australia; [Andrade de Almeida, L.; Jablonski, F.] Inst Nacl Pesquisas Espaciais, Div Astrofis, BR-12227010 Sao Jose Dos Campos, SP, Brazil; [Lee, C. -U.; Koo, J. -R.; Hinse, T. C.] Korea Astron &amp; Space Sci Inst, Taejon 305348, South Korea; [Lee, Y.] Chungnam Natl Univ, Dept Astron &amp; Space Sci, Taejon, South Korea; [Munoz, J. A.] Univ Valencia, Dept Astron &amp; Astrofis, E-46100 Valencia, Spain; [Shporer, A.] Univ Calif Santa Barbara, Dept Phys, Santa Barbara, CA 93106 USA; [Botzler, C. S.; Freeman, M.; Rattenbury, N. J.; Yock, P. C. M.] Univ Auckland, Dept Phys, Auckland 1001, New Zealand; [Chote, P.; Harris, P.; Sullivan, D. J.] Victoria Univ, Sch Chem &amp; Phys Sci, Wellington, New Zealand; [Fukui, A.] Natl Astron Observ, Okayama Astrophys Observ, Kamogatacho, Okayama 7190232, Japan; [Ohnishi, K.] Nagano Natl Coll Technol, Nagano 3818550, Japan; [Saito, To.] Tokyo Metropolitan Coll Aeronaut, Tokyo 1168523, Japan; [Tristram, P. J.] Mt John Univ Observ, Lake Tekapo 8770, New Zealand; [Pietrzynski, G.] Univ Concepcion, Dept Astron, Concepcion, Chile; [Wyrzykowski, L.] Univ Cambridge, Inst Astron, Cambridge CB3 0HA, England; [Snodgrass, C.] Max Planck Inst Solar Syst Res, D-37191 Katlenburg Lindau, Germany; [Steele, I. A.] Liverpool John Moores Univ, Astrophys Res Inst, Liverpool CH41 1LD, Merseyside, England; [Alsubai, K. A.] Qatar Fdn, Doha, Qatar; [Bozza, V.; Novati, S. Calchi; Mancini, L.; Scarpetta, G.] Univ Salerno, Dipartimento Fis ER Caianiello, I-84081 Baronissi, SA, Italy; [Burgdorf, M. J.] Univ Stuttgart, Deutsch SOFIA Inst, D-70569 Stuttgart, Germany; [Burgdorf, M. J.] NASA Ames Res Ctr, SOFIA Sci Ctr, Moffett Field, CA 94035 USA; [Novati, S. Calchi] IIASS, Vietri Sul Mare, SA, Italy; [Finet, F.; Ricci, D.; Surdej, J.] Inst Astrophys &amp; Geophys, B-4000 Liege, Belgium; [Kerins, E.; Penny, M. T.] Univ Manchester, Jodrell Bank Ctr Astrophys, Manchester M13 9PL, Lancs, England; [Mancini, L.] Max Planck Inst Astron, D-619117 Heidelberg, Germany; [Rahvar, S.] Sharif Univ Technol, Dept Phys, Tehran, Iran; [Scarpetta, G.] Ist Nazl Fis Nucl, Sez Napoli, Grp Collegato Salerno, Naples, Italy; [Southworth, J.] Univ Keele, Astrophys Grp, Keele ST5 5BG, Staffs, England</t>
  </si>
  <si>
    <t>Chungbuk National University; Universite de Toulouse; Universite Toulouse III - Paul Sabatier; Centre National de la Recherche Scientifique (CNRS); University System of Ohio; Ohio State University; National Research Foundation - South Africa; South African Astronomical Observatory; Sorbonne Universite; Centre National de la Recherche Scientifique (CNRS); CNRS - National Institute for Earth Sciences &amp; Astronomy (INSU); University of Notre Dame; Massey University; Institute for Advanced Study - USA; Charles University Prague; Osaka University; Nagoya University; University of Warsaw; Warsaw University Observatory; Universite Cote d'Azur; Observatoire de la Cote d'Azur; University of Canterbury; European Southern Observatory; University of Texas System; University of Texas Austin; University of Tasmania; University of St Andrews; University of Gottingen; University of Copenhagen; Niels Bohr Institute; University of Copenhagen; National Institutes of Natural Sciences (NINS) - Japan; National Astronomical Observatory of Japan (NAOJ); Ruprecht Karls University Heidelberg; Nagoya University; Auckland University of Technology; National Institutes of Natural Sciences (NINS) - Japan; National Astronomical Observatory of Japan (NAOJ); Space Telescope Science Institute; Tel Aviv University; Tel Aviv University; Texas A&amp;M University System; Texas A&amp;M University College Station; University of London; Queen Mary University London; University College London; Massachusetts Institute of Technology (MIT); European Southern Observatory; University of Rijeka; Technische Universitat Wien; Perth Observatory; Instituto Nacional de Pesquisas Espaciais (INPE); Korea Astronomy &amp; Space Science Institute (KASI); Chungnam National University; University of Valencia; University of California System; University of California Santa Barbara; University of Auckland; Victoria University Wellington; National Institutes of Natural Sciences (NINS) - Japan; National Astronomical Observatory of Japan (NAOJ); Tokyo Metropolitan University; Universidad de Concepcion; University of Cambridge; Max Planck Society; Liverpool John Moores University; Qatar Foundation (QF); University of Salerno; University of Stuttgart; National Aeronautics &amp; Space Administration (NASA); NASA Ames Research Center; University of Manchester; Jodrell Bank Centre for Astrophysics; Max Planck Society; Sharif University of Technology; Istituto Nazionale di Fisica Nucleare (INFN); Keele University</t>
  </si>
  <si>
    <t>Han, C (corresponding author), Chungbuk Natl Univ, Dept Phys, Chonju 361763, South Korea.</t>
  </si>
  <si>
    <t>Jablonski, Francisco J/M-4014-2013; Almeida, L. A./G-7188-2012; Bell, Matthew/IQR-9709-2023; Fukui, Akihiko/W-2238-2017; Prester, Dijana Dominis/O-5014-2018; shin, i/JCE-1227-2023; Hinse, Tobias Cornelius/W-5579-2018; Shporer, Avi/Y-2777-2019; Sweatman, Winston/S-4931-2019; Poleski, Radoslaw/AAM-7565-2021; Polishook, David/KDA-6294-2024; Penny, Matthew/AGE-0251-2022; Williams, Andrew J/K-2931-2013; Dominik, Martin/AAA-9501-2020; Fukui, Akihiko/ABE-4506-2020; Kerins, Eamonn/ABI-7604-2020; Fukui, Akihiko/ABF-2092-2021; Dong, Subo/J-7319-2012; Rahvar, Sohrab/M-9780-2019; Rahvar, Sohrab/L-7544-2019; Szymański, Michał Krzysztof/X-5627-2019; Heyrovsky, David/A-2031-2015; Mancini, Lucia/HJH-3207-2023; Hundertmark, Markus/O-6598-2019; Dong, Subo/AIB-2671-2022; Hundertmark, Markus P. G./C-6190-2015; Rattenbury, Nicholas James/ABB-2102-2021; Burgdorf, Martin/H-5576-2019; Skowron, Jan/M-5186-2014; Greenhill, John G/C-8367-2013; shin, i/HKV-7951-2023; Gaudi, Bernard/I-7732-2012; Munoz, Joseph A/A-3336-2013; Cole, Andrew/J-7683-2014</t>
  </si>
  <si>
    <t>Fukui, Akihiko/0000-0002-4909-5763; Prester, Dijana Dominis/0000-0002-9880-5039; Hinse, Tobias Cornelius/0000-0001-8870-3146; Shporer, Avi/0000-0002-1836-3120; Poleski, Radoslaw/0000-0002-9245-6368; Williams, Andrew J/0000-0001-9080-0105; Dominik, Martin/0000-0002-3202-0343; Kerins, Eamonn/0000-0002-1743-4468; Fukui, Akihiko/0000-0002-4909-5763; Rahvar, Sohrab/0000-0002-7084-5725; Rahvar, Sohrab/0000-0002-7084-5725; Szymański, Michał Krzysztof/0000-0002-0548-8995; Heyrovsky, David/0000-0002-5198-5343; Mancini, Lucia/0000-0003-2416-3464; Hundertmark, Markus/0000-0003-0961-5231; Dong, Subo/0000-0002-1027-0990; Hundertmark, Markus P. G./0000-0003-0961-5231; Rattenbury, Nicholas James/0000-0001-5069-319X; Skowron, Jan/0000-0002-2335-1730; Yock, Philip/0000-0001-9716-7752; Hessman, Frederic Victor/0000-0002-0672-4945; Wambsganss, Joachim/0000-0001-5055-7390; Ricci, Davide/0000-0002-9790-0552; Nishiyama, S./0000-0002-9440-7172; Burgdorf, Martin/0000-0002-5854-4217; Polishook, David/0000-0002-6977-3146; Penny, Matthew/0000-0001-7506-5640; Mancini, Luigi/0000-0002-9428-8732; Soszynski, Igor/0000-0002-7777-0842; Snodgrass, Colin/0000-0001-9328-2905; Lee, Youngdae/0000-0002-6261-1531; Beaulieu, Jean-Philippe/0000-0003-0014-3354; Bachelet, Etienne/0000-0002-6578-5078; DePoy, Darren/0000-0002-2581-9309; Tsapras, Yiannis/0000-0001-8411-351X; Alsubai, Khalid/0000-0001-6253-0179; Bertin, Emmanuel/0000-0002-3602-3664; Fouque, Pascal/0000-0002-1436-7351; Ulaczyk, Krzysztof/0000-0001-6364-408X; Guillot, Tristan/0000-0002-7188-8428; Nataf, David/0000-0001-5825-4431; Shin, In-Gu/0000-0002-4355-9838; Schafer, Sebastian/0000-0001-8597-8048; Cole, Andrew/0000-0003-0303-3855; Albrow, Michael/0000-0003-3316-4012; Calchi Novati, Sebastiano/0000-0002-7669-1069; Udalski, Andrzej/0000-0001-5207-5619; Lee, Chung-Uk/0000-0003-0043-3925; Henderson, Calen/0000-0001-8877-9060; Brillant, Stephane/0000-0001-8217-8686; Pietrzynski, Grzegorz/0000-0002-9443-4138; Wyrzykowski, Lukasz/0000-0002-9658-6151; Sahu, Kailash/0000-0001-6008-1955; Freeman, Matthew/0000-0001-6384-7450; Marquette, Jean-Baptiste/0000-0002-7901-7213</t>
  </si>
  <si>
    <t>National Research Foundation of Korea [2009-0081561]; MOA [JSPS20340052, JSPS22403003]; Czech Science Foundation [GACR P209/10/1318]; French Polar Institute (IPEV); European Research Council under the European Community's Seventh Framework Programme/ERC [246678]; CALMIP [2011-P1131]; NSF [AST-1103471, 2009068160]; NASA [NNG04GL51G]; KRCF Young Scientist Research Fellowship Program in South Korea; ANR; CNRS; Observatoire de la Cote d'Azur; California Institute of Technology (Caltech); NASA; ANR HOLMES; ANR PNPS; Direct For Mathematical &amp; Physical Scien; Division Of Astronomical Sciences [1009621] Funding Source: National Science Foundation; Science and Technology Facilities Council [ST/G001987/1, PP/F000057/1, ST/G009465/1, PP/E001149/1, ST/J001384/1, ST/J001465/1, ST/H002391/1, PP/D000955/1, ST/J000035/1, ST/G002355/1, ST/J001562/1, ST/J001651/1] Funding Source: researchfish; STFC [ST/J001562/1, ST/J001465/1, ST/G009465/1, ST/H002391/1, PP/E001149/1, ST/G002355/1, ST/G001987/1, ST/K002465/1, ST/J001651/1, ST/J001384/1, PP/D000955/1, PP/F000057/1, ST/J000035/1] Funding Source: UKRI; Grants-in-Aid for Scientific Research [23540339, 23340044, 23340064, 23654082, 24103508, 22403003] Funding Source: KAKEN</t>
  </si>
  <si>
    <t>National Research Foundation of Korea(National Research Foundation of Korea); MOA; Czech Science Foundation(Grant Agency of the Czech Republic); French Polar Institute (IPEV); European Research Council under the European Community's Seventh Framework Programme/ERC(European Research Council (ERC)); CALMIP(Region Occitanie); NSF(National Science Foundation (NSF)); NASA(National Aeronautics &amp; Space Administration (NASA)); KRCF Young Scientist Research Fellowship Program in South Korea; ANR(Agence Nationale de la Recherche (ANR)); CNRS(Centre National de la Recherche Scientifique (CNRS)); Observatoire de la Cote d'Azur; California Institute of Technology (Caltech); NASA(National Aeronautics &amp; Space Administration (NASA)); ANR HOLMES(Agence Nationale de la Recherche (ANR)); ANR PNPS(Agence Nationale de la Recherche (ANR)); Direct For Mathematical &amp; Physical Scien; Division Of Astronomical Sciences(National Science Foundation (NSF)NSF - Directorate for Mathematical &amp; Physical Sciences (MPS)); Science and Technology Facilities Council(UK Research &amp; Innovation (UKRI)Science &amp; Technology Facilities Council (STFC)); STFC(UK Research &amp; Innovation (UKRI)Science &amp; Technology Facilities Council (STFC)); Grants-in-Aid for Scientific Research(Ministry of Education, Culture, Sports, Science and Technology, Japan (MEXT)Japan Society for the Promotion of ScienceGrants-in-Aid for Scientific Research (KAKENHI))</t>
  </si>
  <si>
    <t>We acknowledge the following sources of support: the Creative Research Initiative Program (2009-0081561) of the National Research Foundation of Korea (C.H.); grants JSPS20340052 and JSPS22403003 for MOA; Czech Science Foundation grant GACR P209/10/1318; the French Polar Institute (IPEV) and the Italian Antarctic Programme (PNRA) for the logistics and data transmission at Concordia. OGLE project has received funding from the European Research Council under the European Community's Seventh Framework Programme (FP7/2007-2013)/ERC grant agreement No. 246678. Part of the computer work was performed using HPC resources from CALMIP (Grant 2011-P1131).; E. Bachelet gratefully acknowledges the Chungbuk National University for a one-month stay where most of this work was prepared. B. S. Gaudi and A. Gould acknowledge support from NSF AST-1103471. B. S. Gaudi, A. Gould, and R. W. Pogge acknowledge support from the NASA grant NNG04GL51G. Work by J. C. Yee is supported by the National Science Foundation Graduate Research Fellowship under grant No. 2009068160. T. C. Hinse acknowledges support from the KRCF Young Scientist Research Fellowship Program in South Korea. The PLANET collaboration acknowledges the financial support of ANR HOLMES and PNPS grants. ASTEP was financed through the help of ANR, IPEV, CNRS, Observatoire de la Cote d'Azur. Work by S. D. was performed under contract with the California Institute of Technology (Caltech) funded by NASA through the Sagan Fellowship Program.</t>
  </si>
  <si>
    <t>0004-637X</t>
  </si>
  <si>
    <t>1538-4357</t>
  </si>
  <si>
    <t>ASTROPHYS J</t>
  </si>
  <si>
    <t>Astrophys. J.</t>
  </si>
  <si>
    <t>10.1088/0004-637X/754/1/73</t>
  </si>
  <si>
    <t>970EV</t>
  </si>
  <si>
    <t>WOS:000306111800073</t>
  </si>
  <si>
    <t>Ahn, M; Murugan, RN; Kim, E; Lee, JH; Cheong, C; Kang, SW; Park, HJ; Shin, SY; Kim, HJ; Bang, JK</t>
  </si>
  <si>
    <t>Ahn, Mija; Murugan, Ravichandran N.; Kim, Eunjung; Lee, Jun Hyuck; Cheong, Chaejoon; Kang, Shin Won; Park, Hee Jung; Shin, Song Yub; Kim, Hak Jun; Bang, Jeong Kyu</t>
  </si>
  <si>
    <t>Studies on the Effect of Number of Sugar Moiety in the Antifreeze Activity of Homodimeric AFGPs</t>
  </si>
  <si>
    <t>BULLETIN OF THE KOREAN CHEMICAL SOCIETY</t>
  </si>
  <si>
    <t>Antifreeze glycoproteins (AFGPs); Thermal hysteresis activity; Ice morphology; Hexagonal bipyramid; Carbohydrate</t>
  </si>
  <si>
    <t>POINT-DEPRESSING GLYCOPROTEINS; GLYCOPEPTIDE DENDRIMERS; ANTARCTIC FISHES; CARBOHYDRATE; INHIBITORS; PROTEINS; ICE</t>
  </si>
  <si>
    <t>[Kim, Eunjung; Lee, Jun Hyuck; Kim, Hak Jun] Korea Polar Res Inst, Div Polar Life Sci, Inchon 406840, South Korea; [Ahn, Mija; Murugan, Ravichandran N.; Cheong, Chaejoon; Park, Hee Jung; Bang, Jeong Kyu] Korea Basic Sci Inst, Div Magnet Resonance, Ochang 363883, Chung Buk, South Korea; [Kang, Shin Won] Pusan Natl Univ, Dept Chem, Pusan 609735, South Korea; [Shin, Song Yub] Chosun Univ, Dept Biomat, Grad Sch, Kwangju 501759, South Korea; [Shin, Song Yub] Chosun Univ, Dept Cellular &amp; Mol Med, Sch Med, Kwangju 501759, South Korea; [Lee, Jun Hyuck; Kim, Hak Jun] Univ Sci &amp; Technol, Dept Polar Sci, Inchon 406840, South Korea</t>
  </si>
  <si>
    <t>Korea Polar Research Institute (KOPRI); Korea Institute of Ocean Science &amp; Technology (KIOST); Korea Basic Science Institute (KBSI); Pusan National University; Chosun University; Chosun University</t>
  </si>
  <si>
    <t>Kim, HJ (corresponding author), Korea Polar Res Inst, Div Polar Life Sci, Inchon 406840, South Korea.</t>
  </si>
  <si>
    <t>hjkim@kopri.re.kr; bangjk@kbsi.re.kr</t>
  </si>
  <si>
    <t>Cheong, Chaejoon/GWC-3135-2022</t>
  </si>
  <si>
    <t>Korea Basic Science Institute's high field NMR research program grant [T3022B]; National Agenda Project from The Korea Research Council of Fundamental Science &amp; Technology (KRCF); Korea Polar Research Institute (KOPRI) [PG11010, PE11100]</t>
  </si>
  <si>
    <t>Korea Basic Science Institute's high field NMR research program grant; National Agenda Project from The Korea Research Council of Fundamental Science &amp; Technology (KRCF); Korea Polar Research Institute (KOPRI)</t>
  </si>
  <si>
    <t>This study was supported by Korea Basic Science Institute's high field NMR research program grant T3022B (J.K.B) and National Agenda Project from The Korea Research Council of Fundamental Science &amp; Technology (KRCF) and Korea Polar Research Institute (KOPRI) (Grant No. PG11010 and PE11100 to H.J.K).</t>
  </si>
  <si>
    <t>KOREAN CHEMICAL SOC</t>
  </si>
  <si>
    <t>635-4 YEOGSAM-DONG, KANGNAM-GU, SEOUL 135-703, SOUTH KOREA</t>
  </si>
  <si>
    <t>0253-2964</t>
  </si>
  <si>
    <t>B KOREAN CHEM SOC</t>
  </si>
  <si>
    <t>Bull. Korean Chem. Soc.</t>
  </si>
  <si>
    <t>10.5012/bkcs.2012.33.7.2411</t>
  </si>
  <si>
    <t>979KE</t>
  </si>
  <si>
    <t>WOS:000306818100055</t>
  </si>
  <si>
    <t>Melles, M; Brigham-Grette, J; Minyuk, PS; Nowaczyk, NR; Wennrich, V; DeConto, RM; Anderson, PM; Andreev, AA; Coletti, A; Cook, TL; Haltia-Hovi, E; Kukkonen, M; Lozhkin, AV; Rosén, P; Tarasov, P; Vogel, H; Wagner, B</t>
  </si>
  <si>
    <t>Melles, Martin; Brigham-Grette, Julie; Minyuk, Pavel S.; Nowaczyk, Norbert R.; Wennrich, Volker; DeConto, Robert M.; Anderson, Patricia M.; Andreev, Andrei A.; Coletti, Anthony; Cook, Timothy L.; Haltia-Hovi, Eeva; Kukkonen, Maaret; Lozhkin, Anatoli V.; Rosen, Peter; Tarasov, Pavel; Vogel, Hendrik; Wagner, Bernd</t>
  </si>
  <si>
    <t>2.8 Million Years of Arctic Climate Change from Lake El'gygytgyn, NE Russia</t>
  </si>
  <si>
    <t>ANTARCTIC ICE-SHEET; LATE PLIOCENE; PLEISTOCENE; PACIFIC; QUATERNARY; VARIABILITY; GREENLAND; RECORD; VEGETATION; RESOLUTION</t>
  </si>
  <si>
    <t>The reliability of Arctic climate predictions is currently hampered by insufficient knowledge of natural climate variability in the past. A sediment core from Lake El'gygytgyn in northeastern (NE) Russia provides a continuous, high-resolution record from the Arctic, spanning the past 2.8 million years. This core reveals numerous super interglacials during the Quaternary; for marine benthic isotope stages (MIS) 11c and 31, maximum summer temperatures and annual precipitation values are similar to 4 degrees to 5 degrees C and similar to 300 millimeters higher than those of MIS 1 and 5e. Climate simulations show that these extreme warm conditions are difficult to explain with greenhouse gas and astronomical forcing alone, implying the importance of amplifying feedbacks and far field influences. The timing of Arctic warming relative to West Antarctic Ice Sheet retreats implies strong interhemispheric climate connectivity.</t>
  </si>
  <si>
    <t>[Melles, Martin; Wennrich, Volker; Andreev, Andrei A.; Kukkonen, Maaret; Vogel, Hendrik; Wagner, Bernd] Univ Cologne, Inst Geol &amp; Mineral, D-50674 Cologne, Germany; [Brigham-Grette, Julie; DeConto, Robert M.; Coletti, Anthony; Cook, Timothy L.] Univ Massachusetts, Dept Geosci, Amherst, MA 01003 USA; [Minyuk, Pavel S.; Lozhkin, Anatoli V.] Russian Acad Sci, NE Interdisciplinary Sci Res Inst, Far E Branch, Magadan 685000, Russia; [Nowaczyk, Norbert R.; Haltia-Hovi, Eeva] GFZ German Res Ctr Geosci, Helmholtz Ctr Potsdam, D-14473 Potsdam, Germany; [Anderson, Patricia M.] Univ Washington, Dept Earth &amp; Space Sci, Seattle, WA 98195 USA; [Rosen, Peter] Umea Univ, Climate Impacts Res Ctr, SE-98107 Abisko, Sweden; [Tarasov, Pavel] Free Univ Berlin, Inst Geol Sci, D-12249 Berlin, Germany</t>
  </si>
  <si>
    <t>University of Cologne; University of Massachusetts System; University of Massachusetts Amherst; Russian Academy of Sciences; Helmholtz Association; Helmholtz-Center Potsdam GFZ German Research Center for Geosciences; University of Washington; University of Washington Seattle; Umea University; Free University of Berlin</t>
  </si>
  <si>
    <t>Melles, M (corresponding author), Univ Cologne, Inst Geol &amp; Mineral, Zuelpicher Str 49A, D-50674 Cologne, Germany.</t>
  </si>
  <si>
    <t>mmelles@uni-koeln.de</t>
  </si>
  <si>
    <t>Vogel, Hendrik/C-6148-2014; Wagner, Bernd/J-4682-2012; Wennrich, Volker/I-3435-2012; Vogel, Hendrik/ABG-1123-2020; Tarasov, Pavel/ABG-3993-2020; Andreev, Andrei A/J-2701-2015; Melles, Martin/J-4070-2012</t>
  </si>
  <si>
    <t>Vogel, Hendrik/0000-0002-9902-8120; Wagner, Bernd/0000-0002-1369-7893; Wennrich, Volker/0000-0003-3617-1963; Tarasov, Pavel/0000-0002-7219-5009; Andreev, Andrei A/0000-0002-8745-9636; Melles, Martin/0000-0003-0977-9463; Cook, Timothy/0000-0002-4982-6415</t>
  </si>
  <si>
    <t>ICDP; NSF; German Federal Ministry of Education and Research (BMBF); Alfred Wegener Institute; Helmholtz Centre Potsdam (GFZ); Russian Academy of Sciences Far East Branch; Russian Foundation for Basic Research; Austrian Federal Ministry of Science and Research; BMBF [03G0642]; German Research Foundation (Deutsche Forschungsgemeinschaft) [ME 1169/21, ME 1169/24]; NSF [0602471]; Vetenskapsradet; Swedish Research Council; Kempe Foundation; Civilian Research and Development Foundation [RUG1-2987-MA-10]; Division Of Earth Sciences; Directorate For Geosciences [1204087, 0602471] Funding Source: National Science Foundation</t>
  </si>
  <si>
    <t>ICDP; NSF(National Science Foundation (NSF)); German Federal Ministry of Education and Research (BMBF)(Federal Ministry of Education &amp; Research (BMBF)); Alfred Wegener Institute; Helmholtz Centre Potsdam (GFZ); Russian Academy of Sciences Far East Branch(Russian Academy of Sciences); Russian Foundation for Basic Research(Russian Foundation for Basic Research (RFBR)Spanish Government); Austrian Federal Ministry of Science and Research; BMBF(Federal Ministry of Education &amp; Research (BMBF)); German Research Foundation (Deutsche Forschungsgemeinschaft)(German Research Foundation (DFG)); NSF(National Science Foundation (NSF)); Vetenskapsradet(Swedish Research Council); Swedish Research Council(Swedish Research Council); Kempe Foundation; Civilian Research and Development Foundation; Division Of Earth Sciences; Directorate For Geosciences(National Science Foundation (NSF)NSF - Directorate for Geosciences (GEO))</t>
  </si>
  <si>
    <t>Drilling operations were funded by the ICDP, the NSF, the German Federal Ministry of Education and Research (BMBF), Alfred Wegener Institute and Helmholtz Centre Potsdam (GFZ), the Russian Academy of Sciences Far East Branch, the Russian Foundation for Basic Research, and the Austrian Federal Ministry of Science and Research. The Russian Global Lake Drilling 800 drilling system was developed and operated by DOSECC. We thank all participants of the expedition for their engagement during recovery of the ICDP 5011-1 cores. Funding of core analyses was provided by BMBF (grant 03G0642), German Research Foundation (Deutsche Forschungsgemeinschaft, grants ME 1169/21 and ME 1169/24), the NSF (grant 0602471), Vetenskapsradet, The Swedish Research Council, the Kempe Foundation, and the Civilian Research and Development Foundation (grant RUG1-2987-MA-10). We thank N. Mantke, A. Shahnazarian, and numerous students (Univ. of Cologne) for their competent help in core processing; T. Matrosova for contributing modern surface pollen data; and R. McKay for providing a modified lithological log of the ANDRILL 1B record. We also thank four anonymous reviewers for supportive and constructive comments that greatly improved the manuscript. The data reported in this paper are available in the databases of PANGAEA via www.pangaea.de (DOI:10.1594/PANGAEA.783305) and of the U. S. National Climatic Data Center via www. ncdc.noaa.gov/paleo/paleolim/paleolim_data.html.</t>
  </si>
  <si>
    <t>10.1126/science.1222135</t>
  </si>
  <si>
    <t>975WQ</t>
  </si>
  <si>
    <t>WOS:000306542600044</t>
  </si>
  <si>
    <t>Smetacek, V; Klaas, C; Strass, VH; Assmy, P; Montresor, M; Cisewski, B; Savoye, N; Webb, A; d'Ovidio, F; Arrieta, JM; Bathmann, U; Bellerby, R; Berg, GM; Croot, P; Gonzalez, S; Henjes, J; Herndl, GJ; Hoffmann, LJ; Leach, H; Losch, M; Mills, MM; Neill, C; Peeken, I; Röttgers, R; Sachs, O; Sauter, E; Schmidt, MM; Schwarz, J; Terbrüggen, A; Wolf-Gladrow, D</t>
  </si>
  <si>
    <t>Smetacek, Victor; Klaas, Christine; Strass, Volker H.; Assmy, Philipp; Montresor, Marina; Cisewski, Boris; Savoye, Nicolas; Webb, Adrian; d'Ovidio, Francesco; Arrieta, Jesus M.; Bathmann, Ulrich; Bellerby, Richard; Berg, Gry Mine; Croot, Peter; Gonzalez, Santiago; Henjes, Joachim; Herndl, Gerhard J.; Hoffmann, Linn J.; Leach, Harry; Losch, Martin; Mills, Matthew M.; Neill, Craig; Peeken, Ilka; Roettgers, Ruediger; Sachs, Oliver; Sauter, Eberhard; Schmidt, Maike M.; Schwarz, Jill; Terbrueggen, Anja; Wolf-Gladrow, Dieter</t>
  </si>
  <si>
    <t>Deep carbon export from a Southern Ocean iron-fertilized diatom bloom</t>
  </si>
  <si>
    <t>ATMOSPHERIC CO2; SEA-FLOOR; CYCLES; MODEL</t>
  </si>
  <si>
    <t>Fertilization of the ocean by adding iron compounds has induced diatom-dominated phytoplankton blooms accompanied by considerable carbon dioxide drawdown in the ocean surface layer. However, because the fate of bloom biomass could not be adequately resolved in these experiments, the timescales of carbon sequestration from the atmosphere are uncertain. Here we report the results of a five-week experiment carried out in the closed core of a vertically coherent, mesoscale eddy of the Antarctic Circumpolar Current, during which we tracked sinking particles from the surface to the deep-sea floor. A large diatom bloom peaked in the fourth week after fertilization. This was followed by mass mortality of several diatom species that formed rapidly sinking, mucilaginous aggregates of entangled cells and chains. Taken together, multiple lines of evidence-although each with important uncertainties-lead us to conclude that at least half the bloom biomass sank far below a depth of 1,000 metres and that a substantial portion is likely to have reached the sea floor. Thus, iron-fertilized diatom blooms may sequester carbon for timescales of centuries in ocean bottom water and for longer in the sediments.</t>
  </si>
  <si>
    <t>[Smetacek, Victor; Klaas, Christine; Strass, Volker H.; Assmy, Philipp; Cisewski, Boris; Bathmann, Ulrich; Henjes, Joachim; Losch, Martin; Peeken, Ilka; Sachs, Oliver; Sauter, Eberhard; Schwarz, Jill; Terbrueggen, Anja; Wolf-Gladrow, Dieter] Alfred Wegener Inst Polar &amp; Marine Res, D-27570 Bremerhaven, Germany; [Smetacek, Victor] Natl Inst Oceanog, Panaji 403004, Goa, India; [Assmy, Philipp] Norwegian Polar Res Inst, Fram Ctr, N-9296 Tromso, Norway; [Montresor, Marina] Stn Zool Anton Dohrn, I-80121 Naples, Italy; [Cisewski, Boris] Johann Heinrich von Thunen Inst, Inst Sea Fisheries, D-22767 Hamburg, Germany; [Savoye, Nicolas] Vrije Univ Brussel, Dept Analyt &amp; Environm Chem, B-1050 Brussels, Belgium; [Savoye, Nicolas] Univ Bordeaux, CNRS, EPOC, UMR 5805,Stn Marine Arcachon, F-33120 Arcachon, France; [Webb, Adrian] Univ Cape Town, Dept Oceanog, ZA-7701 Cape Town, South Africa; [d'Ovidio, Francesco] CNRS UPMC IRD MNHN, LOCEAN IPSL, F-75252 Paris, France; [Arrieta, Jesus M.; Gonzalez, Santiago; Herndl, Gerhard J.] Royal Netherlands Inst Sea Res, Dept Biol Oceanog, NL-1790 AB Den Burg, Netherlands; [Arrieta, Jesus M.] CSIC UIB, Inst Mediterraneo Estudios Avanzados, Dept Global Change Res, Esporles 07190, Mallorca, Spain; [Bathmann, Ulrich] Leibniz Inst Balt Sea Res Warnemunde, D-18119 Rostock, Germany; [Bellerby, Richard; Neill, Craig] Univ Bergen, Bjerknes Ctr Climate Res, N-5007 Bergen, Norway; [Bellerby, Richard] Norwegian Inst Water Res, N-5006 Bergen, Norway; [Berg, Gry Mine; Mills, Matthew M.] Stanford Univ, Dept Environm Earth Syst Sci, Stanford, CA 94305 USA; [Croot, Peter; Hoffmann, Linn J.] Helmholtz Ctr Ocean Res Kiel, D-24105 Kiel, Germany; [Croot, Peter] Natl Univ Ireland, Sch Nat Sci, Galway, Ireland; [Henjes, Joachim] Phytolut GmbH, D-28759 Bremen, Germany; [Herndl, Gerhard J.] Univ Vienna, Dept Marine Biol, A-1090 Vienna, Austria; [Leach, Harry] Univ Liverpool, Sch Environm Sci, Liverpool L69 3GP, Merseyside, England; [Neill, Craig] Commonwealth Sci &amp; Ind Res Org, Wealth Oceans Flagship, Hobart, Tas 7000, Australia; [Peeken, Ilka] Univ Bremen, MARUM Ctr Marine Environm Sci, D-28359 Bremen, Germany; [Roettgers, Ruediger] Helmholtz Zentrum Geesthacht, Ctr Mat &amp; Coastal Res, Inst Coastal Res, D-21502 Geesthacht, Germany; [Sachs, Oliver] Eberhard &amp; Partner AG, CH-5000 Aarau, Switzerland; [Schmidt, Maike M.] Univ Bremen, Ctr Biomol Interact Bremen, FB 2, D-28359 Bremen, Germany; [Schwarz, Jill] Univ Plymouth, Sch Marine Sci &amp; Engn, Plymouth PL4 8AA, Devon, England</t>
  </si>
  <si>
    <t>Helmholtz Association; Alfred Wegener Institute, Helmholtz Centre for Polar &amp; Marine Research; Council of Scientific &amp; Industrial Research (CSIR) - India; CSIR - National Institute of Oceanography (NIO); Norwegian Polar Institute; Stazione Zoologica Anton Dohrn di Napoli; Johann Heinrich von Thunen Institute; Vrije Universiteit Brussel; Centre National de la Recherche Scientifique (CNRS); Universite de Bordeaux; CNRS - National Institute for Earth Sciences &amp; Astronomy (INSU); University of Cape Town; Centre National de la Recherche Scientifique (CNRS); Museum National d'Histoire Naturelle (MNHN); Sorbonne Universite; Institut de Recherche pour le Developpement (IRD); Utrecht University; Royal Netherlands Institute for Sea Research (NIOZ); Universitat de les Illes Balears; University of Barcelona; Consejo Superior de Investigaciones Cientificas (CSIC); Leibniz Institut fur Ostseeforschung Warnemunde; Bjerknes Centre for Climate Research; University of Bergen; Norwegian Institute for Water Research (NIVA); Stanford University; Helmholtz Association; GEOMAR Helmholtz Center for Ocean Research Kiel; Ollscoil na Gaillimhe-University of Galway; University of Vienna; University of Liverpool; Commonwealth Scientific &amp; Industrial Research Organisation (CSIRO); University of Bremen; Helmholtz Association; Helmholtz-Zentrum Hereon; University of Bremen; University of Plymouth</t>
  </si>
  <si>
    <t>Smetacek, V (corresponding author), Alfred Wegener Inst Polar &amp; Marine Res, Handelshafen 12, D-27570 Bremerhaven, Germany.</t>
  </si>
  <si>
    <t>victor.smetacek@awi.de; christine.klaas@awi.de</t>
  </si>
  <si>
    <t>Bellerby, Richard/ABD-6590-2021; Bathmann, Ulrich/ISV-4351-2023; d'Ovidio, Francesco/ABA-8461-2021; Cisewski, Boris/GWV-4320-2022; Herndl, Gerhard J./S-3011-2019; Croot, Peter/U-5296-2019; Herndl, Gerhard J./B-1513-2013; Croot, Peter/C-8460-2009; Hoffmann, Linn/J-3761-2019; Hoffmann, Linn/I-6042-2012; Losch, Martin/S-5896-2016; Arrieta, Jesus/B-1226-2008</t>
  </si>
  <si>
    <t>Bellerby, Richard/0000-0003-3598-4006; Cisewski, Boris/0000-0002-1130-6107; Herndl, Gerhard J./0000-0002-2223-2852; Croot, Peter/0000-0003-1396-0601; Hoffmann, Linn/0000-0003-0242-4686; Hoffmann, Linn/0000-0001-9175-6097; d'Ovidio, Francesco/0000-0002-9664-7778; Losch, Martin/0000-0002-3824-5244; Klaas, Christine/0000-0002-6679-8970; Henjes, Joachim/0000-0002-6688-8802; Leach, Harry/0000-0003-1774-5167; Wolf-Gladrow, Dieter/0000-0001-9531-8668; Sauter, Eberhard/0000-0001-7954-952X; Peeken, Ilka/0000-0003-1531-1664; Strass, Volker/0000-0002-7539-1400; Arrieta, Jesus/0000-0002-0190-6950; Montresor, Marina/0000-0002-2475-1787</t>
  </si>
  <si>
    <t>Cnes</t>
  </si>
  <si>
    <t>Cnes(Centre National D'etudes Spatiales)</t>
  </si>
  <si>
    <t>We thank C. Balt, K. Loquay, S. Mkatshwa, H. Prandke, H. Rohr, M. Thomas and I. Voge for help on board. We are also grateful to U. Struck for POC and PON analyses. The altimeter products were produced by Ssalto/Duacs and distributed by Aviso with support from Cnes. We thank the captain and crew of RV Polarstern (cruise ANT XXI/3) for support throughout the cruise.</t>
  </si>
  <si>
    <t>JUL 19</t>
  </si>
  <si>
    <t>10.1038/nature11229</t>
  </si>
  <si>
    <t>975JB</t>
  </si>
  <si>
    <t>WOS:000306506500032</t>
  </si>
  <si>
    <t>Åkesson, S; Klaassen, R; Holmgren, J; Fox, JW; Hedenström, A</t>
  </si>
  <si>
    <t>Akesson, Susanne; Klaassen, Raymond; Holmgren, Jan; Fox, James W.; Hedenstrom, Anders</t>
  </si>
  <si>
    <t>Migration Routes and Strategies in a Highly Aerial Migrant, the Common Swift Apus apus, Revealed by Light-Level Geolocators</t>
  </si>
  <si>
    <t>SEASONAL DIFFERENCES; FLIGHT; PERFORMANCE; STOPOVER; BEHAVIOR; TRACKING; BIRDS; TIME</t>
  </si>
  <si>
    <t>The tracking of small avian migrants has only recently become possible by the use of small light-level geolocators, allowing the reconstruction of whole migration routes, as well as timing and speed of migration and identification of wintering areas. Such information is crucial for evaluating theories about migration strategies and pinpointing critical areas for migrants of potential conservation value. Here we report data about migration in the common swift, a highly aerial and long-distance migrating species for which only limited information based on ringing recoveries about migration routes and wintering areas is available. Six individuals were successfully tracked throughout a complete migration cycle from Sweden to Africa and back. The autumn migration followed a similar route in all individuals, with an initial southward movement through Europe followed by a more southwest-bound course through Western Sahara to Sub-Saharan stopovers, before a southeastward approach to the final wintering areas in the Congo basin. After approximately six months at wintering sites, which shifted in three of the individuals, spring migration commenced in late April towards a restricted stopover area in West Africa in all but one individual that migrated directly towards north from the wintering area. The first part of spring migration involved a crossing of the Gulf of Guinea in those individuals that visited West Africa. Spring migration was generally wind assisted within Africa, while through Europe variable or head winds were encountered. The average detour at about 50% could be explained by the existence of key feeding sites and wind patterns. The common swift adopts a mixed fly-and-forage strategy, facilitated by its favourable aerodynamic design allowing for efficient use of fuel. This strategy allowed swifts to reach average migration speeds well above 300 km/day in spring, which is higher than possible for similar sized passerines. This study demonstrates that new technology may drastically change our views about migration routes and strategies in small birds, as well as showing the unexpected use of very limited geographical areas during migration that may have important consequences for conservation strategies for migrants.</t>
  </si>
  <si>
    <t>[Akesson, Susanne; Klaassen, Raymond; Holmgren, Jan; Hedenstrom, Anders] Lund Univ, Dept Biol, Lund, Sweden; [Fox, James W.] British Antarctic Survey, NERC, Cambridge CB3 0ET, England</t>
  </si>
  <si>
    <t>Lund University; UK Research &amp; Innovation (UKRI); Natural Environment Research Council (NERC); NERC British Antarctic Survey</t>
  </si>
  <si>
    <t>Åkesson, S (corresponding author), Lund Univ, Dept Biol, Lund, Sweden.</t>
  </si>
  <si>
    <t>anders.hedenstrom@biol.lu.se</t>
  </si>
  <si>
    <t>Hedenström, Anders/F-5377-2010; Klaassen, Raymond/K-3027-2013; Åkesson, Susanne/F-3175-2015</t>
  </si>
  <si>
    <t>Hedenström, Anders/0000-0002-1757-0945; Åkesson, Susanne/0000-0001-9039-2180; Fox, James W./0000-0002-3107-696X</t>
  </si>
  <si>
    <t>Swedish Research Council [349-2007-8690, 621-2007-5930]; Lund University; Carl Tryggers Foundation; NERC [bas010013] Funding Source: UKRI; Natural Environment Research Council [bas010013] Funding Source: researchfish</t>
  </si>
  <si>
    <t>Swedish Research Council(Swedish Research Council); Lund University; Carl Tryggers Foundation; NERC(UK Research &amp; Innovation (UKRI)Natural Environment Research Council (NERC)); Natural Environment Research Council(UK Research &amp; Innovation (UKRI)Natural Environment Research Council (NERC))</t>
  </si>
  <si>
    <t>This project was financed by a Linnaeus grant (349-2007-8690) to the Centre for Animal Movement Research (CAnMove) from the Swedish Research Council and Lund University, and research grants from the Swedish Research Council (621-2007-5930) and the Carl Tryggers Foundation to S. Akesson. The funders had no role in study design, data collection and analysis, decision to publish, or preparation of the manuscript.</t>
  </si>
  <si>
    <t>JUL 18</t>
  </si>
  <si>
    <t>e41195</t>
  </si>
  <si>
    <t>10.1371/journal.pone.0041195</t>
  </si>
  <si>
    <t>975YY</t>
  </si>
  <si>
    <t>Green Published, Green Submitted, Green Accepted, gold</t>
  </si>
  <si>
    <t>WOS:000306548900096</t>
  </si>
  <si>
    <t>Fort, J; Beaugrand, G; Grémillet, D; Phillips, RA</t>
  </si>
  <si>
    <t>Fort, Jerome; Beaugrand, Gregory; Gremillet, David; Phillips, Richard A.</t>
  </si>
  <si>
    <t>Biologging, Remotely-Sensed Oceanography and the Continuous Plankton Recorder Reveal the Environmental Determinants of a Seabird Wintering Hotspot</t>
  </si>
  <si>
    <t>NORTH-ATLANTIC; CLIMATE; TRACKING; ECOLOGY; BIODIVERSITY; METABOLISM; MOVEMENTS; SHIFTS</t>
  </si>
  <si>
    <t>Marine environments are greatly affected by climate change, and understanding how this perturbation affects marine vertebrates is a major issue. In this context, it is essential to identify the environmental drivers of animal distribution. Here, we focused on the little auk (Alle alle), one of the world's most numerous seabirds and a major component in Arctic food webs. Using a multidisciplinary approach, we show how little auks adopt specific migratory strategies and balance environmental constraints to optimize their energy budgets. Miniature electronic loggers indicate that after breeding, birds from East Greenland migrate &gt;2000 km to overwinter in a restricted area off Newfoundland. Synoptic data available from the Continuous Plankton Recorder (CPR) indicate that this region harbours some of the highest densities of the copepod Calanus finmarchicus found in the North Atlantic during winter. Examination of large-scale climatic and oceanographic data suggests that little auks favour patches of high copepod abundance in areas where air temperature ranges from 0 degrees C to 5 degrees C. These results greatly advance our understanding of animal responses to extreme environmental constraints, and highlight that information on habitat preference is key to identifying critical areas for marine conservation.</t>
  </si>
  <si>
    <t>[Fort, Jerome] Aarhus Univ, Dept Biosci, Roskilde, Denmark; [Beaugrand, Gregory] Univ Sci &amp; Technol Lille 1, CNRS, UMR 8087, Lab Oceanol &amp; Geosci,Stn Marine, Wimereux, France; [Beaugrand, Gregory] Sir Alister Hardy Fdn Ocean Sci, Plymouth, Devon, England; [Gremillet, David] CNRS, UMR 5175, Ctr Ecol Fonct &amp; Evolut, Montpellier, France; [Gremillet, David] Univ Cape Town, Percy FitzPatrick Inst, DST NRF Ctr Excellence, ZA-7700 Rondebosch, South Africa; [Phillips, Richard A.] British Antarctic Survey, NERC, Cambridge CB3 0ET, England</t>
  </si>
  <si>
    <t>Aarhus University; Centre National de la Recherche Scientifique (CNRS); Universite de Lille;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National Research Foundation - South Africa; University of Cape Town; UK Research &amp; Innovation (UKRI); Natural Environment Research Council (NERC); NERC British Antarctic Survey</t>
  </si>
  <si>
    <t>Fort, J (corresponding author), Aarhus Univ, Dept Biosci, Roskilde, Denmark.</t>
  </si>
  <si>
    <t>fort.jerome@gmail.com</t>
  </si>
  <si>
    <t>Fort, Jerome/F-1157-2016; Gremillet, David/W-1946-2018</t>
  </si>
  <si>
    <t>Fort, Jerome/0000-0002-0860-6707; Gremillet, David/0000-0002-7711-9398; BEAUGRAND, GREGORY/0000-0002-0712-5223</t>
  </si>
  <si>
    <t>French Polar Institute [388]; Fyssen Foundation; European Commission [273061]; NERC [SAH01001, bas0100025] Funding Source: UKRI; Natural Environment Research Council [bas0100025, SAH01001] Funding Source: researchfish</t>
  </si>
  <si>
    <t>French Polar Institute; Fyssen Foundation; European Commission(European Union (EU)European Commission Joint Research Centre); NERC(UK Research &amp; Innovation (UKRI)Natural Environment Research Council (NERC)); Natural Environment Research Council(UK Research &amp; Innovation (UKRI)Natural Environment Research Council (NERC))</t>
  </si>
  <si>
    <t>This study was supported by the French Polar Institute Paul Emile Victor (Grant 388 to D. G. and J.F.) and grants from the Fyssen Foundation (to J.F.) and the European Commission (Marie Curie Intra European Fellowship to J.F.; Project 273061), and also represents a contribution to the British Antarctic Survey Ecosystems programme. The funders had no role in study design, data collection and analysis, decision to publish, or preparation of the manuscript.</t>
  </si>
  <si>
    <t>e41194</t>
  </si>
  <si>
    <t>10.1371/journal.pone.0041194</t>
  </si>
  <si>
    <t>Green Published, Green Accepted, gold, Green Submitted</t>
  </si>
  <si>
    <t>WOS:000306548900095</t>
  </si>
  <si>
    <t>Swanson, MM; Reavy, B; Makarova, KS; Cock, PJ; Hopkins, DW; Torrance, L; Koonin, EV; Taliansky, M</t>
  </si>
  <si>
    <t>Swanson, Maud M.; Reavy, Brian; Makarova, Kira S.; Cock, Peter J.; Hopkins, David W.; Torrance, Lesley; Koonin, Eugene V.; Taliansky, Michael</t>
  </si>
  <si>
    <t>Novel Bacteriophages Containing a Genome of Another Bacteriophage within Their Genomes</t>
  </si>
  <si>
    <t>HORIZONTAL GENE-TRANSFER; MARINE VIRUSES; SEQUENCE; DIVERSITY; FRAMESHIFT; GENERATION; EVOLUTION; ABUNDANCE; ELEMENTS; PHAGES</t>
  </si>
  <si>
    <t>A novel bacteriophage infecting Staphylococus pasteuri was isolated during a screen for phages in Antarctic soils. The phage named SpaA1 is morphologically similar to phages of the family Siphoviridae. The 42,784 bp genome of SpaA1 is a linear, double-stranded DNA molecule with 39 protruding cohesive ends. The SpaA1 genome encompasses 63 predicted protein-coding genes which cluster within three regions of the genome, each of apparently different origin, in a mosaic pattern. In two of these regions, the gene sets resemble those in prophages of Bacillus thuringiensis kurstaki str. T03a001 (genes involved in DNA replication/transcription, cell entry and exit) and B. cereus AH676 (additional regulatory and recombination genes), respectively. The third region represents an almost complete genome (except for the short terminal segments) of a distinct bacteriophage, MZTP02. Nearly the same gene module was identified in prophages of B. thuringiensis serovar monterrey BGSC 4AJ1 and B. cereus Rock4-2. These findings suggest that MZTP02 can be shuttled between genomes of other bacteriophages and prophages, leading to the formation of chimeric genomes. The presence of a complete phage genome in the genome of other phages apparently has not been described previously and might represent a 'fast track' route of virus evolution and horizontal gene transfer. Another phage (BceA1) nearly identical in sequence to SpaA1, and also including the almost complete MZTP02 genome within its own genome, was isolated from a bacterium of the B. cereus/B. thuringiensis group. Remarkably, both SpaA1 and BceA1 phages can infect B. cereus and B. thuringiensis, but only one of them, SpaA1, can infect S. pasteuri. This finding is best compatible with a scenario in which MZTP02 was originally contained in BceA1 infecting Bacillus spp, the common hosts for these two phages, followed by emergence of SpaA1 infecting S. pasteuri.</t>
  </si>
  <si>
    <t>[Swanson, Maud M.; Reavy, Brian; Cock, Peter J.; Hopkins, David W.; Torrance, Lesley; Taliansky, Michael] James Hutton Inst, Dundee, Scotland; [Makarova, Kira S.; Koonin, Eugene V.] NIH, Natl Ctr Biotechnol Informat, Natl Lib Med, Bethesda, MD 20892 USA</t>
  </si>
  <si>
    <t>James Hutton Institute; National Institutes of Health (NIH) - USA; NIH National Library of Medicine (NLM)</t>
  </si>
  <si>
    <t>Swanson, MM (corresponding author), James Hutton Inst, Dundee, Scotland.</t>
  </si>
  <si>
    <t>Brian.Reavy@hutton.ac.uk</t>
  </si>
  <si>
    <t>Taliansky, Michael/H-8483-2013; Swanson, Maud/L-4429-2013; GenePool, The/D-8812-2012; Cock, Peter/D-8730-2013</t>
  </si>
  <si>
    <t>Cock, Peter/0000-0001-9513-9993; Hopkins, David/0000-0003-0953-8643; Torrance, Lesley/0000-0001-8327-1276</t>
  </si>
  <si>
    <t>Scottish Government's Rural and Environment Science and Analytical Services (RESAS) Division; United States Department of Health and Human Services (National Library of Medicine, National Institutes of Health); BBSRC [BBS/E/D/20310000] Funding Source: UKRI; MRC [G0900740] Funding Source: UKRI; Medical Research Council [G0900740] Funding Source: researchfish</t>
  </si>
  <si>
    <t>Scottish Government's Rural and Environment Science and Analytical Services (RESAS) Division; United States Department of Health and Human Services (National Library of Medicine, National Institutes of Health); BBSRC(UK Research &amp; Innovation (UKRI)Biotechnology and Biological Sciences Research Council (BBSRC)); MRC(UK Research &amp; Innovation (UKRI)Medical Research Council UK (MRC)); Medical Research Council(UK Research &amp; Innovation (UKRI)Medical Research Council UK (MRC))</t>
  </si>
  <si>
    <t>The work of authors MMS, BR, PJC, DH, LT and MT was funded by the Scottish Government's Rural and Environment Science and Analytical Services (RESAS) Division. KSM and EVK are supported by the intramural funds of the United States Department of Health and Human Services (National Library of Medicine, National Institutes of Health). The funders had no role in study design, data collection and analysis, decision to publish, or preparation of the manuscript.</t>
  </si>
  <si>
    <t>JUL 17</t>
  </si>
  <si>
    <t>e40683</t>
  </si>
  <si>
    <t>10.1371/journal.pone.0040683</t>
  </si>
  <si>
    <t>975JG</t>
  </si>
  <si>
    <t>WOS:000306507000025</t>
  </si>
  <si>
    <t>Västermark, Å; Krishnan, A; Houle, ME; Fredriksson, R; Cerdá-Reverter, JM; Schiöth, HB</t>
  </si>
  <si>
    <t>Vastermark, Ake; Krishnan, Arunkumar; Houle, Michael E.; Fredriksson, Robert; Miguel Cerda-Reverter, Jose; Schioth, Helgi B.</t>
  </si>
  <si>
    <t>Identification of Distant Agouti-Like Sequences and Re-Evaluation of the Evolutionary History of the Agouti-Related Peptide (AgRP)</t>
  </si>
  <si>
    <t>ELEPHANT SHARK; MELANOCORTIN RECEPTORS; TISSUE DISTRIBUTION; GENOME DUPLICATION; SIGNALING PEPTIDE; PROTEIN AGRP; GENE; FAMILY; FISH; ANTAGONIST</t>
  </si>
  <si>
    <t>The Agouti-like peptides including AgRP, ASIP and the teleost-specific A2 (ASIP2 and AgRP2) peptides have potent and diverse functional roles in feeding, pigmentation and background adaptation mechanisms. There are contradictory theories about the evolution of the Agouti-like peptide family as well the nomenclature. Here we performed comprehensive mining and annotation of vertebrate Agouti-like sequences. We identified A2 sequences from salmon, trout, seabass, cod, cichlid, tilapia, gilt-headed sea bream, Antarctic toothfish, rainbow smelt, common carp, channel catfish and interestingly also in lobe-finned fish. Moreover, we surprisingly found eight novel homologues from the kingdom of arthropods and three from fungi, some sharing the characteristic C-x(6)-C-C motif which are present in the Agouti-like sequences, as well as approximate sequence length (130 amino acids), positioning of the motif sequence and sharing of exon-intron structures that are similar to the other Agouti-like peptides providing further support for the common origin of these sequences. Phylogenetic analysis shows that the AgRP sequences cluster basally in the tree, suggesting that these sequences split from a cluster containing both the ASIP and the A2 sequences. We also used a novel approach to determine the statistical evidence for synteny, a sinusoidal Hough transform pattern recognition technique. Our analysis shows that the teleost AgRP2 resides in a chromosomal region that has synteny with Hsa 8, but we found no convincing synteny between the regions that A2, AgRP and ASIP reside in, which would support that the Agouti-like peptides were formed by whole genome tetraplodization events. Here we suggest that the Agouti-like peptide genes were formed through classical subsequent gene duplications where the AgRP is the most distantly related to the three other members of that group, first splitting from a common ancestor to ASIP and A2, and then later the A2 split from ASIP followed by a split resulting in ASIP2 and AgRP2.</t>
  </si>
  <si>
    <t>[Vastermark, Ake; Krishnan, Arunkumar; Fredriksson, Robert; Schioth, Helgi B.] Uppsala Univ, Dept Neurosci, Uppsala, Sweden; [Houle, Michael E.] Res Org Informat &amp; Syst, Natl Inst Informat, Tokyo, Japan; [Miguel Cerda-Reverter, Jose] CSIC, Inst Acuicultura Torre de la Sal, Castellon de La Plana, Spain</t>
  </si>
  <si>
    <t>Uppsala University; Research Organization of Information &amp; Systems (ROIS); National Institute of Informatics (NII) - Japan; Consejo Superior de Investigaciones Cientificas (CSIC); CSIC - Instituto de Acuicultura de Torre de la Sal (IATS)</t>
  </si>
  <si>
    <t>Västermark, Å (corresponding author), Uppsala Univ, Dept Neurosci, Uppsala, Sweden.</t>
  </si>
  <si>
    <t>ake.vastermark@neuro.uu.se</t>
  </si>
  <si>
    <t>Fredriksson, Robert/AAH-3921-2019; Cerda-Reverter, Jose Miguel/K-4934-2014; Schioth, Helgi/AAQ-7239-2020</t>
  </si>
  <si>
    <t>Fredriksson, Robert/0000-0002-2810-3226; Cerda-Reverter, Jose Miguel/0000-0003-1405-5750; Krishnan, Arunkumar/0000-0002-9677-9092; Houle, Michael/0000-0001-8486-8015</t>
  </si>
  <si>
    <t>Swedish Research Council; Recursos y Tecnologias Agroalimentarias (AGL) [2010-22247-C03-01/Incite09402193PR/CSD 2007-00002]</t>
  </si>
  <si>
    <t>Swedish Research Council(Swedish Research Council); Recursos y Tecnologias Agroalimentarias (AGL)</t>
  </si>
  <si>
    <t>The studies were supported by the Swedish Research Council to HS and by Recursos y Tecnologias Agroalimentarias (AGL) 2010-22247-C03-01/Incite09402193PR/CSD 2007-00002 to JMCR. The funders had no role in study design, data collection and analysis, decision to publish, or preparation of the manuscript.</t>
  </si>
  <si>
    <t>JUL 16</t>
  </si>
  <si>
    <t>e40982</t>
  </si>
  <si>
    <t>10.1371/journal.pone.0040982</t>
  </si>
  <si>
    <t>974VS</t>
  </si>
  <si>
    <t>WOS:000306466100103</t>
  </si>
  <si>
    <t>Golledge, NR; Mackintosh, AN; Anderson, BM; Buckley, KM; Doughty, AM; Barrell, DJA; Denton, GH; Vandergoes, MJ; Andersen, BG; Schaefer, JM</t>
  </si>
  <si>
    <t>Golledge, Nicholas R.; Mackintosh, Andrew N.; Anderson, Brian M.; Buckley, Kevin M.; Doughty, Alice M.; Barrell, David J. A.; Denton, George H.; Vandergoes, Marcus J.; Andersen, Bjorn G.; Schaefer, Joerg M.</t>
  </si>
  <si>
    <t>Last Glacial Maximum climate in New Zealand inferred from a modelled Southern Alps icefield</t>
  </si>
  <si>
    <t>Ice-sheet modelling; Palaeoclimate; Glaciology; Glacial geology</t>
  </si>
  <si>
    <t>ANTARCTIC ICE-SHEET; FRANZ-JOSEF-GLACIER; SEA-SURFACE TEMPERATURES; O-HINE-HUKATERE; WEST ANTARCTICA; LYNDON STREAM; SENSITIVITY; FLOW; PRECIPITATION; VARIABILITY</t>
  </si>
  <si>
    <t>We present a simulation of the New Zealand Southern Alps icefield at the last Glacial Maximum (LGM, c. 30,000-20,000 calendar years ago (ka)) in an attempt to constrain the climate of that period. We use a 500 m-resolution ice-sheet model parameterised using empirical glaciological, climatological and geological data specific to the model domain to simulate the entire Southern Alps icefield. We find that an LGM cooling of at least 6-6.5 degrees C is necessary to bring about valley glaciers that extend beyond the mountains. However, climate-topography thresholds related to the elevation and hypsometry of individual catchments control the gradient of the rate of glacier expansion in the domain, and in order to remain within geologically reconstructed LGM limits we find that the LGM cooling was most likely associated with a precipitation regime up to 25% drier than today. Wetter-than-present scenarios give rise to equilibrium line depressions and ice extents that are incompatible with empirical evidence. These results perhaps indicate that either the westerly air masses affecting New Zealand during the LGM were drier than today, or that they were weaker or zonally displaced with respect to present. (c) 2012 Elsevier Ltd. All rights reserved.</t>
  </si>
  <si>
    <t>[Golledge, Nicholas R.; Mackintosh, Andrew N.; Anderson, Brian M.; Doughty, Alice M.] Victoria Univ Wellington, Antarctic Res Ctr, Wellington 6140, New Zealand; [Buckley, Kevin M.] Victoria Univ Wellington, Sch Engn &amp; Comp Sci, Wellington 6140, New Zealand; [Barrell, David J. A.] GNS Sci, Dunedin 9054, New Zealand; [Denton, George H.] Univ Maine, Bryand Global Sci Ctr, Dept Earth Sci &amp; Climate Change Inst, Orono, ME 04469 USA; [Vandergoes, Marcus J.] GNS Sci, Lower Hutt 5040, New Zealand; [Andersen, Bjorn G.] Univ Oslo, Dept Geol, N-0316 Oslo, Norway; [Schaefer, Joerg M.] Columbia Univ, Lamont Doherty Earth Observ, Palisades, NY 10964 USA</t>
  </si>
  <si>
    <t>Victoria University Wellington; Victoria University Wellington; GNS Science - New Zealand; University of Maine System; University of Maine Orono; GNS Science - New Zealand; University of Oslo; Columbia University</t>
  </si>
  <si>
    <t>Golledge, Nicholas/0000-0001-7676-8970; Mackintosh, Andrew/0000-0002-6430-4711</t>
  </si>
  <si>
    <t>VUW Foundation grant ARCMORG, a University of Canterbury Bluefern HPC 'Grand Challenge' award; Corner Science and Education Foundation; Directorate For Geosciences; Division Of Earth Sciences [0745781] Funding Source: National Science Foundation; Division Of Earth Sciences; Directorate For Geosciences [0823521] Funding Source: National Science Foundation</t>
  </si>
  <si>
    <t>VUW Foundation grant ARCMORG, a University of Canterbury Bluefern HPC 'Grand Challenge' award; Corner Science and Education Foundation; Directorate For Geosciences; Division Of Earth Sciences(National Science Foundation (NSF)NSF - Directorate for Geosciences (GEO)); Division Of Earth Sciences; Directorate For Geosciences(National Science Foundation (NSF)NSF - Directorate for Geosciences (GEO))</t>
  </si>
  <si>
    <t>We are grateful for financial support from VUW Foundation grant ARCMORG, a University of Canterbury Bluefern HPC 'Grand Challenge' award, and the Corner Science and Education Foundation. We appreciate ongoing Bluefern support from Tony Dale and Tim David, and are especially grateful to Ed Bueler, Constantine Khroulev and Andy Aschwanden for guidance with PISM. Ann Rowan and two anonymous referees provided comments that improved the paper.</t>
  </si>
  <si>
    <t>10.1016/j.quascirev.2012.05.004</t>
  </si>
  <si>
    <t>973HI</t>
  </si>
  <si>
    <t>WOS:000306350400002</t>
  </si>
  <si>
    <t>Morgan, A; Neal, L</t>
  </si>
  <si>
    <t>Morgan, Andrew; Neal, Lance</t>
  </si>
  <si>
    <t>Aspects of reproductive ecology and benthic-pelagic coupling in the sub-antarctic sea cucumber Pseudostichopus mollis (Theel)</t>
  </si>
  <si>
    <t>Sea cucumber; Continental shelf; Antarctic; Echinoderm reproduction; Benthic-pelagic coupling; Biological oceanography</t>
  </si>
  <si>
    <t>NORTHEAST ATLANTIC; BENTHOGONE-ROSEA; HOLOTHURIANS; BIOLOGY; ECHINODERMATA; INVERTEBRATES; HOLOTHUROIDEA; ELASIPODA; FLOOR; SHELF</t>
  </si>
  <si>
    <t>For deeper regions of the continental shelf environmental cues entraining reproduction in echinoderms are often absent, which contributes to adoption of continuous reproduction, having larger eggs, and a lecithotrophic mode of larval development. In the present study the sub-Antarctic sea cucumber Pseudostichopus mollis from the family Synallactidae was obtained during June (winter) and September (spring) from a depth of approximately 300 m north of the Auckland Islands in an area abundant in biogenic sediments. Samples were processed for body indices and gonad development. Features characteristic of non-continuous reproduction were exhibited. Although a larger egg size was found (212 +/- 14 mu m), two distinct winter cohorts of oocytes occurred (41-81 and 161-201 mu m) and body wall weight fluctuations (7.6% increase in males and 27.5% reduction in females) coincided with changes in gonad indices between sample dates. For males gonad as a proportion of body wall weight decreased from 3.31 +/- 0.9 to 2.11 +/- 0.37% and for females it increased from 1.59 +/- 0.28 to 2.5 +/- 0.30%. For both sample dates the gonad of males maintained mature spermatozoa whereas female gonad shifted from mainly recovery and growth of oocytes to growth and advanced growth of mature oocytes. In habitats with low or variable food availability intermittent reproduction is predicted as resources are too low for a high reproductive effort and too erratic for synchrony. A pattern of reproduction where fluctuations in seasonal organic input into an accumulated benthic food source initiates and synchronises gametogenesis for future spawning is proposed. (c) 2012 Elsevier Ltd. All rights reserved.</t>
  </si>
  <si>
    <t>[Morgan, Andrew; Neal, Lance] Bay Plenty Polytech, Sch Appl Sci, Tauranga, New Zealand</t>
  </si>
  <si>
    <t>Bay of Plenty Polytechnic</t>
  </si>
  <si>
    <t>Morgan, A (corresponding author), Bay Plenty Polytech, Sch Appl Sci, Private Bag TG12001, Tauranga, New Zealand.</t>
  </si>
  <si>
    <t>seadoc71@gmail.com; lanceneal@hotmail.co.nz</t>
  </si>
  <si>
    <t>JUL 15</t>
  </si>
  <si>
    <t>10.1016/j.csr.2012.04.013</t>
  </si>
  <si>
    <t>981PC</t>
  </si>
  <si>
    <t>WOS:000306980400004</t>
  </si>
  <si>
    <t>Landrum, L; Holland, MM; Schneider, DP; Hunke, E</t>
  </si>
  <si>
    <t>Landrum, Laura; Holland, Marika M.; Schneider, David P.; Hunke, Elizabeth</t>
  </si>
  <si>
    <t>Antarctic Sea Ice Climatology, Variability, and Late Twentieth-Century Change in CCSM4</t>
  </si>
  <si>
    <t>SOUTHERN-HEMISPHERE CLIMATE; CIRCUMPOLAR WAVE; SURFACE TEMPERATURE; DECADAL VARIABILITY; COUPLED MODELS; ANNULAR MODE; OCEAN; EXTENT; ENSO; CIRCULATION</t>
  </si>
  <si>
    <t>A preindustrial control run and an ensemble of twentieth-century integrations of the Community Climate System Model, version 4 (CCSM4), are evaluated for Antarctic sea ice climatology, modes of variability, trends, and covariance with related physical variables such as surface temperature and sea level pressure. Compared to observations, the mean ice cover is too extensive in all months. This is in part related to excessively strong westerly winds over similar to 50 degrees-60 degrees S, which drive a large equatorward meridional ice transport and enhanced ice growth near the continent and also connected with a cold bias in the Southern Ocean. In spite of these biases in the climatology, the model's sea ice variability compares well to observations. The leading mode of austral winter sea ice concentration exhibits a dipole structure with anomalies of opposite sign in the Atlantic and Pacific sectors. Both the El Nino Southern Oscillation and the southern annular mode (SAM) project onto this mode. In twentieth-century integrations, Antarctic sea ice area exhibits significant decreasing annual trends in all six ensemble members from 1950 to 2005, in apparent contrast to observations that suggest a modest ice area increase since 1979. Two ensemble members show insignificant changes when restricted to 1979-2005. The ensemble mean shows a significant increase in the austral summer SAM index over 1960-2005 and 1979-2005 that compares well with the observed SAM trend. However, Antarctic warming and sea ice loss in the model are closely connected to each other and not to the trend in the SAM.</t>
  </si>
  <si>
    <t>[Landrum, Laura; Holland, Marika M.; Schneider, David P.] Natl Ctr Atmospher Res, Boulder, CO 80307 USA; [Hunke, Elizabeth] Los Alamos Natl Lab, Los Alamos, NM USA</t>
  </si>
  <si>
    <t>National Center Atmospheric Research (NCAR) - USA; United States Department of Energy (DOE); Los Alamos National Laboratory</t>
  </si>
  <si>
    <t>Landrum, L (corresponding author), POB 3000, Boulder, CO 80307 USA.</t>
  </si>
  <si>
    <t>landrum@ucar.edu</t>
  </si>
  <si>
    <t>Schneider, David/E-2726-2010</t>
  </si>
  <si>
    <t>Schneider, David/0000-0001-5308-1834; Landrum, Laura/0000-0002-6003-1146; Holland, Marika/0000-0001-5621-8939</t>
  </si>
  <si>
    <t>National Science Foundation's Office of Polar Programs [0908675, 0838871]; National Science Foundation; Directorate For Geosciences; Office of Polar Programs (OPP) [0838871, 0908675] Funding Source: National Science Foundation</t>
  </si>
  <si>
    <t>National Science Foundation's Office of Polar Programs(National Science Foundation (NSF)); National Science Foundation(National Science Foundation (NSF)); Directorate For Geosciences; Office of Polar Programs (OPP)(National Science Foundation (NSF)NSF - Directorate for Geosciences (GEO))</t>
  </si>
  <si>
    <t>Laura Landrum and D. Schneider were supported by grants from the National Science Foundation's Office of Polar Programs, Grants 0908675 and 0838871, respectively. The National Center for Atmospheric Research is sponsored by the National Science Foundation. We thank A. Phillips for processing much of the atmospheric model output analyzed here. We acknowledge the Computational and Information resources through the Climate Simulation Laboratory. Additionally, we thank the community of scientists and software engineers who have been instrumental in the development of CCSM4 and the helpful and constructive comments from the reviewers.</t>
  </si>
  <si>
    <t>10.1175/JCLI-D-11-00289.1</t>
  </si>
  <si>
    <t>982FI</t>
  </si>
  <si>
    <t>WOS:000307027800004</t>
  </si>
  <si>
    <t>Gomez, B; Livingston, DM</t>
  </si>
  <si>
    <t>Gomez, Basil; Livingston, David M.</t>
  </si>
  <si>
    <t>The river it goes right on: Post-glacial landscape evolution in the upper Waipaoa River basin, eastern North Island, New Zealand</t>
  </si>
  <si>
    <t>GEOMORPHOLOGY</t>
  </si>
  <si>
    <t>Waipaoa River basin; New Zealand; River terraces; Landscape evolution; Incision; Post-glacial</t>
  </si>
  <si>
    <t>MARINE SEDIMENT CORES; FLUVIAL INCISION; INTERCORRELATED TERRESTRIAL; HIKURANGI MARGIN; UPLIFT RATES; ROCK-UPLIFT; SYSTEM; AGGRADATION; TECTONICS; TERRACES</t>
  </si>
  <si>
    <t>Post-glacial incision created 50 to 120 m of relief in the headwaters of the Waipaoa River basin, but it is not known how the signal of incision propagated along the trunk streams. We addressed this issue by imposing previously determined long-term rates of rock uplift, that vary between 0.6 and 4 mm year(-1). on the preaggradation longitudinal profile. Acting over the past 27.1 +/- 2 cal.ka BP, these rates are sufficient to passively elevate the Waipaoa-1 terrace to its present level. But during the Last Glacial Maximum, rates of vertical incision failed to match those of the uplifting rocks. Thus, by the time favorable conditions for incision were reestablished after the Antarctic Cold/New Zealand Late Glacial reversal we estimate that the channel would have been elevated &lt;= 55 m above the datum the river should otherwise have maintained. The channel incised rapidly after the transition from glacial to interglacial conditions and reacquired its steady-state form in the mid-Holocene (5.5 +/- 2 cal. ka BP). Thereafter, we suggest rates of incision matched rates of uplift. No knickpoints are found on the upper Waipaoa and Mangatu Rivers because incision commenced simultaneously along the entire length of the trunk streams, and the pattern of incision is consistent with the downstream decline in the rate of rock uplift. We also used hypsometric analysis to show how post-glacial incision affected the surface morphology of low order (0.1-4.3 km(2)) drainages in the headwaters of the Waipaoa River basin. Values of the hypsometric integral are higher for proximal basins, which the incision signal did not permeate, than for low-order basins bordering the upper Waipaoa River and the lower reaches of tributaries that possessed enough erosive capacity to keep pace with incision along the mainstem. Hillslope adjustments were focused on the lower and mid-sections of these basins so that the most pronounced changes to the hypsometric curve occur in the vicinity of the toe, whereas the entire form of the hypsometric curve changes once mass wasting processes encroach onto hillslopes in the middle and upper sections of a basin. (c) 2012 Elsevier B.V. All rights reserved.</t>
  </si>
  <si>
    <t>[Gomez, Basil] Univ Hawaii Manoa, Dept Geog, Honolulu, HI 96822 USA; [Livingston, David M.] City Los Angeles, Dept Water &amp; Power, Bishop, CA 93514 USA</t>
  </si>
  <si>
    <t>University of Hawaii System; University of Hawaii Manoa; Los Angeles Department of Water &amp; Power (LADWP)</t>
  </si>
  <si>
    <t>Gomez, B (corresponding author), Univ Hawaii Manoa, Dept Geog, Honolulu, HI 96822 USA.</t>
  </si>
  <si>
    <t>basilg@hawaii.edu</t>
  </si>
  <si>
    <t>Gomez, Basil/0000-0002-5762-3183</t>
  </si>
  <si>
    <t>National Science Foundation [BCS-0317570]; New Zealand Foundation for Research, Science and Technology [C05X0705]</t>
  </si>
  <si>
    <t>National Science Foundation(National Science Foundation (NSF)); New Zealand Foundation for Research, Science and Technology(New Zealand Foundation for Research, Science and Technology)</t>
  </si>
  <si>
    <t>We thank Ben Crosby and Mike Marden for sharing electronic versions of their knickpoint and terrace elevation data sets with us and Kathleen Marsaglia for the Waipaoa-1 particle size data. This work was supported by the National Science Foundation (grant BCS-0317570) and the New Zealand Foundation for Research, Science and Technology (contract C05X0705).</t>
  </si>
  <si>
    <t>0169-555X</t>
  </si>
  <si>
    <t>1872-695X</t>
  </si>
  <si>
    <t>Geomorphology</t>
  </si>
  <si>
    <t>10.1016/j.geomorph.2012.03.006</t>
  </si>
  <si>
    <t>963XS</t>
  </si>
  <si>
    <t>WOS:000305658900007</t>
  </si>
  <si>
    <t>Thibeault, D; Gauthier, C; Legault, J; Bouchard, J; Gagné, L; Pichette, A</t>
  </si>
  <si>
    <t>Thibeault, Dominic; Gauthier, Charles; Legault, Jean; Bouchard, Jimmy; Gagne, Louis; Pichette, Andre</t>
  </si>
  <si>
    <t>Synthesis and cytotoxicity of lupane-type triterpenoid glyceryl esters</t>
  </si>
  <si>
    <t>BIOORGANIC &amp; MEDICINAL CHEMISTRY LETTERS</t>
  </si>
  <si>
    <t>Triterpenes; Lupane; Betulinic acid; Betulin; Glyceryl esters; Cytotoxicity; Anticancer</t>
  </si>
  <si>
    <t>BETULINIC ACID; ANTARCTIC NUDIBRANCH; DITERPENOIC ACID; CELL-LINES; SKIN; DIACYLGLYCEROLS; STEREOCHEMISTRY; KERGUELENENSIS; DERIVATIVES; CHEMISTRY</t>
  </si>
  <si>
    <t>A new series of betulinic acid and betulin derivatives were synthesized by introducing a D-glycerol moiety at the C-3 and/or C-28 positions of the lupane skeleton. The resulting glyceryl esters were evaluated in vitro for their cytotoxic activity against A549, DLD-1 and WS1 human cell lines. The structure-activity relationships study revealed that the incorporation of a glycerol unit at the C-3 or C-28 position of the lupane core resulted in compounds exhibiting potent cytotoxic activity together with decreased liposolubility. (C) 2012 Elsevier Ltd. All rights reserved.</t>
  </si>
  <si>
    <t>[Thibeault, Dominic; Gauthier, Charles; Legault, Jean; Bouchard, Jimmy; Gagne, Louis; Pichette, Andre] Univ Quebec Chicoutimi, Dept Sci Fondamentales, LASEVE, Chaire Rech Agents Anticanc Origine Nat, Chicoutimi, PQ G7H 2B1, Canada; [Gauthier, Charles] Univ Poitiers, Inst Chim IC2MP, UMR 7285, CNRS, F-86022 Poitiers, France</t>
  </si>
  <si>
    <t>University of Quebec; University of Quebec Chicoutimi; Centre National de la Recherche Scientifique (CNRS); CNRS - Institute of Chemistry (INC); Universite de Poitiers</t>
  </si>
  <si>
    <t>Pichette, A (corresponding author), Univ Quebec Chicoutimi, Dept Sci Fondamentales, LASEVE, Chaire Rech Agents Anticanc Origine Nat, 555 Boul Univ, Chicoutimi, PQ G7H 2B1, Canada.</t>
  </si>
  <si>
    <t>andre_pichette@uqac.ca</t>
  </si>
  <si>
    <t>Gauthier, Charles/ADW-4897-2022; Gauthier, Charles/AAF-8484-2019</t>
  </si>
  <si>
    <t>Gauthier, Charles/0000-0002-2475-2050; Gauthier, Charles/0000-0002-2475-2050</t>
  </si>
  <si>
    <t>Fonds Quebecois de la Recherche sur la Nature et les Technologies; Chaire de Recherche sur les Agents Anticancereux d'Origine Naturelle of Universite du Quebec a Chicoutimi</t>
  </si>
  <si>
    <t>Fonds Quebecois de la Recherche sur la Nature et les Technologies(FQRNT); Chaire de Recherche sur les Agents Anticancereux d'Origine Naturelle of Universite du Quebec a Chicoutimi</t>
  </si>
  <si>
    <t>We thank Catherine Dussault for performing the biological assays and Professor Francois-Xavier Garneau for proof-reading this manuscript. This work was supported by Grants from the Fonds Quebecois de la Recherche sur la Nature et les Technologies (fonds forestier 02) and by the Chaire de Recherche sur les Agents Anticancereux d'Origine Naturelle of Universite du Quebec a Chicoutimi.</t>
  </si>
  <si>
    <t>0960-894X</t>
  </si>
  <si>
    <t>BIOORG MED CHEM LETT</t>
  </si>
  <si>
    <t>Bioorg. Med. Chem. Lett.</t>
  </si>
  <si>
    <t>10.1016/j.bmcl.2012.05.073</t>
  </si>
  <si>
    <t>Chemistry, Medicinal; Chemistry, Organic</t>
  </si>
  <si>
    <t>Pharmacology &amp; Pharmacy; Chemistry</t>
  </si>
  <si>
    <t>970AU</t>
  </si>
  <si>
    <t>WOS:000306101300048</t>
  </si>
  <si>
    <t>Sequeida, A; Tapia, E; Ortega, M; Zamora, P; Castro, A; Montes, C; Zúñiga, GE; Prieto, H</t>
  </si>
  <si>
    <t>Sequeida, Alvaro; Tapia, Eduardo; Ortega, Marcelo; Zamora, Pablo; Castro, Alvaro; Montes, Christian; Zuniga, Gustavo E.; Prieto, Humberto</t>
  </si>
  <si>
    <t>Production of phenolic metabolites by Deschampsia antarctica shoots using UV-B treatments during cultivation in a photobioreactor</t>
  </si>
  <si>
    <t>ELECTRONIC JOURNAL OF BIOTECHNOLOGY</t>
  </si>
  <si>
    <t>Deschampsia antarctica; phenolic compounds; temporary immersion bioreactor; UV-B elicitation</t>
  </si>
  <si>
    <t>TEMPORARY IMMERSION SYSTEMS; ULTRAVIOLET-B; RADIATION; PLANTS; MICROPROPAGATION; FLAVONOIDS; BIOSYNTHESIS; BIOREACTORS; RESPONSES; PATHWAYS</t>
  </si>
  <si>
    <t>Deschampsia antarctica (DA), the only species in the Gramineae family endemic to the Antarctic territory, is characterized by a combination of high levels of free endogenous phenylpropanoid compounds under normal in situ and in vitro growth conditions. In this article, we describe the design and use of a specific temporary immersion photobioreactor to produce both increased DA biomass and secondary metabolite accumulation by UV-B elicitation during cultivation. Three min-long immersions in an induction medium applied every 4 hrs at 14 degrees C +/- 1 and 20/4 hrs light/darkness photoperiod increased DA biomass production over previous in vitro reports. Biomass duplication was obtained at day 10.7 of culturing, and maximum total phenolics and antioxidant activity were observed after 14 day of culturing. The addition of UV-B radiation pulses for 0.5 hrs at 6 hrs intervals increased total phenolics and antioxidant activity more than 3- and 1.5- fold, respectively, compared to controls with no UV-B. Significant accumulation of scopoletin, chlorogenic acid, gallic acid and rutin was found in these plantlets. This is the first bioreactor designed to optimize biomass and phenylpropanoid production in DA.</t>
  </si>
  <si>
    <t>[Montes, Christian; Prieto, Humberto] Ctr Reg Invest Platina, Inst Invest Agr, Santiago, Chile; [Sequeida, Alvaro; Tapia, Eduardo] Pontificia Univ Catolica Valparaiso, Univ Tecn Federico Santa Maria, Programa Doctorado Biotecnol, Valparaiso, Chile; [Ortega, Marcelo; Castro, Alvaro] Univ Santiago Chile, Programa Doctorado Biotecnol, Santiago, Chile; [Zamora, Pablo] Univ Calif Davis, Dept Plant Sci, Davis, CA USA; [Zuniga, Gustavo E.] Univ Santiago Chile, Fac Quim &amp; Biol, Dept Biol, Santiago, Chile</t>
  </si>
  <si>
    <t>Universidad Tecnica Federico Santa Maria; Pontificia Universidad Catolica de Valparaiso; Universidad de Santiago de Chile; University of California System; University of California Davis; Universidad de Santiago de Chile</t>
  </si>
  <si>
    <t>Prieto, H (corresponding author), Ctr Reg Invest Platina, Inst Invest Agr, Santiago, Chile.</t>
  </si>
  <si>
    <t>hprieto@inia.cl</t>
  </si>
  <si>
    <t>Prieto, H./B-4400-2008; Zamora, Pablo A/D-1612-2012; Zuñiga, Gustavo E/P-8306-2015; Montes, Christian F/M-2398-2014; Tapia, Eduardo/AAA-4295-2022</t>
  </si>
  <si>
    <t>Prieto, H./0000-0002-9013-1906; Tapia, Eduardo/0000-0001-5705-098X; Montes, Christian/0000-0003-1249-2308; Zuniga, Gustavo/0000-0002-8286-9468</t>
  </si>
  <si>
    <t>FONDEF; Instituto Chileno Antartico; BIOFRUTALES</t>
  </si>
  <si>
    <t>FONDEF, Instituto Chileno Antartico, BIOFRUTALES.</t>
  </si>
  <si>
    <t>UNIV CATOLICA DE VALPARAISO</t>
  </si>
  <si>
    <t>VALPARAISO</t>
  </si>
  <si>
    <t>AV BRASIL 2950, PO BOX 4059, VALPARAISO, CHILE</t>
  </si>
  <si>
    <t>0717-3458</t>
  </si>
  <si>
    <t>ELECTRON J BIOTECHN</t>
  </si>
  <si>
    <t>Electron. J. Biotechnol.</t>
  </si>
  <si>
    <t>10.2225/vol15-issue4-fulltext-7</t>
  </si>
  <si>
    <t>981WZ</t>
  </si>
  <si>
    <t>Green Published, Green Submitted, hybrid</t>
  </si>
  <si>
    <t>WOS:000307004700007</t>
  </si>
  <si>
    <t>Dinniman, MS; Klinck, JM; Hofmann, EE</t>
  </si>
  <si>
    <t>Dinniman, Michael S.; Klinck, John M.; Hofmann, Eileen E.</t>
  </si>
  <si>
    <t>Sensitivity of Circumpolar Deep Water Transport and Ice Shelf Basal Melt along the West Antarctic Peninsula to Changes in the Winds</t>
  </si>
  <si>
    <t>SOUTHERN ANNULAR MODE; SEA-ICE; ROSS SEA; CONTINENTAL-SHELF; PHYTOPLANKTON GROWTH; CLIMATE-CHANGE; IRON LIMITATION; OCEAN SYSTEM; PART I; CIRCULATION</t>
  </si>
  <si>
    <t>Circumpolar Deep Water (CDW) can be found near the continental shelf break around most of Antarctica. Advection of this relatively warm water (up to 2 degrees C) across the continental shelf to the base of floating ice shelves is thought to be a critical source of heat for basal melting in some locations. A high-resolution (4 km) regional ocean-sea ice-ice shelf model of the west Antarctic Peninsula (WAP) coastal ocean was used to examine the effects of changes in the winds on across-shelf CDW transport and ice shelf basal melt. Increases and decreases in the strength of the wind fields were simulated by scaling the present-day winds by a constant factor. Additional simulations considered effects of increased Antarctic Circumpolar Current (ACC) transport. Increased wind strength and ACC transport increased the amount of CDW transported onto the WAP continental shelf but did not necessarily increase CDW flux underneath the nearby ice shelves. The basal melt underneath some of the deeper ice shelves actually decreased with increased wind strength. Increased mixing over the WAP shelf due to stronger winds removed more heat from the deeper shelf waters than the additional heat gained from increased CDW volume transport. The simulation results suggest that the effect on the WAP ice shelves of the projected strengthening of the polar westerlies is not a simple matter of increased winds causing increased (or decreased) basal melt. A simple budget calculation indicated that iron associated with increased vertical mixing of CDW could significantly affect biological productivity of this region.</t>
  </si>
  <si>
    <t>[Dinniman, Michael S.; Klinck, John M.; Hofmann, Eileen E.] Old Dominion Univ, Ctr Coastal Phys Oceanog, Norfolk, VA 23508 USA</t>
  </si>
  <si>
    <t>Old Dominion University</t>
  </si>
  <si>
    <t>Dinniman, MS (corresponding author), Old Dominion Univ, Ctr Coastal Phys Oceanog, 4111 Monarch Way, Norfolk, VA 23508 USA.</t>
  </si>
  <si>
    <t>msd@ccpo.odu.edu</t>
  </si>
  <si>
    <t>Klinck, John/0000-0003-4312-5201; Dinniman, Michael/0000-0001-7519-9278</t>
  </si>
  <si>
    <t>National Science Foundation [ANT-0523172, OCE-0927797]; U.S. National Science Foundation; Ohio State University; University of Colorado; Directorate For Geosciences; Division Of Ocean Sciences [0927797] Funding Source: National Science Foundation; Directorate For Geosciences; Office of Polar Programs (OPP) [0944223] Funding Source: National Science Foundation</t>
  </si>
  <si>
    <t>National Science Foundation(National Science Foundation (NSF)); U.S. National Science Foundation(National Science Foundation (NSF)); Ohio State University(Ohio State University); University of Colorado; Directorate For Geosciences; Division Of Ocean Sciences(National Science Foundation (NSF)NSF - Directorate for Geosciences (GEO)); Directorate For Geosciences; Office of Polar Programs (OPP)(National Science Foundation (NSF)NSF - Directorate for Geosciences (GEO))</t>
  </si>
  <si>
    <t>This research was supported by the National Science Foundation under Grants ANT-0523172 and OCE-0927797. The AMPS data were provided by John Cassano, and AMPS is supported by U.S. National Science Foundation support to NCAR, the Ohio State University, and the University of Colorado. This paper was greatly improved by comments from the three reviewers.</t>
  </si>
  <si>
    <t>10.1175/JCLI-D-11-00307.1</t>
  </si>
  <si>
    <t>WOS:000307027800003</t>
  </si>
  <si>
    <t>Blanco-Ameijeiras, S; Lebrato, M; Stoll, HM; Iglesias-Rodriguez, MD; Méndez-Vicente, A; Sett, S; Müller, MN; Oschlies, A; Schulz, KG</t>
  </si>
  <si>
    <t>Blanco-Ameijeiras, S.; Lebrato, M.; Stoll, H. M.; Iglesias-Rodriguez, M. D.; Mendez-Vicente, A.; Sett, S.; Mueller, M. N.; Oschlies, A.; Schulz, K. G.</t>
  </si>
  <si>
    <t>Removal of organic magnesium in coccolithophore calcite</t>
  </si>
  <si>
    <t>FORAMINIFERAL MG/CA; EMILIANIA-HUXLEYI; PLANKTONIC-FORAMINIFERA; OCEAN ACIDIFICATION; SEAWATER STRONTIUM; CARBONATE; MG; CALCIFICATION; TEMPERATURE; RESPONSES</t>
  </si>
  <si>
    <t>Coccolithophore calcite refers to the plates of calcium carbonate (CaCO3) produced by the calcifying phytoplankton, coccolithophores. The empirical study of the elemental composition has a great potential in the development of paleoproxies. However, the difficulties to separate coccolithophore carbonates from organic phases hamper the investigation of coccoliths magnesium to calcium ratios (Mg/Ca) in biogeochemical studies. Magnesium (Mg) is found in organic molecules in the cells at concentrations up to 400 times higher than in inorganically precipitated calcite in present-day seawater. The aim of this study was to optimize a reliable procedure for organic Mg removal from coccolithophore samples to ensure reproducibility in measurements of inorganic Mg in calcite. Two baseline methods comprising organic matter oxidations with (1) bleach and (2) hydrogen peroxide (H2O2) were tested on synthetic pellets, prepared by mixing reagent grade CaCO3 with organic matter from the non-calcifying marine algae Chlorella autotrophica and measured with an ICP-AES (inductively coupled plasma-atomic emission spectrometer). Our results show that treatments with a reductive solution [using hydroxylamine-hydrochloride (NH2OH center dot HCl + NH4OH)] followed by three consecutive oxidations (using H2O2) yielded the best cleaning efficiencies, removing &gt;99% of organic Mg in 24 h. P/Ca and Fe/Ca were used as indicators for organic contamination in the treated material. The optimized protocol was tested in dried coccolithophore pellets from batch cultures of Emiliania huxleyi, Calcidiscus leptoporus and Gephyrocapsa oceanica. Mg/Ca of treated coccolithophores were 0.151 +/- 0.018, 0.220 +/- 0.040, and 0.064 +/- 0.023 mmol/mol, respectively. Comparison with Mg/Ca literature coccolith values, suggests a tight dependence on modern seawater Mg/Ca, which changes as a consequence of different seawater origins (&lt;10%). The reliable determination of Mg/Ca and Sr/Ca, and the low levels of organic contamination (Fe/Ca and P/Ca) make this protocol applicable to field and laboratory studies of trace elemental composition in coccolithophore calcite. (C) 2012 Elsevier Ltd. All rights reserved.</t>
  </si>
  <si>
    <t>[Blanco-Ameijeiras, S.; Iglesias-Rodriguez, M. D.] Univ Southampton, Natl Oceanog Ctr, Southampton SO14 3ZH, Hants, England; [Lebrato, M.; Sett, S.; Oschlies, A.; Schulz, K. G.] Helmholtz Ctr Ocean Res Kiel GEOMAR, D-24105 Kiel, Germany; [Stoll, H. M.; Mendez-Vicente, A.] Univ Oviedo, Dept Geol, E-33005 Oviedo, Spain; [Iglesias-Rodriguez, M. D.] Univ Southampton, Inst Life Sci, Southampton SO17 1BJ, Hants, England; [Mueller, M. N.] Inst Marine &amp; Antarctic Studies, Hobart, Tas 7001, Australia</t>
  </si>
  <si>
    <t>NERC National Oceanography Centre; University of Southampton; Helmholtz Association; GEOMAR Helmholtz Center for Ocean Research Kiel; University of Oviedo; University of Southampton; University of Tasmania</t>
  </si>
  <si>
    <t>Blanco-Ameijeiras, S (corresponding author), Univ Azores, Ctr Climate Meteorol &amp; Global Change CMMG, Rua Capitao Avila, P-9700042 Angra Do Heroismo, Acores, Portugal.</t>
  </si>
  <si>
    <t>sbameijeiras@uac.pt</t>
  </si>
  <si>
    <t>Schulz, Kai/AEZ-9073-2022; Stoll, Heather/G-9066-2012; Oschlies, Andreas/F-9749-2012; Muller, Marius N./N-9338-2014</t>
  </si>
  <si>
    <t>Schulz, Kai/0000-0002-8481-4639; Stoll, Heather/0000-0002-2953-7835; Mendez, Ana/0000-0001-7275-7588; Oschlies, Andreas/0000-0002-8295-4013; Muller, Marius N./0000-0003-4765-3933; Blanco-Ameijeiras, Sonia/0000-0003-2698-1735</t>
  </si>
  <si>
    <t>European Community [211384]; Abbey-Santander Internationalization Fund; [ERC-STG-240222PACE]</t>
  </si>
  <si>
    <t>European Community; Abbey-Santander Internationalization Fund;</t>
  </si>
  <si>
    <t>We thank three anonymous reviewers for their critical comments which significantly improved the final draft of this manuscript. We also thank Ian Probert for providing Calcidiscus leptoporus and culture advice, and staff from the PML Western Channel Observatory for assisting in seawater collection. We are also grateful to Tania Kluver for laboratory assistance and Julie LaRoche for allowing the use of their laboratory facilities at Helmholtz Centre for Ocean Research Kiel (GEOMAR). This work was funded by the European Project on Ocean Acidification (EPOCA) (which received funding from the European Community's Seventh Framework Programme (FP7/2007-2013) under grant agreement No. 211384) for the Ph.D. of M.L. and Abbey-Santander Internationalization Fund to S.B.A., and ERC-STG-240222PACE for funding H.S. and A.M.V.</t>
  </si>
  <si>
    <t>10.1016/j.gca.2012.04.043</t>
  </si>
  <si>
    <t>959SU</t>
  </si>
  <si>
    <t>WOS:000305334100014</t>
  </si>
  <si>
    <t>Yokoyama, Y; Okuno, J; Miyairi, Y; Obrochta, S; Demboya, N; Makino, Y; Kawahata, H</t>
  </si>
  <si>
    <t>Yokoyama, Yusuke; Okuno, Jun'ichi; Miyairi, Yosuke; Obrochta, Stephen; Demboya, Nobuhiro; Makino, Yoshinori; Kawahata, Hodaka</t>
  </si>
  <si>
    <t>Holocene sea-level change and Antarctic melting history derived from geological observations and geophysical modeling along the Shimokita Peninsula, northern Japan</t>
  </si>
  <si>
    <t>LAST GLACIAL MAXIMUM; LATE PLEISTOCENE; MANTLE RHEOLOGY; DEGLACIATION; COAST; EARTHQUAKE</t>
  </si>
  <si>
    <t>A Mid to Late Holocene sea-level record based on combined geomorphological, geological and micropaleontological observations was obtained from well-developed wave cut benches subaerially exposed along the Shimokita Peninsula, northern Japan. Results indicate that the benches were formed during mid to late Holocene sea-level transgressions, reaching a maximum highstand level of 2 m above present at about 4,000 years ago. This timing corresponds to an abrupt, order of magnitude decrease in sedimentation rate as recorded in a core recovered from proximal Mutsu Bay. In addition, glacio-hydro-isostatic adjustment due to crustal deformation in response to postglacial sea-level rise was modeled, and results are consistent with the reconstructed local 2 m highstand. Given that meltwater contributions from the major North American and European ice sheets had largely ceased by 7,000 years ago, these independent lines of evidence, taken together, indicate that melting of the Antarctic ice sheet ended by 4,000 years ago. Citation: Yokoyama, Y., J. Okuno, Y. Miyairi, S. Obrochta, N. Demboya, Y. Makino, and H. Kawahata (2012), Holocene sea-level change and Antarctic melting history derived from geological observations and geophysical modeling along the Shimokita Peninsula, northern Japan, Geophys. Res. Lett., 39, L13502, doi:10.1029/2012GL051983.</t>
  </si>
  <si>
    <t>[Yokoyama, Yusuke; Okuno, Jun'ichi; Miyairi, Yosuke; Obrochta, Stephen; Kawahata, Hodaka] Univ Tokyo, Atmosphere &amp; Ocean Res Inst, Kashiwa, Chiba 2778564, Japan; [Yokoyama, Yusuke] Univ Tokyo, Dept Earth &amp; Planetary Sci, Tokyo, Japan; [Yokoyama, Yusuke] Japan Agcy Marine Earth Sci &amp; Technol, Inst Biogeosci, Yokosuka, Kanagawa 2370061, Japan; [Okuno, Jun'ichi] Natl Inst Polar Res, Tachikawa, Tokyo, Japan; [Demboya, Nobuhiro; Makino, Yoshinori] Elect Power Dev Co Ltd, Tokyo, Japan</t>
  </si>
  <si>
    <t>University of Tokyo; University of Tokyo; Japan Agency for Marine-Earth Science &amp; Technology (JAMSTEC); Research Organization of Information &amp; Systems (ROIS); National Institute of Polar Research (NIPR) - Japan</t>
  </si>
  <si>
    <t>Yokoyama, Y (corresponding author), Univ Tokyo, Atmosphere &amp; Ocean Res Inst, 5-1-5 Kashiwanoha, Kashiwa, Chiba 2778564, Japan.</t>
  </si>
  <si>
    <t>yokoyama@aori.u-tokyo.ac.jp</t>
  </si>
  <si>
    <t>Yokoyama, Yusuke/N-9623-2013; Kawahata, Hodaka/F-9065-2016</t>
  </si>
  <si>
    <t>Obrochta, Stephen/0000-0001-9632-0372; Kawahata, Hodaka/0000-0003-4236-7356</t>
  </si>
  <si>
    <t>JSPS [GR031]; Grants-in-Aid for Scientific Research [22101005, 22540483, 23501255] Funding Source: KAKEN</t>
  </si>
  <si>
    <t>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</si>
  <si>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comments from Jerry Mitrovica, Anthony Purcell, Alex Thomas, two anonymous reviewers and Eric Rignot. The work presented here is partly supported from funding from JSPS (NEXT Program GR031).</t>
  </si>
  <si>
    <t>JUL 13</t>
  </si>
  <si>
    <t>L13502</t>
  </si>
  <si>
    <t>10.1029/2012GL051983</t>
  </si>
  <si>
    <t>974UY</t>
  </si>
  <si>
    <t>WOS:000306464100001</t>
  </si>
  <si>
    <t>Chown, SL; Lee, JE; Hughes, KA; Barnes, J; Barrett, PJ; Bergstrom, DM; Convey, P; Cowan, DA; Crosbie, K; Dyer, G; Frenot, Y; Grant, SM; Herr, D; Kennicutt, MC; Lamers, M; Murray, A; Possingham, HP; Reid, K; Riddle, MJ; Ryan, PG; Sanson, L; Shaw, JD; Sparrow, MD; Summerhayes, C; Terauds, A; Wall, DH</t>
  </si>
  <si>
    <t>Chown, S. L.; Lee, J. E.; Hughes, K. A.; Barnes, J.; Barrett, P. J.; Bergstrom, D. M.; Convey, P.; Cowan, D. A.; Crosbie, K.; Dyer, G.; Frenot, Y.; Grant, S. M.; Herr, D.; Kennicutt, M. C., II; Lamers, M.; Murray, A.; Possingham, H. P.; Reid, K.; Riddle, M. J.; Ryan, P. G.; Sanson, L.; Shaw, J. D.; Sparrow, M. D.; Summerhayes, C.; Terauds, A.; Wall, D. H.</t>
  </si>
  <si>
    <t>Challenges to the Future Conservation of the Antarctic</t>
  </si>
  <si>
    <t>[Chown, S. L.; Lee, J. E.] Univ Stellenbosch, ZA-7600 Stellenbosch, South Africa; [Chown, S. L.] Monash Univ, Clayton, Vic 3800, Australia; [Barrett, P. J.] Victoria Univ Wellington, Wellington, New Zealand; [Cowan, D. A.] Univ Western Cape, ZA-7535 Bellville, South Africa; [Frenot, Y.] Univ Rennes, CNRS, Unite Mixte Rech Ecobio, Rennes, France; [Kennicutt, M. C., II] Texas A&amp;M Univ, College Stn, TX 77843 USA; [Lamers, M.] Wageningen Univ, Wageningen, Netherlands; [Possingham, H. P.; Shaw, J. D.] Univ Queensland, Brisbane, Qld 4072, Australia; [Ryan, P. G.] Univ Cape Town, ZA-7700 Rondebosch, South Africa; [Wall, D. H.] Colorado State Univ, Ft Collins, CO 80523 USA</t>
  </si>
  <si>
    <t>Stellenbosch University; Monash University; Victoria University Wellington; University of the Western Cape; Universite de Rennes; Centre National de la Recherche Scientifique (CNRS); Texas A&amp;M University System; Texas A&amp;M University College Station; Wageningen University &amp; Research; University of Queensland; University of Cape Town; Colorado State University</t>
  </si>
  <si>
    <t>Chown, SL (corresponding author), Univ Stellenbosch, ZA-7600 Stellenbosch, South Africa.</t>
  </si>
  <si>
    <t>steven.chown@monash.edu</t>
  </si>
  <si>
    <t>POSSINGHAM, HUGH/R-8310-2019; Bergstrom, Dana/AAC-2837-2022; Possingham, Hugh/B-1337-2008; Chown, Steven/ABD-7646-2021; Convey, Peter/AAV-5728-2020; Wall, Diana H/F-5491-2011; Cowan, Donald A/E-3991-2012; Hughes, Kevin/JVZ-0793-2024; Chown, Steven/H-3347-2011</t>
  </si>
  <si>
    <t>POSSINGHAM, HUGH/0000-0001-7755-996X; Bergstrom, Dana/0000-0001-8484-8954; Possingham, Hugh/0000-0001-7755-996X; Convey, Peter/0000-0001-8497-9903; Cowan, Donald A/0000-0001-8059-861X; Shaw, Justine/0000-0002-9603-2271; Ryan, Peter/0000-0002-3356-2056; Chown, Steven/0000-0001-6069-5105; Lamers, Machiel/0000-0002-4189-3066; Frenot, Yves/0000-0003-2666-1272</t>
  </si>
  <si>
    <t>Natural Environment Research Council [bas010013] Funding Source: researchfish; Office of Polar Programs (OPP); Directorate For Geosciences [1115245] Funding Source: National Science Foundation; NERC [bas010013] Funding Source: UKRI</t>
  </si>
  <si>
    <t>Natural Environment Research Council(UK Research &amp; Innovation (UKRI)Natural Environment Research Council (NERC)); Office of Polar Programs (OPP); Directorate For Geosciences(National Science Foundation (NSF)NSF - Directorate for Geosciences (GEO)); NERC(UK Research &amp; Innovation (UKRI)Natural Environment Research Council (NERC))</t>
  </si>
  <si>
    <t>10.1126/science.1222821</t>
  </si>
  <si>
    <t>973AN</t>
  </si>
  <si>
    <t>WOS:000306323500028</t>
  </si>
  <si>
    <t>Dutton, A; Lambeck, K</t>
  </si>
  <si>
    <t>Dutton, A.; Lambeck, K.</t>
  </si>
  <si>
    <t>Ice Volume and Sea Level During the Last Interglacial</t>
  </si>
  <si>
    <t>CORAL-REEFS; GREENLAND; RISE; CONSTRAINTS; DURATION; COLLAPSE; PERIOD; COAST; SHEET</t>
  </si>
  <si>
    <t>During the last interglacial period, similar to 125,000 years ago, sea level was at least several meters higher than at present, with substantial variability observed for peak sea level at geographically diverse sites. Speculation that the West Antarctic ice sheet collapsed during the last interglacial period has drawn particular interest to understanding climate and ice-sheet dynamics during this time interval. We provide an internally consistent database of coral U-Th ages to assess last interglacial sea-level observations in the context of isostatic modeling and stratigraphic evidence. These data indicate that global (eustatic) sea level peaked 5.5 to 9 meters above present sea level, requiring smaller ice sheets in both Greenland and Antarctica relative to today and indicating strong sea-level sensitivity to small changes in radiative forcing.</t>
  </si>
  <si>
    <t>[Dutton, A.; Lambeck, K.] Australian Natl Univ, Res Sch Earth Sci, Canberra, ACT 0200, Australia; [Dutton, A.] Univ Florida, Dept Geol Sci, Gainesville, FL 32611 USA; [Lambeck, K.] Ecole Normale Super, Dept Geosci, F-75231 Paris, France</t>
  </si>
  <si>
    <t>Australian National University; State University System of Florida; University of Florida; Universite PSL; Ecole Normale Superieure (ENS)</t>
  </si>
  <si>
    <t>Dutton, A (corresponding author), Australian Natl Univ, Res Sch Earth Sci, 1 Mills Rd, Canberra, ACT 0200, Australia.</t>
  </si>
  <si>
    <t>adutton@ufl.edu</t>
  </si>
  <si>
    <t>IPO, PAGES/JXY-7546-2024; Dutton, Andrea/A-2506-2008</t>
  </si>
  <si>
    <t>Dutton, Andrea/0000-0002-3836-119X</t>
  </si>
  <si>
    <t>Past Global Changes/IMAGES (International Marine Past Global Change Study); Australian Research Council; Australian National University; Chaire Internationale de Recherche Blaise Pascal financee par l'Etat et la Region Ile-de-France; Division Of Earth Sciences; Directorate For Geosciences [1023724] Funding Source: National Science Foundation</t>
  </si>
  <si>
    <t>Past Global Changes/IMAGES (International Marine Past Global Change Study); Australian Research Council(Australian Research Council); Australian National University(Australian National University); Chaire Internationale de Recherche Blaise Pascal financee par l'Etat et la Region Ile-de-France; Division Of Earth Sciences; Directorate For Geosciences(National Science Foundation (NSF)NSF - Directorate for Geosciences (GEO))</t>
  </si>
  <si>
    <t>We acknowledge useful discussions with many of our colleagues, including T. Esat, E.-K. Potter, and members of the PALSEA (Paleo-Constraints on Sea Level Rise) working group funded by Past Global Changes/IMAGES (International Marine Past Global Change Study). We also extend our gratitude to many authors who provided additional information or data to supplement their U-Th measurements that appear in database S1. This project has been partially funded by the Australian Research Council and the Australian National University. K. L. was partly funded by the Chaire Internationale de Recherche Blaise Pascal financee par l'Etat et la Region Ile-de-France. Data compiled for this review are available in the supplementary materials and are archived online at the World Data Center for Paleoclimatology.</t>
  </si>
  <si>
    <t>10.1126/science.1205749</t>
  </si>
  <si>
    <t>WOS:000306323500054</t>
  </si>
  <si>
    <t>Hoenner, X; Whiting, SD; Hindell, MA; McMahon, CR</t>
  </si>
  <si>
    <t>Hoenner, Xavier; Whiting, Scott D.; Hindell, Mark A.; McMahon, Clive R.</t>
  </si>
  <si>
    <t>Enhancing the Use of Argos Satellite Data for Home Range and Long Distance Migration Studies of Marine Animals</t>
  </si>
  <si>
    <t>TURTLES ERETMOCHELYS-IMBRICATA; LOGGERHEAD SEA-TURTLES; STATE-SPACE MODELS; MEASUREMENT ERROR; SAMPLING REGIME; GREEN TURTLES; GPS TRACKING; TELEMETRY; MOVEMENT; LOCATION</t>
  </si>
  <si>
    <t>Accurately quantifying animals' spatial utilisation is critical for conservation, but has long remained an elusive goal due to technological impediments. The Argos telemetry system has been extensively used to remotely track marine animals, however location estimates are characterised by substantial spatial error. State-space models (SSM) constitute a robust statistical approach to refine Argos tracking data by accounting for observation errors and stochasticity in animal movement. Despite their wide use in ecology, few studies have thoroughly quantified the error associated with SSM predicted locations and no research has assessed their validity for describing animal movement behaviour. We compared home ranges and migratory pathways of seven hawksbill sea turtles (Eretmochelys imbricata) estimated from (a) highly accurate Fastloc GPS data and (b) locations computed using common Argos data analytical approaches. Argos 68 th percentile error was &lt;1 km for LC 1, 2, and 3 while markedly less accurate (&gt;4 km) for LC &lt;= 0. Argos error structure was highly longitudinally skewed and was, for all LC, adequately modelled by a Student's t distribution. Both habitat use and migration routes were best recreated using SSM locations post-processed by re-adding good Argos positions (LC 1, 2 and 3) and filtering terrestrial points (mean distance to migratory tracks +/- SD = 2.2 +/- 2.4 km; mean home range overlap and error ratio = 92.2% and 285.6 respectively). This parsimonious and objective statistical procedure however still markedly overestimated true home range sizes, especially for animals exhibiting restricted movements. Post-processing SSM locations nonetheless constitutes the best analytical technique for remotely sensed Argos tracking data and we therefore recommend using this approach to rework historical Argos datasets for better estimation of animal spatial utilisation for research and evidence-based conservation purposes.</t>
  </si>
  <si>
    <t>[Hoenner, Xavier; McMahon, Clive R.] Charles Darwin Univ, Res Inst Environm &amp; Livelihoods, Darwin, NT 0909, Australia; [Whiting, Scott D.] No Terr Govt, Dept Nat Resources Environm Arts &amp; Sport, Darwin, NT, Australia; [Whiting, Scott D.] Govt Western Australia, Dept Environm &amp; Conservat, Kensington, NSW, Australia; [Hindell, Mark A.] Univ Tasmania, Inst Marine &amp; Antarctic Studies, Hobart, Tas, Australia</t>
  </si>
  <si>
    <t>Charles Darwin University; Northern Territory Government; University of Tasmania</t>
  </si>
  <si>
    <t>Hoenner, X (corresponding author), Charles Darwin Univ, Res Inst Environm &amp; Livelihoods, Darwin, NT 0909, Australia.</t>
  </si>
  <si>
    <t>xavier.hoenner@cdu.edu.au</t>
  </si>
  <si>
    <t>Hindell, Mark A/C-8368-2013; Hoenner, Xavier/P-2676-2019; Hindell, Mark A/K-1131-2013; Patterson, Ruth/A-7540-2018; McMahon, Clive R/D-5713-2013</t>
  </si>
  <si>
    <t>Hoenner, Xavier/0000-0001-5811-1166; McMahon, Clive R/0000-0001-5241-8917; Whiting, Scott/0000-0003-3339-9559; Hindell, Mark/0000-0002-7823-7185</t>
  </si>
  <si>
    <t>Australian Government under the Caring for Country Initiative; Anindilyakwa Land Council; Northern Territory Government (Marine Biodiversity Group - Department of Natural Resources, Environment, the Arts and Sport); Charles Darwin University; ANZ Trustees Foundation - Holsworth Wildlife Research Endowment</t>
  </si>
  <si>
    <t>Australian Government under the Caring for Country Initiative(Australian Government); Anindilyakwa Land Council; Northern Territory Government (Marine Biodiversity Group - Department of Natural Resources, Environment, the Arts and Sport); Charles Darwin University; ANZ Trustees Foundation - Holsworth Wildlife Research Endowment</t>
  </si>
  <si>
    <t>The research was funded by the Australian Government under the Caring for Country Initiative (funder), the Anindilyakwa Land Council (funder and partner), the Northern Territory Government (Marine Biodiversity Group - Department of Natural Resources, Environment, the Arts and Sport) (funder and collaborator), Charles Darwin University (funder and collaborator), and the ANZ Trustees Foundation - Holsworth Wildlife Research Endowment (funder). URL of funders' websites: http://www.nrm.gov.au/, http://www.anindilyakwa.com.au/, http://www.nretas.nt.gov.au/, http://www.cdu.edu.au/, http://www.anz.com/personal/. The funders had no role in study design, data collection and analysis, decision to publish, or preparation of the manuscript.</t>
  </si>
  <si>
    <t>JUL 12</t>
  </si>
  <si>
    <t>e40713</t>
  </si>
  <si>
    <t>10.1371/journal.pone.0040713</t>
  </si>
  <si>
    <t>973NH</t>
  </si>
  <si>
    <t>Green Published, Green Accepted, Green Submitted, gold</t>
  </si>
  <si>
    <t>WOS:000306366400050</t>
  </si>
  <si>
    <t>Dohrmann, M; Göcke, C; Reed, J; Janussen, D</t>
  </si>
  <si>
    <t>Dohrmann, Martin; Goecke, Christian; Reed, John; Janussen, Dorte</t>
  </si>
  <si>
    <t>Integrative taxonomy justifies a new genus, Nodastrella gen. nov., for North Atlantic Rossella species (Porifera: Hexactinellida: Rossellidae)</t>
  </si>
  <si>
    <t>Asconema; cold-water coral reefs; glass sponges; molecular systematics; new genus; North Atlantic Ocean; Rossella nodastrella</t>
  </si>
  <si>
    <t>GLASS SPONGES PORIFERA; PHYLOGENY; EVOLUTION; BOOTSTRAP; SYSTEMATICS; CONFIDENCE; MODELS; RATES</t>
  </si>
  <si>
    <t>Molecular systematic studies have indicated that the hexactinellid sponge species Rossella nodastrella Topsent (Lyssacinosida, Rossellidae), previously only known from the NE Atlantic, is only distantly related to its congeners, which are restricted to the Southern Ocean, representing the only case thus far reported of a diphyletic genus in the class Hexactinellida. Here we describe new material of Rossella nodastrella from cold-water coral reefs in the NW Atlantic (Florida). Morphological comparison with the holotype from the Azores and specimens recently reported from off Ireland reveal at least two distinct species, which we corroborate with molecular data. Because the diphyletic nature of Rossella is further supported with inclusion of the new specimens in the molecular phylogeny, we erect a new genus, Nodastrella gen. nov., for these two species. The Irish specimens are synonymized with our new species Nodastrella asconemaoida sp. nov. Subtle morphological and molecular differences between the E and W Atlantic specimens are for the time being ascribed to intraspecific geographic variation, but indicate that Nodastrella might contain more (sub) species, pending investigation of additional specimens, especially from intermediate locations.</t>
  </si>
  <si>
    <t>[Dohrmann, Martin] Smithsonian Inst, Natl Museum Nat Hist, Dept Invertebrate Zool, Washington, DC 20013 USA; [Goecke, Christian; Janussen, Dorte] Forsch Inst, D-60325 Frankfurt, Germany; [Goecke, Christian; Janussen, Dorte] Nat Museum Senckenberg, D-60325 Frankfurt, Germany; [Reed, John] Florida Atlantic Univ, Oceanog Inst, Harbor Branch, Ft Pierce, FL 34946 USA</t>
  </si>
  <si>
    <t>Smithsonian Institution; Smithsonian National Museum of Natural History; Senckenberg Gesellschaft fur Naturforschung (SGN); State University System of Florida; Florida Atlantic University; Harbor Branch Oceanographic Institute Foundation</t>
  </si>
  <si>
    <t>Dohrmann, M (corresponding author), Feldbergstr 6, D-55118 Mainz, Germany.</t>
  </si>
  <si>
    <t>mdohrma@gmail.com; Dorte.Janussen@senckenberg.de; Jreed12@hboi.fau.edu; Christian.Goecke@senckenberg.de</t>
  </si>
  <si>
    <t>Dohrmann, Martin/H-6157-2019</t>
  </si>
  <si>
    <t>DFG [JA 1063/14-2]; SYNTHESYS project [GB-TAF-885]; European Community; Postdoctoral Fellowship of the Smithsonian Institution; NSF Porifera Tree of Life project; Division Of Environmental Biology; Direct For Biological Sciences [0829986] Funding Source: National Science Foundation</t>
  </si>
  <si>
    <t>DFG(German Research Foundation (DFG)); SYNTHESYS project; European Community; Postdoctoral Fellowship of the Smithsonian Institution; NSF Porifera Tree of Life project; Division Of Environmental Biology; Direct For Biological Sciences(National Science Foundation (NSF)NSF - Directorate for Biological Sciences (BIO))</t>
  </si>
  <si>
    <t>We thank R. van Soest for important discussions and for providing us with a specimen identified by him as R. nodastrella from Rockall Bank, Ireland, and K. R. Tabachnick for important discussions on the taxonomy of Rossella. Technicians H. Szmutka and T. Bollinger are thanked for skeletal measurements and SEM documentation. We further thank Lauren van Thiel for preparing the initial spicule slides of USNM 1150045 and USNM 1150046, K. Haen for providing the sample of HBOI 5-VIII-05-1-004 to MD, S. Pomponi for Fig. 4, S. Vargas for providing DJ and CG with a sample of the A. mitsukurii specimen used in Dohrmann et al. (2008, 2012), and O. Voigt for suggestions on bleach protocols. Gert Worheide is acknowledged for providing access to computational resources at the Molecular Geo- &amp; Palaeobiology Lab at LMU Munich. DJ thanks the DFG for financing projects of the study on Antarctic sponges (JA 1063/14-2), and for getting access to the Rossella types in the NHM London, supported by SYNTHESYS project GB-TAF-885 (financed by European Community Research Infrastructure Action under the FP7 Integrating Activities Programme). MD was supported by a Postdoctoral Fellowship of the Smithsonian Institution and further acknowledges Allen G. Collins for providing additional funding through the NSF Porifera Tree of Life project (www.portol.org). Allen G. Collins and 2 anonymous reviewers are thanked for helpful comments on earlier versions of this manuscript.</t>
  </si>
  <si>
    <t>JUL 10</t>
  </si>
  <si>
    <t>970XQ</t>
  </si>
  <si>
    <t>WOS:000306166000001</t>
  </si>
  <si>
    <t>Berthier, E; Scambos, TA; Shuman, CA</t>
  </si>
  <si>
    <t>Berthier, Etienne; Scambos, Ted A.; Shuman, Christopher A.</t>
  </si>
  <si>
    <t>Mass loss of Larsen B tributary glaciers (Antarctic Peninsula) unabated since 2002</t>
  </si>
  <si>
    <t>ICE SHELF COLLAPSE; ELEVATION; DISINTEGRATION; ACCELERATION; RETREAT</t>
  </si>
  <si>
    <t>Ice mass loss continues at a high rate among the large glacier tributaries of the Larsen B Ice Shelf following its disintegration in 2002. We evaluate recent mass loss by mapping elevation changes between 2006 and 2010/11 using differencing of digital elevation models (DEMs). The measurement accuracy of these elevation changes is confirmed by a 'null test', subtracting DEMs acquired within a few weeks. The overall 2006-2010/11 mass loss rate (9.0 +/- 2.1 Gt a(-1)) is similar to the 2001/02-2006 rate (8.8 +/- 1.6 Gt a(-1)), derived using DEM differencing and laser altimetry. This unchanged overall loss masks a varying pattern of thinning and ice loss for individual glacier basins. On Crane Glacier, the thinning pulse, initially greatest near the calving front, is now broadening and migrating upstream. The largest losses are now observed for the Hektoria/Green glacier basin, having increased by 33% since 2006. Our method has enabled us to resolve large residual uncertainties in the Larsen B sector and confirm its state of ongoing rapid mass loss.</t>
  </si>
  <si>
    <t>[Berthier, Etienne] Univ Toulouse, LEGOS, CNRS, F-31400 Toulouse, France; [Scambos, Ted A.] Univ Colorado, CIRES, NSIDC, Boulder, CO 80309 USA; [Shuman, Christopher A.] NASA, Goddard Space Flight Ctr, JCET, UMBC, Greenbelt, MD 20771 USA</t>
  </si>
  <si>
    <t>Universite de Toulouse; Universite Toulouse III - Paul Sabatier; Centre National de la Recherche Scientifique (CNRS); Institut de Recherche pour le Developpement (IRD); Laboratoire d'Etudes en Geophysique et oceanographie spatiales; University of Colorado System; University of Colorado Boulder; University System of Maryland; University of Maryland Baltimore County; National Aeronautics &amp; Space Administration (NASA); NASA Goddard Space Flight Center</t>
  </si>
  <si>
    <t>Berthier, E (corresponding author), Univ Toulouse, LEGOS, CNRS, 14 Av Edouard Belin, F-31400 Toulouse, France.</t>
  </si>
  <si>
    <t>etienne.berthier@legos.obs-mip.fr</t>
  </si>
  <si>
    <t>Berthier, Etienne/B-8900-2009</t>
  </si>
  <si>
    <t>Berthier, Etienne/0000-0001-5978-9155; SCAMBOS, Ted A./0000-0003-4268-6322</t>
  </si>
  <si>
    <t>CNES; PNTS; NSF-OPP; NASA [NNX10AR76G]; [ANR-09-SYSC-001]; [ANT-0732921]; NASA [NNX10AR76G, 124632] Funding Source: Federal RePORTER</t>
  </si>
  <si>
    <t>CNES(Centre National D'etudes Spatiales); PNTS; NSF-OPP(National Science Foundation (NSF)); NASA(National Aeronautics &amp; Space Administration (NASA)); ; ; NASA(National Aeronautics &amp; Space Administration (NASA))</t>
  </si>
  <si>
    <t>We thank G. Durand, B. Kulessa and four anonymous referees for their comments on earlier versions of the paper. EB acknowledges support from CNES (TOSCA and ISIS proposals), PNTS, and ANR-09-SYSC-001. TAS acknowledges support from NSF-OPP, ANT-0732921, and NASA NNX10AR76G grants. CAS was supported by grants from the NASA Cryospheric Sciences Program. SPOT5 HRS data were provided at no cost by CNES through the SPIRIT project. ASTER data were provided at no cost by NASA/USGS through the Global Land Ice Measurements from Space (GLIMS) project.</t>
  </si>
  <si>
    <t>L13501</t>
  </si>
  <si>
    <t>10.1029/2012GL051755</t>
  </si>
  <si>
    <t>974UU</t>
  </si>
  <si>
    <t>WOS:000306463700001</t>
  </si>
  <si>
    <t>Authier, M; Dragon, AC; Richard, P; Cherel, Y; Guinet, C</t>
  </si>
  <si>
    <t>Authier, Matthieu; Dragon, Anne-Cecile; Richard, Pierre; Cherel, Yves; Guinet, Christophe</t>
  </si>
  <si>
    <t>O' mother where wert thou? Maternal strategies in the southern elephant seal: a stable isotope investigation</t>
  </si>
  <si>
    <t>PROCEEDINGS OF THE ROYAL SOCIETY B-BIOLOGICAL SCIENCES</t>
  </si>
  <si>
    <t>maternal effects; Mirounga leonina; stable isotopes; mixture modelling</t>
  </si>
  <si>
    <t>MIROUNGA-LEONINA; KERGUELEN ISLANDS; TROPHIC ECOLOGY; JUVENILE SOUTHERN; MACQUARIE ISLAND; FORAGING AREAS; OCEAN; CARBON; POPULATION; PREDATORS</t>
  </si>
  <si>
    <t>Maternal effects are widespread in ecology and can alter the dynamics of a population. We investigated the impact of maternal foraging strategies on offspring weaning mass-a proxy of maternal foraging success and of offspring survival-in southern elephant seals on iles Kerguelen. Using 4 years of data, we modelled pup weaning mass as a two-component mixture and used blood stable isotope values to discriminate between maternal foraging strategies previously identified from bio-logging studies. Carbon isotope ratio was a strong predictor of weaning mass, but the relationship was non-monotonic in contrast to a priori expectations. Females foraging in the interfrontal zone weaned pups with a smaller mass compared with females foraging in Antarctic waters. Pup mass was positively correlated with a proxy of global primary production in the interfrontal zone for small weanlings. Maternal effects, via a poor foraging efficiency in the 1970s, may help explain the large population decrease observed at that time on iles Kerguelen because of an overall decrease in pup weaning mass, survival and subsequent recruitment.</t>
  </si>
  <si>
    <t>[Authier, Matthieu; Dragon, Anne-Cecile; Cherel, Yves; Guinet, Christophe] CEBC CNRS, F-79360 Villiers En Bois, France; [Dragon, Anne-Cecile] LOCEAN UPMC, F-75252 Paris 05, France; [Richard, Pierre] Univ La Rochelle, LIENSs CNRS, UMR7266, F-17000 La Rochelle, France</t>
  </si>
  <si>
    <t>Centre National de la Recherche Scientifique (CNRS); Sorbonne Universite; Centre National de la Recherche Scientifique (CNRS); CNRS - Institute of Ecology &amp; Environment (INEE); La Rochelle Universite</t>
  </si>
  <si>
    <t>Authier, M (corresponding author), CEBC CNRS, F-79360 Villiers En Bois, France.</t>
  </si>
  <si>
    <t>authierm@gmail.com</t>
  </si>
  <si>
    <t>Guinet, Christophe/AAR-8457-2020; Richard, Pierre/N-6482-2014</t>
  </si>
  <si>
    <t>Richard, Pierre/0000-0002-0393-9967; Authier, Matthieu/0000-0001-7394-1993</t>
  </si>
  <si>
    <t>French Polar Institute (Institut Paul Emile Victor, IPEV)</t>
  </si>
  <si>
    <t>We thank all field workers who have collected data since 2006, in particular, Q. Delorme, S. Ducatez and S. Dalloyau. We are greatly indebted to Gael Guillou for laboratory analyses of blood stable isotopes. We thank Luciano O. Valenzuela and two anonymous reviewers for critical comments on the manuscript. We thank Daniel Costa for his supportive comments. This study is part of a national research programme (no. 109, H. Weimerskirch and the observatory Mammiferes Explorateurs du Milieu Oceanique, MEMO SOERE CTD 02) supported by the French Polar Institute (Institut Paul Emile Victor, IPEV). The Territoire des Terres Australes et Antarctiques Francaises (TAAF) and ANR-VMC 07 IPSOS-SEAL programme contributed to this study.</t>
  </si>
  <si>
    <t>0962-8452</t>
  </si>
  <si>
    <t>P ROY SOC B-BIOL SCI</t>
  </si>
  <si>
    <t>Proc. R. Soc. B-Biol. Sci.</t>
  </si>
  <si>
    <t>JUL 7</t>
  </si>
  <si>
    <t>10.1098/rspb.2012.0199</t>
  </si>
  <si>
    <t>947TF</t>
  </si>
  <si>
    <t>WOS:000304453000023</t>
  </si>
  <si>
    <t>Civile, D; Lodolo, E; Vuan, A; Loreto, MF</t>
  </si>
  <si>
    <t>Civile, D.; Lodolo, E.; Vuan, A.; Loreto, M. F.</t>
  </si>
  <si>
    <t>Tectonics of the Scotia-Antarctica plate boundary constrained from seismic and seismological data</t>
  </si>
  <si>
    <t>Scotia-Antarctica plate boundary; South Scotia Ridge; Seismic reflection profiles; Crustal nature; Tomographic maps; Tectonic development</t>
  </si>
  <si>
    <t>GROUP-VELOCITY TOMOGRAPHY; SOUTH ORKNEY MICROCONTINENT; SHACKLETON FRACTURE-ZONE; DRAKE PASSAGE; POWELL BASIN; BRANSFIELD STRAIT; STRUCTURE BENEATH; TRENCH COLLISION; OCEAN-BASIN; JANE BASIN</t>
  </si>
  <si>
    <t>The plate boundary between the Scotia and Antarctic plates runs along the broadly E-W trending South Scotia Ridge. It is a mainly transcurrent margin that juxtaposes thinned continental and transitional crust elements with restricted oceanic basins and deep troughs. Seismic profiles and regional-scale seismological constraints are used to define the peculiarities of the crustal structures in and around the southern Scotia Sea, and focal solutions from recent earthquakes help to understand the present-day geodynamic setting. The northern edge of the western South Scotia Ridge is marked by a sub-vertical, left-lateral master fault. Locally, a narrow wedge of accreted sediments is present at the base of the slope. This segment represents the boundary between the Scotia plate and the independent South Shetland continental block. Along the northern margin of the South Orkney microcontinent, the largest fragment of the South Scotia Ridge, an accretionary prism is present at the base of the slope, which was possibly created by the eastward drift of the South Orkney microcontinent and the consequent subduction of the transitional crust present to the north. East of the South Orkney microcontinent, the physiography and structure of the plate boundary are less constrained. Here the tectonic regime exhibits mainly strike-slip behavior with some grade of extensional component, and the plate boundary is segmented by a series of NNW-SSE trending release zones which favored the fragmentation and dispersion of the crustal blocks. Seismic data have also identified, along the northwestern edge of the South Scotia Ridge, an elevated region - the Ona Platform - which can be considered, along with the Terror Rise, as the conjugate margin of the Tierra del Fuego, before the Drake Passage opening. We propose here an evolutionary sketch for the plate boundary (from the Late Oligocene to the present) encompassing the segment from the Elephant Island platform to the Herdman Bank. (C) 2012 Elsevier B.V. All rights reserved.</t>
  </si>
  <si>
    <t>[Civile, D.; Lodolo, E.; Vuan, A.; Loreto, M. F.] Ist Nazl Oceanog &amp; Geofis Sperimentale OGS, Trieste, Italy</t>
  </si>
  <si>
    <t>Lodolo, E (corresponding author), Ist Nazl Oceanog &amp; Geofis Sperimentale OGS, Trieste, Italy.</t>
  </si>
  <si>
    <t>elodolo@ogs.trieste.it</t>
  </si>
  <si>
    <t>Vuan, Alessandro/GLR-3168-2022; Loreto, Maria Filomena/AAY-4782-2020; Vuan, Alessandro/AAC-9665-2021; Vuan, Alessandro/B-7115-2014</t>
  </si>
  <si>
    <t>Loreto, Maria Filomena/0000-0003-1960-8684; LODOLO, Emanuele/0000-0002-4706-2095; Vuan, Alessandro/0000-0001-5536-1717; Civile, Dario/0000-0002-2809-0015</t>
  </si>
  <si>
    <t>The preliminary version of this paper has benefited substantially from constructive comments by Graeme Eagles, and was later improved by an anonymous reviewer. This work was partly funded by the Italian Programma Nazionale di Ricerche in Antartide (PNRA).</t>
  </si>
  <si>
    <t>JUL 5</t>
  </si>
  <si>
    <t>10.1016/j.tecto.2012.05.002</t>
  </si>
  <si>
    <t>980FF</t>
  </si>
  <si>
    <t>WOS:000306878300002</t>
  </si>
  <si>
    <t>Karanovic, T; Cho, JL</t>
  </si>
  <si>
    <t>Karanovic, Tomislav; Cho, Joo-Lae</t>
  </si>
  <si>
    <t>Three new ameirid harpacticoids from Korea and first record of Proameira simplex (Crustacea: Copepoda: Ameiridae)</t>
  </si>
  <si>
    <t>Harpacticoida; marine; taxonomy; endemism; sister species; microcharacters</t>
  </si>
  <si>
    <t>NITOKRA; GENUS</t>
  </si>
  <si>
    <t>Ameiridae Monard, 1927 was previously known from Korea only after one endemic and four cosmopolitan species of the genus Nitokra Boeck, 1865, and a single widely distributed species of the genus Ameira Boeck, 1865, all from brackish enviroments. After a survey of 22 sampling sites and close to 3,500 harpacticoid specimens from various marine enviroments, we report on two new endemic species of Ameira, A. zahaae sp. nov. and A. kimchi sp. nov., from the West Sea and the South Sea respectively. They are both relatively closely related to the previously recorded cosmopolitan A. parvula (Claus, 1866), but show many novel morphological structures in the caudal rami shape and ornamentation. The identity of the cosmopolitan A. parvula in Korea is questioned, and an alternative hypothesis of a species-complex proposed. The fine ornamentation of body somites (especially the pores/sensilla pattern) is studied in detail, and proves to be a very useful new morphological tool in distinguishing closely related spacies in this genus. The genus Pseudameira Sars, 1911 is reported for the first time in Korea, after four females of P. mago sp. nov. from the South Sea. A single damaged female of Proameira cf. simplex (Norman &amp; Scott, 1905) represents the first record of the genus Proameira Lang, 1944 in Korea, Asia, and anywhere in the Pacific. A key to Korean ameirids is also provided, and their apparent rarity in this part of the world noticed.</t>
  </si>
  <si>
    <t>[Karanovic, Tomislav] Hanyang Univ, Dept Life Sci, Seoul 133791, South Korea; [Karanovic, Tomislav] Univ Tasmania, Inst Marine &amp; Antarctic Studies, Hobart, Tas 7001, Australia; [Cho, Joo-Lae] Natl Inst Biol Resources, Inchon 404708, South Korea</t>
  </si>
  <si>
    <t>Hanyang University; University of Tasmania; National Institute of Biological Resources</t>
  </si>
  <si>
    <t>Karanovic, T (corresponding author), Hanyang Univ, Dept Life Sci, Seoul 133791, South Korea.</t>
  </si>
  <si>
    <t>Tomislav.Karanovic@utas.edu.au; Joolae@korea.kr</t>
  </si>
  <si>
    <t>Nationatiol Institute of Biological Resources, Korea</t>
  </si>
  <si>
    <t>This work was financially supported by a grant from the Nationatiol Institute of Biological Resources, Korea, as a part of the Discovery of Korean Indigenous Species project. Hanyang Univesity kindly provided facilities to the senior author during the preparation of this paper at its Seoul Campus. We are also very grateful to Prof. Wonchoel Lee and his students (Hanyang University, Seoul) for collecting this interesting material. Suggestions of two anonymous referees greatly improved the paper.</t>
  </si>
  <si>
    <t>JUL 4</t>
  </si>
  <si>
    <t>10.11646/zootaxa.3368.1.5</t>
  </si>
  <si>
    <t>967VY</t>
  </si>
  <si>
    <t>WOS:000305937400004</t>
  </si>
  <si>
    <t>Karanovic, Ivana; Lee, Wonchoel</t>
  </si>
  <si>
    <t>A review of candonid ostracods (Crustacea: Ostracoda: Podocopida) from East Asia, with descriptions of five new species from South Korea</t>
  </si>
  <si>
    <t>Biodiversity; review; new species; taxonomy; Candonidae</t>
  </si>
  <si>
    <t>GENUS CANDONOPSIS CRUSTACEA; SUBFAMILY; ISLANDS; CLASSIFICATION; MORPHOLOGY; REVISION; JAPAN; BIWA; LAKE</t>
  </si>
  <si>
    <t>Seven species of the family Candonidae Kaufmann, 1900 are reported from South Korea. Five species are described as new, all belonging to the subfamily Candoninae Kaufmann, 1900 and the tribe Candonini Kaufmann, 1900: Candona quasiakaina sp. nov., C. sillae sp. nov., Fabaeformiscandona koreana sp. nov., Typhlocypris choi sp. nov., and Schellencandona tea sp. nov. A very close resemblance between Candona sillae and the European C. improvisa Ostermeyer, 1937 prompted a redescription of the latter species based on the type material, and designation of the lectotype. One species of the tribe Candonopsini, Candonopsis transgrediens Brehm, 1923, previously known only from China, is reported from Korean freshwater habitats, and its first redescription is provided, along with a key to the world representatives of the genus Candonopsis Vavra, 1820. One species of the subfamily Paracypridinae, Dolerocypria mukaishimensis Okubo, 1980, previously known only from Japan, is redescribed from Korean brackish water habitats, and some notes on its variability are provided. A checklist of the Candonidae ostracods from East Asia is also provided, but only for those species that have been well-documented and taxonomically described.</t>
  </si>
  <si>
    <t>[Karanovic, Ivana; Lee, Wonchoel] Hanyang Univ, Dept Life Sci, Coll Nat Sci, Seoul 133791, South Korea; [Karanovic, Ivana] Univ Tasmania, Inst Marine &amp; Antarctic Studies, Hobart, Tas 7001, Australia</t>
  </si>
  <si>
    <t>Karanovic, I (corresponding author), Hanyang Univ, Dept Life Sci, Coll Nat Sci, Seoul 133791, South Korea.</t>
  </si>
  <si>
    <t>ivana.karanovic@utas.edu.au</t>
  </si>
  <si>
    <t>Discovery of Korean Indigenous Species Project, NIBR (National Institute of Biological Resources)</t>
  </si>
  <si>
    <t>We would like to thank our colleagues Joo-Lae Cho (National Institute of Biodiversity Research, South Korea), Hyunsu Yoo, Hyungi Jeong and Dongju Lee (all from the Hanyang University) for collecting the material. Ms Katrin Philipps-Bussau (Zoological Museum, Hamburg) kindly and very promptly sent us the type material of Candona improvisa, for which we are deeply thankful. This work was supported by the Discovery of Korean Indigenous Species Project, NIBR (National Institute of Biological Resources).</t>
  </si>
  <si>
    <t>WOS:000305937400002</t>
  </si>
  <si>
    <t>Hoffman, JL; Lund, DC</t>
  </si>
  <si>
    <t>Hoffman, J. L.; Lund, D. C.</t>
  </si>
  <si>
    <t>Refining the stable isotope budget for Antarctic Bottom Water: New foraminiferal data from the abyssal southwestern Atlantic (vol 27, PA3201, 2012)</t>
  </si>
  <si>
    <t>PA3201</t>
  </si>
  <si>
    <t>10.1029/2012PA002360</t>
  </si>
  <si>
    <t>971XM</t>
  </si>
  <si>
    <t>WOS:000306239700002</t>
  </si>
  <si>
    <t>Lee, W; Karanovic, T</t>
  </si>
  <si>
    <t>Lee, Wonchoel; Karanovic, Tomislav</t>
  </si>
  <si>
    <t>Biodiversity of invertebrates in Korea</t>
  </si>
  <si>
    <t>[Lee, Wonchoel; Karanovic, Tomislav] Hanyang Univ, Dept Life Sci, Seoul 133791, South Korea; [Karanovic, Tomislav] Univ Tasmania, Inst Marine &amp; Antarctic Studies, Hobart, Tas 7001, Australia</t>
  </si>
  <si>
    <t>Lee, W (corresponding author), Hanyang Univ, Dept Life Sci, Seoul 133791, South Korea.</t>
  </si>
  <si>
    <t>wlee@hanyang.ac.kr; Tomislav.Karanovic@utas.edu.au</t>
  </si>
  <si>
    <t>10.11646/zootaxa.3368.1.2</t>
  </si>
  <si>
    <t>WOS:000305937400001</t>
  </si>
  <si>
    <t>Uprety, S; Cao, CY</t>
  </si>
  <si>
    <t>Uprety, Sirish; Cao, Changyong</t>
  </si>
  <si>
    <t>Radiometric and spectral characterization and comparison of the Antarctic Dome C and Sonoran Desert sites for the calibration and validation of visible and near-infrared radiometers</t>
  </si>
  <si>
    <t>JOURNAL OF APPLIED REMOTE SENSING</t>
  </si>
  <si>
    <t>calibration; Dome C; radiometers; satellites; Sonoran; Desert</t>
  </si>
  <si>
    <t>HIGH-RESOLUTION RADIOMETER; IMAGING SPECTRORADIOMETER; BIDIRECTIONAL REFLECTANCE; OPERATIONAL CALIBRATION; INTER-CALIBRATION; CHANNELS; AVHRR; SURFACE; STABILITY; TARGET</t>
  </si>
  <si>
    <t>Global climate change studies require long-term, radiometrically accurate, and stable observations from a number of satellites. Spatially uniform and radiometrically/spectrally stable vicarious calibration sites can be used to quantify the sensor gain change over time, monitor the instrument performance, and compare measurements from multiple instruments to maintain consistent radiometric calibration. This study uses AQUA moderate resolution imaging spectroradiometer (MODIS), MetOp-A advanced very high resolution radiometer (AVHRR), and Earth Observing-1 Hyperion to analyze the radiometric and spectral characteristics of the Dome C and Sonoran Desert sites and perform intercomparisons. The radiometric stability of both sites over a period of eight years as evaluated using AQUA MODIS is found to be better than 2% in the visible (0.64 mu m) and near-infrared regions (0.86 mu m), assuming the MODIS calibration is stable. The bidirectional reflectance distribution (BRDF) effect over Dome C is large, with greater than 5% seasonal variation, compared to the Sonoran Desert with less than 2% variation. However, the BRDF impact can be reduced to less than 2% for Dome C after normalization by an appropriate BRDF model. For water vapor absorption channels, such as AVHRR channel 2 (0.86 mu m), this study suggests that the Sonoran Desert is largely affected with greater than 6% absorption variability compared to that of Dome C with less than 2%. The study also reveals that the operationally calibrated AVHRR top-of-atmosphere reflectance is lower than that of MODIS by about 8%. (c) 2012 Society of Photo-Optical Instrumentation Engineers (SPIE). [DOI: 10.1117/1.JRS.6.063541]</t>
  </si>
  <si>
    <t>[Uprety, Sirish] Colorado State Univ, Cooperat Inst Res Atmosphere, Ft Collins, CO 80523 USA; [Cao, Changyong] Natl Ocean &amp; Atmospher Adm, Natl Environm Satellite Data &amp; Informat Serv, Ctr Satellite Applicat &amp; Res, College Pk, MD 20740 USA</t>
  </si>
  <si>
    <t>Colorado State University; National Oceanic Atmospheric Admin (NOAA) - USA</t>
  </si>
  <si>
    <t>Uprety, S (corresponding author), Colorado State Univ, Cooperat Inst Res Atmosphere, Ft Collins, CO 80523 USA.</t>
  </si>
  <si>
    <t>Sirish.Uprety@noaa.gov; Changyong.Cao@noaa.gov</t>
  </si>
  <si>
    <t>Cao, Changyong/AAP-7605-2021</t>
  </si>
  <si>
    <t>Cao, Changyong/0000-0003-3572-6525</t>
  </si>
  <si>
    <t>NPP cal/val program</t>
  </si>
  <si>
    <t>This study is partially funded by the NPP cal/val program. The authors would like to thank Dr. Xiangqian Wu of NOAA/NESDIS/STAR, Dr. Fangfang Yu and Mr. Michael Grotenhuis of ERT, Dr. Tiejun Chang and Dr. Ruiyue Chen of IMSG, Dr. Aaron Pearlman of IAI, and anonymous reviewers for reviewing this manuscript and providing valuable comments and suggestions. The manuscript contents are solely the opinions of the authors and do not constitute a statement of policy, decision, or position on behalf of NOAA or the U.S. government.</t>
  </si>
  <si>
    <t>SPIE-SOC PHOTO-OPTICAL INSTRUMENTATION ENGINEERS</t>
  </si>
  <si>
    <t>BELLINGHAM</t>
  </si>
  <si>
    <t>1000 20TH ST, PO BOX 10, BELLINGHAM, WA 98225 USA</t>
  </si>
  <si>
    <t>1931-3195</t>
  </si>
  <si>
    <t>J APPL REMOTE SENS</t>
  </si>
  <si>
    <t>J. Appl. Remote Sens.</t>
  </si>
  <si>
    <t>JUL 3</t>
  </si>
  <si>
    <t>10.1117/1.JRS.6.063541</t>
  </si>
  <si>
    <t>974MV</t>
  </si>
  <si>
    <t>WOS:000306440500002</t>
  </si>
  <si>
    <t>Toyokuni, G; Takenaka, H; Kanao, M; Wiens, DA; Nyblade, A</t>
  </si>
  <si>
    <t>Toyokuni, Genti; Takenaka, Hiroshi; Kanao, Masaki; Wiens, Douglas A.; Nyblade, Andrew</t>
  </si>
  <si>
    <t>Comparison of global synthetic seismograms calculated using the spherical 2.5-D finite-difference method with observed long-period waveforms including data from the intra-Antarctic region</t>
  </si>
  <si>
    <t>POLAR SCIENCE</t>
  </si>
  <si>
    <t>Global waveform modeling; Finite-difference method (FDM); Observed seismograms; International Polar Year (IPY); Antarctica</t>
  </si>
  <si>
    <t>PROPAGATION SIMULATION; EARTH; MODEL; HETEROGENEITY; COMPUTATION</t>
  </si>
  <si>
    <t>We have been developing an accurate and efficient numerical scheme, which uses the finite-difference method (FDM) in spherical coordinates, for the computation of global seismic wave propagation through laterally heterogeneous realistic Earth models. In the field of global seismology, traditional axisymmetric modeling has been used widely as an efficient approach since it can solve the 3-D elastodynamic equation in spherical coordinates on a 2-D cross-section of the Earth, assuming structures to be invariant with respect to the axis through the seismic source. However, it has the severe disadvantages that asymmetric structures about the axis cannot be incorporated and the source mechanisms with arbitrary shear dislocation have not been attempted for a long time. Our scheme is based on the framework of axisymmetric modeling but has been extended to treat asymmetric structures, arbitrary moment-tensor point sources, anelastic attenuation, and the Earth center which is a singularity of wave equations in spherical coordinates. All these types of schemes which solve 3-D wavefields on a 2-D model cross-section are classified as 2.5-D modeling, so we have named our scheme the spherical 2.5-D FDM. In this study, we compare synthetic seismograms calculated using our FDM scheme with three-component observed long-period seismograms including data from stations newly installed in Antarctica in conjunction with the International Polar Year (IPY) 2007-2008. Seismic data from inland Antarctica are expected to reveal images of the Earth's deep interior with enhanced resolution because of the high signal-to-noise ratio and wide extent of this region, in addition to the rarity of sampling paths along the rotation axis of the Earth. We calculate synthetic seismograms through the preliminary reference earth model (PREM) including attenuation using a moment-tensor point source for the November 9, 2009 Fiji earthquake. Our results show quite good agreement between synthetic and observed seismograms, which indicates the accuracy of observations in the Antarctica, as well as the feasibility of the spherical 2.5-D modeling scheme. (C) 2012 Elsevier B.V. and NIPR. All rights reserved.</t>
  </si>
  <si>
    <t>[Toyokuni, Genti] Tohoku Univ, Grad Sch Sci, Res Ctr Predict Earthquakes &amp; Volcan Erupt, Aoba Ku, Sendai, Miyagi 9808578, Japan; [Takenaka, Hiroshi] Kyushu Univ, Fac Sci, Dept Earth &amp; Planetary Sci, Higashi Ku, Fukuoka 8128581, Japan; [Kanao, Masaki] Natl Inst Polar Res, Tachikawa, Tokyo 1908518, Japan; [Wiens, Douglas A.] Washington Univ, St Louis, MO 63130 USA; [Nyblade, Andrew] Penn State Univ, Dept Geosci, University Pk, PA 16802 USA</t>
  </si>
  <si>
    <t>Tohoku University; Kyushu University; Research Organization of Information &amp; Systems (ROIS); National Institute of Polar Research (NIPR) - Japan; Washington University (WUSTL); Pennsylvania Commonwealth System of Higher Education (PCSHE); Pennsylvania State University; Pennsylvania State University - University Park</t>
  </si>
  <si>
    <t>Toyokuni, G (corresponding author), Tohoku Univ, Grad Sch Sci, Res Ctr Predict Earthquakes &amp; Volcan Erupt, Aoba Ku, 6-6 Aza Aoba, Sendai, Miyagi 9808578, Japan.</t>
  </si>
  <si>
    <t>toyokuni@aob.gp.tohoku.ac.jp</t>
  </si>
  <si>
    <t>Takenaka, Hiroshi/N-7884-2014; Wiens, Douglas/J-9259-2016</t>
  </si>
  <si>
    <t>JSPS.KAKENHI [18.9721, 21.6753]; Office of Polar Programs (OPP); Directorate For Geosciences [0838973] Funding Source: National Science Foundation</t>
  </si>
  <si>
    <t>JSPS.KAKENHI(Ministry of Education, Culture, Sports, Science and Technology, Japan (MEXT)Japan Society for the Promotion of ScienceGrants-in-Aid for Scientific Research (KAKENHI)); Office of Polar Programs (OPP); Directorate For Geosciences(National Science Foundation (NSF)NSF - Directorate for Geosciences (GEO))</t>
  </si>
  <si>
    <t>We are grateful to Prof. Kazuo Shibuya, Prof. Dapeng Zhao, and two anonymous reviewers for their kind and constructive support to integrate our manuscript. Most figures were generated using the Generic Mapping Tools freeware package (Wessel and Smith, 1998). This research was partly supported by JSPS.KAKENHI (18.9721, 21.6753).</t>
  </si>
  <si>
    <t>1873-9652</t>
  </si>
  <si>
    <t>1876-4428</t>
  </si>
  <si>
    <t>POLAR SCI</t>
  </si>
  <si>
    <t>Polar Sci.</t>
  </si>
  <si>
    <t>JUL</t>
  </si>
  <si>
    <t>10.1016/j.polar.2012.06.001</t>
  </si>
  <si>
    <t>Ecology; Geosciences, Multidisciplinary</t>
  </si>
  <si>
    <t>094ZI</t>
  </si>
  <si>
    <t>WOS:000315303800001</t>
  </si>
  <si>
    <t>Dingle, RV; Miller, CG; Jones, C</t>
  </si>
  <si>
    <t>Dingle, R. V.; Miller, C. Giles; Jones, Clive</t>
  </si>
  <si>
    <t>R. V. Dingle Ostracod Collection: Natural History Museum, London</t>
  </si>
  <si>
    <t>JOURNAL OF MICROPALAEONTOLOGY</t>
  </si>
  <si>
    <t>microfossils; Ostracoda; Natural History Museum; reference collection; southern hemisphere; type speciments; South Africa; Antarctic; New Zealand</t>
  </si>
  <si>
    <t>SOUTH-AFRICA; CONTINENTAL-SHELF; ATLANTIC-OCEAN; BENTHIC OSTRACODA; SE ATLANTIC; CAPE; ASSEMBLAGES</t>
  </si>
  <si>
    <t>The collection was donated to the Natural History Museum (NHM) between 2009 and 2011 and consists of 2534 slides. It comprises mainly marine ostracods of Jurassic to Holocene age from southern Africa (and its adjacent oceans), Antarctica and New Zealand. There is also a small collection of Quaternary non-marine ostracods from southwestern Africa, two sets of DSDP/ODP ostracods from the Southern Ocean, and one set of Cape Roberts Drilling Project (CRDP) ostracods from Victoria Land, East Antarctica. The individual slides in this collection have been computer registered. Further details of these can be found by inputting seach criteria based on information given in the paper to the NHM's on-line catalogue at http://www.nhm.ac.uk/research-curation/collections/departmental-collections/palaeontology-collections/search/index.php. J. Micropalaeontol. 31(2): 189-192, July 2012.</t>
  </si>
  <si>
    <t>[Dingle, R. V.] St Marks Court, Cambridge CB3 9LE, England; [Miller, C. Giles; Jones, Clive] Nat Hist Museum, Dept Palaeontol, London SW7 5BD, England</t>
  </si>
  <si>
    <t>Dingle, RV (corresponding author), St Marks Court, Cambridge CB3 9LE, England.</t>
  </si>
  <si>
    <t>rvdingle@aol.com</t>
  </si>
  <si>
    <t>Miller, Giles/C-5160-2012</t>
  </si>
  <si>
    <t>Miller, Giles/0000-0001-9111-2136</t>
  </si>
  <si>
    <t>0262-821X</t>
  </si>
  <si>
    <t>J MICROPALAEONTOL</t>
  </si>
  <si>
    <t>J. Micropalaentol.</t>
  </si>
  <si>
    <t>10.1144/0262-821X12-006</t>
  </si>
  <si>
    <t>080AB</t>
  </si>
  <si>
    <t>WOS:000314212500010</t>
  </si>
  <si>
    <t>Kagoshima, H; Kito, K; Aizu, T; Shin-i, T; Kanda, H; Kobayashi, S; Toyoda, A; Fujiyama, A; Kohara, Y; Convey, P; Niki, H</t>
  </si>
  <si>
    <t>Kagoshima, H.; Kito, K.; Aizu, T.; Shin-i, T.; Kanda, H.; Kobayashi, S.; Toyoda, A.; Fujiyama, A.; Kohara, Y.; Convey, P.; Niki, H.</t>
  </si>
  <si>
    <t>MULTI-DECADAL SURVIVAL OF AN ANTARCTIC NEMATODE, Plectus murrayi, IN A-20°C STORED MOSS SAMPLE</t>
  </si>
  <si>
    <t>CRYOLETTERS</t>
  </si>
  <si>
    <t>Plectus murrayi; nematode; freezing; desiccation; long-term storage; Antarctica</t>
  </si>
  <si>
    <t>PANAGROLAIMUS-DAVIDI; COLD-TOLERANCE; STRESS; DESICCATION; PHYLOGENY; EMPHASIS; SEQUENCE</t>
  </si>
  <si>
    <t>It is not clear for how long Antarctic soil nematodes might tolerate freezing. Samples of the Antarctic moss, Bryum argenteum, were collected on 1 October 1983 at Langhovde, Soya coast, eastern Antarctica and were stored at -20 degrees C. After 25.5 years of storage, living nematodes were recovered from the samples and were identified as Plectus murrayi by morphological examination and nucleotide sequencing of ribosomal RNA loci. The nematodes can grow and reproduce in a water agar plate with bacteria (mainly Pseudomonas sp.) cultured from the moss extract. They showed freezing tolerance at -20 degrees C and -80 degrees C and their survival rate after exposure to -20 degrees C, but not -80 degrees C, was increased if they were initially frozen slowly at a high sub-zero temperature. They also showed some ability to tolerate desiccation stress.</t>
  </si>
  <si>
    <t>[Kagoshima, H.; Kobayashi, S.; Niki, H.] Res Org Informat &amp; Syst, Transdisciplinary Res Intergrat Ctr, Minato Ku, Tokyo 1050001, Japan; [Kagoshima, H.; Aizu, T.; Shin-i, T.; Toyoda, A.; Fujiyama, A.; Kohara, Y.; Niki, H.] ROIS, Natl Inst Genet, Mishima, Shizuoka 4118540, Japan; [Kito, K.] Sapporo Med Univ, Chuo Ku, Sapporo, Hokkaido 0608556, Japan; [Kanda, H.] ROIS, Natl Inst Polar Res, Tokyo 1908518, Japan; [Convey, P.] British Antarctic Survey, Cambridge CB3 0ET, England</t>
  </si>
  <si>
    <t>Research Organization of Information &amp; Systems (ROIS); Research Organization of Information &amp; Systems (ROIS); National Institute of Genetics (NIG) - Japan; Sapporo Medical University; Research Organization of Information &amp; Systems (ROIS); National Institute of Polar Research (NIPR) - Japan; UK Research &amp; Innovation (UKRI); Natural Environment Research Council (NERC); NERC British Antarctic Survey</t>
  </si>
  <si>
    <t>Kagoshima, H (corresponding author), Res Org Informat &amp; Syst, Transdisciplinary Res Intergrat Ctr, Minato Ku, Toranomon 4-3-13, Tokyo 1050001, Japan.</t>
  </si>
  <si>
    <t>hkagoshi@nig.ac.jp</t>
  </si>
  <si>
    <t>Convey, Peter/0000-0001-8497-9903; Niki, Hironori/0000-0002-5391-6595</t>
  </si>
  <si>
    <t>Japan Society for the Promotion of Science [23510239, 23247012]; Grants-in-Aid for Scientific Research [23247012, 23510239] Funding Source: KAKEN</t>
  </si>
  <si>
    <t>We thank Yoshiki Andachi, Tomoya Baba and Katsuhiko Yanagihara for useful advice during manuscript preparation. We also thank Melissa Yoder for DESS fixation method and Mark Blaxter for technical advice. We thank David Wharton, Rolf Maslen, Bishwo Adhikari, Byron Adams and Takekazu Kunieda and Aric Daul for critical comments and sharing unpublished information. This study was supported by Grant-in-Aid for Scientific Research (Kakenhi) (C) (No. 23510239), and Kakenhi (A) (No. 23247012) from the Japan Society for the Promotion of Science.</t>
  </si>
  <si>
    <t>CRYO LETTERS</t>
  </si>
  <si>
    <t>C/O ROYAL VETERINARY COLLEGE, ROYAL COLLEGE ST, LONDON NW1 0TU, ENGLAND</t>
  </si>
  <si>
    <t>0143-2044</t>
  </si>
  <si>
    <t>CryoLetters</t>
  </si>
  <si>
    <t>JUL-AUG</t>
  </si>
  <si>
    <t>Biology; Physiology</t>
  </si>
  <si>
    <t>Life Sciences &amp; Biomedicine - Other Topics; Physiology</t>
  </si>
  <si>
    <t>042HV</t>
  </si>
  <si>
    <t>WOS:000311463200004</t>
  </si>
  <si>
    <t>Thompson, G; Dinofrio, EO; Alder, VA; Takahashi, KT; Hosie, GW</t>
  </si>
  <si>
    <t>Thompson, Gustavo; Dinofrio, Estela O.; Alder, Viviana A.; Takahashi, Kunio T.; Hosie, Graham W.</t>
  </si>
  <si>
    <t>COPEPOD DISTRIBUTION IN SURFACE WATERS OF THE DRAKE PASSAGE USING CONTINUOUS PLANKTON RECORDER AND A PUMP-NET ONBOARD SYSTEM</t>
  </si>
  <si>
    <t>BRAZILIAN JOURNAL OF OCEANOGRAPHY</t>
  </si>
  <si>
    <t>Copepod; Continuous Plankton Recorder; Pump Net sampler; Drake Passage; Southern Ocean</t>
  </si>
  <si>
    <t>SOUTHERN-OCEAN; ZOOPLANKTON COMMUNITIES; FLOW-RATES; CPR; TEMPERATURE; VARIABILITY; BIOMASS; ROLES; TIME; SEA</t>
  </si>
  <si>
    <t>There is no single instrument that can sample quantitatively the complete spectrum of pelagic organisms, or even all the components of zooplankton. Mesh size is the main factor affecting species selectivity in the Continuous Plankton Recorder (CPR), implying a need to use multiple net systems to fully characterize a community. The spatial distribution of copepod communities in the water masses of the western and eastern sectors of Drake Passage were studied using, respectively, a CPR and a Pump Net onboard system. For this purpose, and assuming that copepod community size structures of each of the three water masses were similar in both the sectors studied, the possibility of complementing CPR results using a Pump-Net onboard system was evaluated. The latter system allows the estimation of absolute abundances and has the advantage of solving two problems associated with CPR, namely mesh clogging and low catching efficiency. The contribution of the nauplius forms and species accurately identified with both samplers was analyzed. Although Oithona similis dominated both communities, in the western sector small species made a greater contribution than Calanus simillimus, the opposite being true for the eastern sector. Nauplii and early copepodite stages of O. similis were missing from the CPR samples and represented between 69 and 79% of total copepod communities, whereas small calanoid copepods, C. simillimus copepodites and later stages of O. similis were inaccurately sampled by the CPR and represented between 14 and 18% of the copepod community. Hence, the Pump Net sampler is useful for complementing the semi-quantitative information of the CPR and for its calibration.</t>
  </si>
  <si>
    <t>[Thompson, Gustavo; Alder, Viviana A.] Univ Buenos Aires, Fac Ciencias Exactas &amp; Nat, Dept Ecol Genet &amp; Evoluc, Buenos Aires, DF, Argentina; [Thompson, Gustavo; Alder, Viviana A.] Consejo Nacl Invest Cient &amp; Tecn, Buenos Aires, DF, Argentina; [Dinofrio, Estela O.; Alder, Viviana A.] Inst Antartico Argentino, Buenos Aires, DF, Argentina; [Takahashi, Kunio T.] Natl Inst Polar Res, Tachikawa, Tokyo 1908518, Japan; [Hosie, Graham W.] Australian Antarctic Div, Kingston, Tas 7050, Australia</t>
  </si>
  <si>
    <t>University of Buenos Aires; Consejo Nacional de Investigaciones Cientificas y Tecnicas (CONICET); Instituto Antartico Argentino; Research Organization of Information &amp; Systems (ROIS); National Institute of Polar Research (NIPR) - Japan; Australian Antarctic Division</t>
  </si>
  <si>
    <t>Thompson, G (corresponding author), Univ Buenos Aires, Fac Ciencias Exactas &amp; Nat, Dept Ecol Genet &amp; Evoluc, Ciudad Univ Pab 2, Buenos Aires, DF, Argentina.</t>
  </si>
  <si>
    <t>gustavo@ege.fcen.uba.ar</t>
  </si>
  <si>
    <t>Alder, Viviana A./0000-0002-7375-3279; Thompson, Gustavo/0000-0002-5511-3673</t>
  </si>
  <si>
    <t>IAA; Agencia Nacional de Promocion Cientifica y Tecnologica (ANPCyT) [58 IAA, PICT 7-9108 ANPCyT]</t>
  </si>
  <si>
    <t>IAA; Agencia Nacional de Promocion Cientifica y Tecnologica (ANPCyT)(ANPCyTSpanish Government)</t>
  </si>
  <si>
    <t>We are grateful to the SCAR Southern Ocean CPR Survey for supplying the CPR data, and to the personnel of the Instituto Antartico Argentino (IAA), the Servicio de Hidrografia Naval and the crew of Almirante Irizar for their help during sampling. We also thank Prof. L. Fransozo and J. Zanguettin Pereira for checking the Portuguese grammar and syntax of the Resumo. Financial support for Summer Antarctic Cruises was provided for V. Alder by the IAA and the Agencia Nacional de Promocion Cientifica y Tecnologica (ANPCyT), grants 58 IAA and PICT 7-9108 ANPCyT.</t>
  </si>
  <si>
    <t>INST OCEANOGRAFICO, UNIV SAO PAULO</t>
  </si>
  <si>
    <t>SAO PAULO</t>
  </si>
  <si>
    <t>PRACA DO OCEANOGRAFICO, 191, CIDADE UNIVERSITARIA, SAO PAULO, SP 00000, BRAZIL</t>
  </si>
  <si>
    <t>1679-8759</t>
  </si>
  <si>
    <t>1982-436X</t>
  </si>
  <si>
    <t>BRAZ J OCEANOGR</t>
  </si>
  <si>
    <t>Braz. J. Oceanogr.</t>
  </si>
  <si>
    <t>JUL-SEP</t>
  </si>
  <si>
    <t>10.1590/S1679-87592012000300009</t>
  </si>
  <si>
    <t>029ZF</t>
  </si>
  <si>
    <t>WOS:000310536600009</t>
  </si>
  <si>
    <t>Bonnevie, BT; Connan, M; Mcquaid, CD</t>
  </si>
  <si>
    <t>Bonnevie, Bo T.; Connan, Maelle; Mcquaid, Christopher D.</t>
  </si>
  <si>
    <t>Effects of re-breeding rates on population size estimation of biennial breeders: results from a model based on albatrosses</t>
  </si>
  <si>
    <t>IBIS</t>
  </si>
  <si>
    <t>breeding success; reproductive cycle; seabird conservation; simulation</t>
  </si>
  <si>
    <t>WANDERING ALBATROSS; DIOMEDEA-EXULANS; MARION ISLAND; INDIAN-OCEAN; DYNAMICS; FISHERIES; TRENDS; MOLT; MELANOPHRIS; PETRELS</t>
  </si>
  <si>
    <t>Estimating total breeding populations (I) for species that exhibit biennial breeding is generally done from counts of individuals that breed in each year (N), but can be complicated by the fact that the proportion of individuals breeding varies from year to year. Partly, this reflects the proportion of individuals that re-breed in successive years (re-breeding rate, p), which is largely, although not exclusively, governed by reproductive failure. Here we show that variation in counts of breeding individuals not only reflects changes in total breeding population but can be sensitive to and powerfully driven by variation in p. A simulation of annual field counts of a bird exhibiting biennial breeding was constructed to explore the effect of re-breeding attempts on estimations of the total breeding population. The model was used to simulate the consequences of adult mortality and different annual patterns of nesting failures on total breeding population estimates, and to explore the consequences of variation in p on N, when total breeding population remains constant. N is shown to be very sensitive to variations in p, so that even short-term fluctuations in p can cause changes in N that oscillate for many years ahead. We compare our modelled results with real data for Grey-headed Albatrosses Thalassarche chrysostoma and demonstrate that, when I is held constant in the model, actual counts may be simulated by variations in p only. Normally, I is unknown and is extrapolated from N on the assumption that N mirrors changes in the size of the total population. Consequently, applying average values of p can result in misleading estimates of total breeding population. We recommend that annual counts of breeding individuals are supplemented with annual estimates of p. Field protocols that aim to estimate annual breeding population size from counts of breeding individuals should be complemented by independent measures of rates of re-breeding and nest failure.</t>
  </si>
  <si>
    <t>[Bonnevie, Bo T.] Rhodes Univ, Informat Technol Div, ZA-6140 Grahamstown, South Africa; [Connan, Maelle; Mcquaid, Christopher D.] Rhodes Univ, Dept Zool &amp; Entomol, ZA-6140 Grahamstown, South Africa</t>
  </si>
  <si>
    <t>Rhodes University; Rhodes University</t>
  </si>
  <si>
    <t>Bonnevie, BT (corresponding author), Rhodes Univ, Informat Technol Div, ZA-6140 Grahamstown, South Africa.</t>
  </si>
  <si>
    <t>B.Bonnevie@ru.ac.za</t>
  </si>
  <si>
    <t>McQuaid, Christopher/AAT-3725-2020; Connan, Maelle/A-8468-2008</t>
  </si>
  <si>
    <t>McQuaid, Christopher/0000-0002-3473-8308; Bonnevie, Bo/0000-0002-5906-9577; Connan, Maelle/0000-0002-1308-9118</t>
  </si>
  <si>
    <t>South African National Antarctic Programme; South African Research Chairs Initiative of the Department of Science and Technology; National Research Foundation</t>
  </si>
  <si>
    <t>This research was funded through a South African National Antarctic Programme grant and was supported by the South African Research Chairs Initiative of the Department of Science and Technology and the National Research Foundation. We are grateful to Chris Oosthuizen for his constructive comments on an early draft, and to Res Altwegg and an anonymous reviewer for their helpful input and suggestions, particularly to use more realistic and interesting examples. Res Altwegg also provided sample R code for matrix population models. We would also like to thank the Associate Editor Lorien Pichegru and Editor Ruedi Nager for their additional comments and help with improving the presentation of the manuscript.</t>
  </si>
  <si>
    <t>0019-1019</t>
  </si>
  <si>
    <t>1474-919X</t>
  </si>
  <si>
    <t>Ibis</t>
  </si>
  <si>
    <t>10.1111/j.1474-919X.2012.01247.x</t>
  </si>
  <si>
    <t>Ornithology</t>
  </si>
  <si>
    <t>032SC</t>
  </si>
  <si>
    <t>WOS:000310738400008</t>
  </si>
  <si>
    <t>Kvale, K; Zickfeld, K; Bruckner, T; Meissner, KJ; Tanaka, K; Weaver, AJ</t>
  </si>
  <si>
    <t>Kvale, K.; Zickfeld, K.; Bruckner, T.; Meissner, K. J.; Tanaka, K.; Weaver, A. J.</t>
  </si>
  <si>
    <t>Carbon Dioxide Emission Pathways Avoiding Dangerous Ocean Impacts</t>
  </si>
  <si>
    <t>WEATHER CLIMATE AND SOCIETY</t>
  </si>
  <si>
    <t>CLIMATE-CHANGE; ANTHROPOGENIC INTERFERENCE; INTEGRATED ASSESSMENT; SENSITIVITY-ANALYSIS; ANTARCTIC ICE; RISK; SYSTEM; CIRCULATION; MODEL; STRATEGIES</t>
  </si>
  <si>
    <t>Anthropogenic emissions of greenhouse gases could lead to undesirable effects on oceans in coming centuries. Drawing on recommendations published by the German Advisory Council on Global Change, levels of unacceptable global marine change (so-called guardrails) are defined in terms of global mean temperature, sea level rise, and ocean acidification. A global-mean climate model [the Aggregated Carbon Cycle, Atmospheric Chemistry and Climate Model (ACC2)] is coupled with an economic module [taken from the Dynamic Integrated Climate-Economy Model (DICE)] to conduct a cost-effectiveness analysis to derive CO2 emission pathways that both minimize abatement costs and are compatible with these guardrails. Additionally, the tolerable windows approach is used to calculate a range of CO2 emissions paths that obey the guardrails as well as a restriction on mitigation rate. Prospects of meeting the global mean temperature change guardrail (2 degrees and 0.2 degrees C decade(-1) relative to preindustrial) depend strongly on assumed values for climate sensitivity: at climate sensitivities &gt;3 degrees C the guardrail cannot be attained under any CO2 emissions reduction strategy without mitigation of non-CO2 greenhouse gases. The ocean acidification guardrail (0.2 unit pH decline relative to preindustrial) is less restrictive than the absolute temperature guardrail at climate sensitivities &gt;2.5 degrees C but becomes more constraining at lower climate sensitivities. The sea level rise and rate of rise guardrails (1 m and 5 cm decade(-1)) are substantially less stringent for ice sheet sensitivities derived in the Intergovernmental Panel on Climate Change (IPCC) Fourth Assessment Report, but they may already be committed to violation if ice sheet sensitivities consistent with semiempirical sea level rise projections are assumed.</t>
  </si>
  <si>
    <t>[Kvale, K.; Zickfeld, K.; Meissner, K. J.; Weaver, A. J.] Univ Victoria, Victoria, BC, Canada; [Bruckner, T.] Univ Leipzig, Inst Infrastruct &amp; Resources Management, Leipzig, Germany; [Tanaka, K.] Int Inst Appl Syst Anal, A-2361 Laxenburg, Austria; [Tanaka, K.] Ctr Int Climate &amp; Environm Res, Oslo, Norway; [Tanaka, K.] ETH, Inst Atmospher &amp; Climate Sci, Zurich, Switzerland</t>
  </si>
  <si>
    <t>University of Victoria; Leipzig University; International Institute for Applied Systems Analysis (IIASA); Swiss Federal Institutes of Technology Domain; ETH Zurich</t>
  </si>
  <si>
    <t>Kvale, K (corresponding author), Univ New S Wales, Climate Change Res Ctr, Level 4 Mathews Bldg, Sydney, NSW 2052, Australia.</t>
  </si>
  <si>
    <t>k.kvale@unsw.edu.au</t>
  </si>
  <si>
    <t>Tanaka, Katsumasa/B-8528-2013; Kvale, Karin F/A-7597-2013; Weaver, Andrew J/E-7590-2011; Kvale, Karin/T-1231-2018</t>
  </si>
  <si>
    <t>Tanaka, Katsumasa/0000-0001-9601-6442; Weaver, Andrew J/0000-0001-8919-3598; Kvale, Karin/0000-0001-8043-5431; Meissner, Katrin/0000-0002-0716-7415</t>
  </si>
  <si>
    <t>Natural Sciences and Engineering Research Council of Canada (NSERC); NSERC; Canadian Foundation for Climate and Atmospheric Sciences; European Community [N255568]</t>
  </si>
  <si>
    <t>Natural Sciences and Engineering Research Council of Canada (NSERC)(Natural Sciences and Engineering Research Council of Canada (NSERC)); NSERC(Natural Sciences and Engineering Research Council of Canada (NSERC)); Canadian Foundation for Climate and Atmospheric Sciences; European Community</t>
  </si>
  <si>
    <t>The authors thank Ed Wiebe and Michael Eby for technical support. KJM is grateful for research grant support under the University Faculty Award program and the Discovery Program from the Natural Sciences and Engineering Research Council of Canada (NSERC). We are grateful for funding support from NSERC and the Canadian Foundation for Climate and Atmospheric Sciences. K. Tanaka is partly supported by the Marie Curie Intra-European Fellowship within the 7th European Community Framework Programme (Proposal N255568 under FP7-PEOPLE-2009-IEF).</t>
  </si>
  <si>
    <t>1948-8327</t>
  </si>
  <si>
    <t>1948-8335</t>
  </si>
  <si>
    <t>WEATHER CLIM SOC</t>
  </si>
  <si>
    <t>Weather Clim. Soc.</t>
  </si>
  <si>
    <t>10.1175/WCAS-D-11-00030.1</t>
  </si>
  <si>
    <t>Environmental Studies; Meteorology &amp; Atmospheric Sciences</t>
  </si>
  <si>
    <t>017ZN</t>
  </si>
  <si>
    <t>WOS:000309629800006</t>
  </si>
  <si>
    <t>Haltigin, TW; Pollard, WH; Dutilleul, P; Osinski, GR</t>
  </si>
  <si>
    <t>Haltigin, Timothy W.; Pollard, Wayne H.; Dutilleul, Pierre; Osinski, Gordon R.</t>
  </si>
  <si>
    <t>Geometric Evolution of Polygonal Terrain Networks in the Canadian High Arctic: Evidence of Increasing Regularity over Time</t>
  </si>
  <si>
    <t>PERMAFROST AND PERIGLACIAL PROCESSES</t>
  </si>
  <si>
    <t>Axel Heiberg Island; Devon Island; geomorphology; ice-wedge polygons; permafrost; spatial point pattern analysis</t>
  </si>
  <si>
    <t>ICE-WEDGE POLYGONS; NORTHWEST-TERRITORIES; GARRY-ISLAND; GROUND-ICE; MARS; COAST; SUBLIMATION; ANTARCTICA; PATTERNS; GLACIER</t>
  </si>
  <si>
    <t>Polygon networks are usually described qualitatively as becoming more regular through time, but such a concept has yet to be demonstrated numerically. The aim of this study is to address this question quantitatively in order to determine if polygonal terrain networks actually become more regular as they develop. Spatial point pattern analysis (SPPA), which can quantify overall network geometries based on the randomness or regularity exhibited by the spatial arrangement of polygon-bounding trough intersections, was used at three ice-wedge polygon sites in the Canadian High Arctic. SPPA was applied in two ways: (i) on the present-day networks observed in the field; and (ii) on historical arrangements derived by distinguishing primary from secondary troughs. In all cases, the polygonal networks had undergone a statistically significant regularisation over the course of their development. Although the method was applied only to terrestrial ice-wedge polygons, such an approach may also be useful for interpreting the evolution of Antarctic sublimation polygons and geometrically similar polygonal networks on Mars. Copyright (c) 2012 John Wiley &amp; Sons, Ltd. and Her Majesty the Queen in Right of Canada.</t>
  </si>
  <si>
    <t>[Haltigin, Timothy W.] Canadian Space Agcy, St Hubert, PQ J3Y 8Y9, Canada; [Haltigin, Timothy W.; Pollard, Wayne H.] McGill Univ, Dept Geog, Montreal, PQ, Canada; [Dutilleul, Pierre] McGill Univ, Dept Plant Sci, Ste Anne De Bellevue, PQ, Canada; [Osinski, Gordon R.] Univ Western Ontario, Dept Earth Sci, Dept Phys &amp; Astron, London, ON, Canada</t>
  </si>
  <si>
    <t>Canadian Space Agency; McGill University; McGill University; Western University (University of Western Ontario)</t>
  </si>
  <si>
    <t>Haltigin, TW (corresponding author), Canadian Space Agcy, 9A-130 6767 Rte Aeroport, St Hubert, PQ J3Y 8Y9, Canada.</t>
  </si>
  <si>
    <t>timothy.haltigin@asc-csa.gc.ca</t>
  </si>
  <si>
    <t>Osinski, Gordon/0000-0002-1832-5925</t>
  </si>
  <si>
    <t>Canada's Natural Sciences and Engineering Research Council; Canadian Space Agency</t>
  </si>
  <si>
    <t>Canada's Natural Sciences and Engineering Research Council(Natural Sciences and Engineering Research Council of Canada (NSERC)); Canadian Space Agency(Canadian Space Agency)</t>
  </si>
  <si>
    <t>This manuscript benefited greatly from comments provided by the Editor, Associate Editor and three anonymous reviewers. The research was supported financially through scholarships (TWH) and grants (WHP) from Canada's Natural Sciences and Engineering Research Council and the Canadian Space Agency. Logistical support for fieldwork on Axel Heiberg Island and Devon Island was graciously provided by the Polar Continental Shelf Program. Additional logistical considerations at the HMP on Devon Island were provided by the Mars Institute. Fieldwork in the Canadian High Arctic is facilitated through research licences and land-use permits provided by the Territorial Government of Nunavut. We thank Kevin Williams, Alaura Singleton, Ben Audlaluk, James Hunter and Katsak Manik for assistance in the field. We are grateful to Liwen Han for assistance with curve fitting in the data analysis.</t>
  </si>
  <si>
    <t>1045-6740</t>
  </si>
  <si>
    <t>1099-1530</t>
  </si>
  <si>
    <t>PERMAFROST PERIGLAC</t>
  </si>
  <si>
    <t>Permafrost Periglacial Process.</t>
  </si>
  <si>
    <t>10.1002/ppp.1741</t>
  </si>
  <si>
    <t>Geography, Physical; Geology</t>
  </si>
  <si>
    <t>000OQ</t>
  </si>
  <si>
    <t>WOS:000308396400002</t>
  </si>
  <si>
    <t>Nedashkovsky, AP</t>
  </si>
  <si>
    <t>Nedashkovsky, A. P.</t>
  </si>
  <si>
    <t>Hydrochemical variability in the surface mixed layer along the drift path of the North Pole 35 station</t>
  </si>
  <si>
    <t>ARCTIC-OCEAN; SEA-ICE; ALKALINITY; HALOCLINE; OXYGEN; WATER</t>
  </si>
  <si>
    <t>The variability of the phosphates, silicates, alkalinity, oxygen, CO2 pressure, salinity, and temperature in the surface mixed layer (SML), as well as the variations of its thickness along the drift passage of the North Pole 35 station, are considered. The station drifted over the Nansen Basin mainly eastwards from similar to 105 to similar to 30A degrees E. The surveys were performed from October of 2007 till June of 2008 at three-day intervals. The SML parameters are mainly determined by the advection and mixing with the underlying waters. The analysis of the hydrochemical variability shows that the surface waters at the eastern and western areas of the drift are of different origins. The waters of the eastern area were subjected to the impact of riverine runoff. These waters were spread westwards. The fraction of riverine waters in the eastern area amounts to 3%. In the western area of the drift, presumably transformed Atlantic waters were observed, which spread eastwards from the Fram Strait. The drift path of the station crosses the boundary of the water masses near 85A degrees N and 45A degrees E.</t>
  </si>
  <si>
    <t>[Nedashkovsky, A. P.] Russian Acad Sci, Ilichev Pacific Oceanol Inst, Far E Branch, Vladivostok 690022, Russia; [Nedashkovsky, A. P.] Arctic &amp; Antarctic Res Inst, St Petersburg 199226, Russia</t>
  </si>
  <si>
    <t>Nedashkovsky, AP (corresponding author), Russian Acad Sci, Ilichev Pacific Oceanol Inst, Far E Branch, Vladivostok 690022, Russia.</t>
  </si>
  <si>
    <t>nealpa@mail.ru</t>
  </si>
  <si>
    <t>10.1134/S0001437012040066</t>
  </si>
  <si>
    <t>995VV</t>
  </si>
  <si>
    <t>WOS:000308043200003</t>
  </si>
  <si>
    <t>Schreider, A; Schreider, AA; Galindo-Zaldivar, J; Maldonado, A; Martos-Martin, Y</t>
  </si>
  <si>
    <t>Schreider, Al. A.; Schreider, A. A.; Galindo-Zaldivar, J.; Maldonado, A.; Martos-Martin, Y.</t>
  </si>
  <si>
    <t>Initial phase of the West Scotia mid-oceanic ridge opening</t>
  </si>
  <si>
    <t>DRAKE PASSAGE; PLATE BOUNDARY; SEA; EVOLUTION; HISTORY; MOTION; ZONE</t>
  </si>
  <si>
    <t>The first map illustrating the position of anomaly C12 extending in the NE-SW direction (25A degrees) in the eastern peripheral part of the West Scotia Ridge is presented. Calculations of the paleomagnetic anomalies show that the spreading initiated in the period corresponding to Chron C12r (31.116-33.266 Ma ago). Chron C11r (30.217-30.627 Ma ago) was marked by a 200 km northwestward jump of the spreading axis. The calculation of the Euler poles and the rotation angles made it possible to reconstruct the zone of the initial breakup between South America and the Antarctic Peninsula along the western periphery of the continental Terror Rise.</t>
  </si>
  <si>
    <t>[Schreider, Al. A.] Open Joint Stock Co, NIIgazekonomika, Moscow, Russia; [Schreider, A. A.] Russian Acad Sci, PP Shirshov Oceanol Inst, Moscow, Russia; [Galindo-Zaldivar, J.] Univ Granada, E-18071 Granada, Spain; [Maldonado, A.; Martos-Martin, Y.] Andalusia Inst Earth Sci, Granada, Spain</t>
  </si>
  <si>
    <t>Russian Academy of Sciences; Shirshov Institute of Oceanology; University of Granada</t>
  </si>
  <si>
    <t>Schreider, A (corresponding author), Open Joint Stock Co, NIIgazekonomika, Moscow, Russia.</t>
  </si>
  <si>
    <t>aschr@ocean.ru</t>
  </si>
  <si>
    <t>Galindo-Zaldivar, Jesus/K-3640-2012; Sazhneva, Alexandra/HPG-9897-2023</t>
  </si>
  <si>
    <t>Galindo-Zaldivar, Jesus/0000-0002-3493-2637;</t>
  </si>
  <si>
    <t>Russian Foundation for Basic Research [11-05-93981 INIS_a, 08-05-00138]</t>
  </si>
  <si>
    <t>This work was supported by the Russian Foundation for Basic Research, project nos. 11-05-93981 INIS_a and 08-05-00138.</t>
  </si>
  <si>
    <t>10.1134/S0001437012040091</t>
  </si>
  <si>
    <t>WOS:000308043200010</t>
  </si>
  <si>
    <t>Povazhnyi, VV</t>
  </si>
  <si>
    <t>Povazhnyi, V. V.</t>
  </si>
  <si>
    <t>Determination of the chlorophyll a concentration using a combined method based on measurements with a modified photometer</t>
  </si>
  <si>
    <t>PHYTOPLANKTON</t>
  </si>
  <si>
    <t>A method of chlorophyll a determination based on fluorescence and optical density measurements with a compact photometer is described. Our modification of the method allows one to determine the chlorophyll a with a simple instrument in the field with acceptable accuracy. The results of the calibration and validation of the method obtained from conventional spectrophotometric determinations in Antarctic waters are shown.</t>
  </si>
  <si>
    <t>RAS, SSC, Rostov Na Donu, Russia</t>
  </si>
  <si>
    <t>Russian Academy of Sciences</t>
  </si>
  <si>
    <t>Povazhnyi, VV (corresponding author), RAS, SSC, Rostov Na Donu, Russia.</t>
  </si>
  <si>
    <t>povazhnyi@ssc-ras.ru</t>
  </si>
  <si>
    <t>Povazhnyy, Vasily V./I-3775-2013; Поважный, Василий/AGX-9630-2022</t>
  </si>
  <si>
    <t>10.1134/S0001437012040078</t>
  </si>
  <si>
    <t>WOS:000308043200013</t>
  </si>
  <si>
    <t>Guerra, MBB; Rosa, PF; Schaefer, CEGR; Michel, RFM; Almeida, IC; Pereira, ER</t>
  </si>
  <si>
    <t>Guerra, Marcelo B. B.; Rosa, Paula F.; Schaefer, Carlos E. G. R.; Michel, Roberto F. M.; Almeida, Ivan C.; Pereira-Filho, Edenir R.</t>
  </si>
  <si>
    <t>Chemometric Tools in Chemical Fractionation Data of Soil Samples from Five Antarctic Research Stations</t>
  </si>
  <si>
    <t>JOURNAL OF THE BRAZILIAN CHEMICAL SOCIETY</t>
  </si>
  <si>
    <t>Antarctica; heavy metals; PCA; PARAFAC; sequential extraction procedure</t>
  </si>
  <si>
    <t>TRACE-METALS; SHETLAND ISLANDS; SEDIMENTS; LEAD; CONTAMINATION; ECOSYSTEMS; DEPOSITION; PATTERNS; MERCURY</t>
  </si>
  <si>
    <t>The aim of this study was to carry out a broad chemical investigation of selected soil samples from Antarctica, near different Antarctic scientific stations. Soil samples collected in background reference sites, with minimal human impact, far away from the stations were used as control samples. Anthropogenic places at the vicinity of the following stations Frei Montalva and Escudero (Chile), Great Wall (China), Bellingshausen (Russia) and Artigas (Uruguay) were studied as a priori human impacted sites. The sequential extraction procedure (SEP) based on the BCR (Community Bureau of Reference) protocol was applied for Cu, Mn and Zn determination. With the help of PCA (principal component analysis) and PARAFAC (parallel factor analysis) methods, meaningful information was extracted from the raw data obtained from SEP procedure. Soil samples affected by the scientific stations are associated with higher heavy metal contents (especially Cu and Zn, between the investigated metals, in the most labile fractions of the SEP applied). This pollution signal is associated with diesel use for the energy generation by the Antarctic stations.</t>
  </si>
  <si>
    <t>[Guerra, Marcelo B. B.; Rosa, Paula F.; Pereira-Filho, Edenir R.] Univ Fed Sao Carlos, Dept Quim, Grp Anal Instrumental Aplicada, BR-13565905 Sao Carlos, SP, Brazil; [Schaefer, Carlos E. G. R.; Michel, Roberto F. M.; Almeida, Ivan C.] Univ Cambridge, SPRI, Cambridge CB2 IER, England; [Schaefer, Carlos E. G. R.; Michel, Roberto F. M.; Almeida, Ivan C.] Univ Fed Vicosa, Dept Ciencias Solo, BR-36570000 Vicosa, MG, Brazil; [Michel, Roberto F. M.] FEAM, BR-31630900 Belo Horizonte, MG, Brazil</t>
  </si>
  <si>
    <t>Universidade Federal de Sao Carlos; University of Cambridge; Universidade Federal de Vicosa</t>
  </si>
  <si>
    <t>Pereira, ER (corresponding author), Univ Fed Sao Carlos, Dept Quim, Grp Anal Instrumental Aplicada, Km 235,CP 676, BR-13565905 Sao Carlos, SP, Brazil.</t>
  </si>
  <si>
    <t>erpf@ufscar.br</t>
  </si>
  <si>
    <t>Guerra, Marcelo B. B./D-3294-2015; Pereira-Filho, Edenir/F-5789-2010; Schaefer, Carlos Ernesto/AAY-4977-2020; Remiro, Paula de Freitas Rosa/G-1963-2018; Pereira Filho, Edenir/E-2283-2012; Michel, Roberto/H-4578-2016</t>
  </si>
  <si>
    <t>Ernesto Goncalves Reynaud Schaefer, Carlos/0000-0001-7060-1598; Ernesto Goncalves Reynaud Schaefer, Carlos/0000-0001-5735-3227; Pereira Filho, Edenir/0000-0003-0608-0278; Braga Bueno Guerra, Marcelo/0000-0002-0058-2640; Michel, Roberto/0000-0001-5951-4610</t>
  </si>
  <si>
    <t>Fundacao de Amparo a Pesquisa do Estado de Sao Paulo (FAPESP) [2007/04515-4, 2008/08260-3, 2009/09481-6]; Conselho Nacional de Desenvolvimento Cientifico e Tecnologico (CNPq-INCT da Criosfera-Terrantar Group); Coordenacao de Aperfeicoamento de Pessoal de Nivel Superior (Capes); FEAM (MG)</t>
  </si>
  <si>
    <t>Fundacao de Amparo a Pesquisa do Estado de Sao Paulo (FAPESP)(Fundacao de Amparo a Pesquisa do Estado de Sao Paulo (FAPESP)); Conselho Nacional de Desenvolvimento Cientifico e Tecnologico (CNPq-INCT da Criosfera-Terrantar Group); Coordenacao de Aperfeicoamento de Pessoal de Nivel Superior (Capes)(Coordenacao de Aperfeicoamento de Pessoal de Nivel Superior (CAPES)); FEAM (MG)</t>
  </si>
  <si>
    <t>The authors are grateful to Fundacao de Amparo a Pesquisa do Estado de Sao Paulo (FAPESP, processes 2007/04515-4, 2008/08260-3 and 2009/09481-6), Conselho Nacional de Desenvolvimento Cientifico e Tecnologico (CNPq-INCT da Criosfera-Terrantar Group), Coordenacao de Aperfeicoamento de Pessoal de Nivel Superior (Capes, Senior sabbatical leave for Carlos Schaefer) and FEAM (MG) for financial support and the Brazilian Navy and Brazilian Air Force for logistical cooperation.</t>
  </si>
  <si>
    <t>SOC BRASILEIRA QUIMICA</t>
  </si>
  <si>
    <t>CAIXA POSTAL 26037, 05599-970 SAO PAULO, BRAZIL</t>
  </si>
  <si>
    <t>0103-5053</t>
  </si>
  <si>
    <t>J BRAZIL CHEM SOC</t>
  </si>
  <si>
    <t>J. Braz. Chem. Soc.</t>
  </si>
  <si>
    <t>10.1590/S0103-50532012000700024</t>
  </si>
  <si>
    <t>987SK</t>
  </si>
  <si>
    <t>WOS:000307437800024</t>
  </si>
  <si>
    <t>Baecker, B; Cordier, C; Folco, L; Trieloff, M; Cartwright, JA; Ott, U</t>
  </si>
  <si>
    <t>Baecker, B.; Cordier, C.; Folco, L.; Trieloff, M.; Cartwright, J. A.; Ott, U.</t>
  </si>
  <si>
    <t>MICROMETEORITES FROM THE TRANSANTARCTIC MOUNTAINS: NOBLE GAS INDICATIONS FOR MULTIPLE POPULATIONS</t>
  </si>
  <si>
    <t>75th Annual Meeting of the Meteoritical-Society</t>
  </si>
  <si>
    <t>AUG 12-17, 2012</t>
  </si>
  <si>
    <t>Cairns, AUSTRALIA</t>
  </si>
  <si>
    <t>ANTARCTIC MICROMETEORITES</t>
  </si>
  <si>
    <t>[Baecker, B.; Cartwright, J. A.; Ott, U.] Max Planck Inst Chem, D-55128 Mainz, Germany; [Baecker, B.; Trieloff, M.] Univ Heidelberg, D-6900 Heidelberg, Germany; [Cordier, C.] Univ Grenoble, Grenoble, France; [Ott, U.] Univ W Hungary, Szombathely, Hungary; [Folco, L.] Univ Pisa, I-56100 Pisa, Italy</t>
  </si>
  <si>
    <t>Max Planck Society; Ruprecht Karls University Heidelberg; Communaute Universite Grenoble Alpes; Universite Grenoble Alpes (UGA); University of West Hungary; University of Pisa</t>
  </si>
  <si>
    <t>b.baecker@mpic.de</t>
  </si>
  <si>
    <t>Ott, Ulrich/ABH-2337-2020; Folco, Luigi/AAA-6351-2020; Folco, Luigi/AAB-8586-2021; Cartwright, Julia A/A-8470-2013</t>
  </si>
  <si>
    <t>STFC [ST/J500586/1, ST/F007426/1, ST/I50583X/1] Funding Source: UKRI; Science and Technology Facilities Council [ST/I50583X/1, ST/J500586/1, ST/F007426/1] Funding Source: researchfish</t>
  </si>
  <si>
    <t>STFC(UK Research &amp; Innovation (UKRI)Science &amp; Technology Facilities Council (STFC)); Science and Technology Facilities Council(UK Research &amp; Innovation (UKRI)Science &amp; Technology Facilities Council (STFC))</t>
  </si>
  <si>
    <t>A50</t>
  </si>
  <si>
    <t>987AV</t>
  </si>
  <si>
    <t>WOS:000307389700017</t>
  </si>
  <si>
    <t>Bonal, L; Quirico, E; Hazemann, JL</t>
  </si>
  <si>
    <t>Bonal, L.; Quirico, E.; Hazemann, J-L</t>
  </si>
  <si>
    <t>THERMAL HISTORY OF TYPE 3 CHONDRITES OF THE NASA ANTARCTIC COLLECTION: A PRELIMINARY REPORT</t>
  </si>
  <si>
    <t>[Bonal, L.; Quirico, E.] UJF Grenoble 1, CNRS INSU, Inst Planetol &amp; Astrophys Grenoble IPAG, Grenoble, France; [Hazemann, J-L] UJF Grenoble 1, CNRS, Inst Louis Neel, Grenoble, France</t>
  </si>
  <si>
    <t>Communaute Universite Grenoble Alpes; Universite Grenoble Alpes (UGA); Institut de Planetologie et d'Astrophysique de Grenoble (IPAG); Centre National de la Recherche Scientifique (CNRS); CNRS - National Institute for Earth Sciences &amp; Astronomy (INSU); Communaute Universite Grenoble Alpes; Universite Grenoble Alpes (UGA); Centre National de la Recherche Scientifique (CNRS)</t>
  </si>
  <si>
    <t>lydie.bonal@obs.ujf-grenoble.fr</t>
  </si>
  <si>
    <t>A77</t>
  </si>
  <si>
    <t>WOS:000307389700044</t>
  </si>
  <si>
    <t>Welzenbach, L; Corrigan, C; McCoy, T; Lunning, N</t>
  </si>
  <si>
    <t>Welzenbach, L.; Corrigan, C.; McCoy, T.; Lunning, N.</t>
  </si>
  <si>
    <t>ANTARCTIC METEORITES AT THE SMITHSONIAN INSTITUTION: PARTNERING WITH A BIOREPOSITORY TO OPTIMIZE CURATION</t>
  </si>
  <si>
    <t>[Welzenbach, L.; Corrigan, C.; McCoy, T.; Lunning, N.] Natl Museum Nat Hist, Smithsonian Inst, Washington, DC 20560 USA</t>
  </si>
  <si>
    <t>Smithsonian Institution; Smithsonian National Museum of Natural History</t>
  </si>
  <si>
    <t>welzenbl@si.edu</t>
  </si>
  <si>
    <t>A407</t>
  </si>
  <si>
    <t>WOS:000307389700374</t>
  </si>
  <si>
    <t>Yabuta, H; Itoh, S; Noguchi, T; Sakamoto, N; Hashiguchi, M; Abe, K; Tsujimoto, S; Kilcoyne, D; Okubo, A; Okazaki, R; Tachibana, S; Terada, K; Nakamura, T; Nagahara, H</t>
  </si>
  <si>
    <t>Yabuta, H.; Itoh, S.; Noguchi, T.; Sakamoto, N.; Hashiguchi, M.; Abe, K.; Tsujimoto, S.; Kilcoyne, D.; Okubo, A.; Okazaki, R.; Tachibana, S.; Terada, K.; Nakamura, T.; Nagahara, H.</t>
  </si>
  <si>
    <t>COEXISTING NITROGEN- RICH AND POOR ORGANIC MATERIALS IN ULTRACARBONACEOUS ANTARCTIC MICROMETEORITE.</t>
  </si>
  <si>
    <t>[Yabuta, H.; Terada, K.] Osaka Univ, Suita, Osaka 565, Japan; [Itoh, S.; Sakamoto, N.; Hashiguchi, M.; Abe, K.; Tachibana, S.] Hokkaido Univ, Sapporo, Hokkaido 060, Japan; [Noguchi, T.; Tsujimoto, S.] Ibaraki Univ, Mito, Ibaraki, Japan; [Okubo, A.; Nagahara, H.] Univ Tokyo, Tokyo 1138654, Japan; [Okazaki, R.] Kyushu Univ, Fukuoka 812, Japan; [Nakamura, T.] Tohoku Univ, Sendai, Miyagi 980, Japan</t>
  </si>
  <si>
    <t>Osaka University; Hokkaido University; Ibaraki University; University of Tokyo; Kyushu University; Tohoku University</t>
  </si>
  <si>
    <t>hyabuta@ess.sci.osaka-u.ac.jp</t>
  </si>
  <si>
    <t>Terada, Kentaro/AAN-5930-2021; Tachibana, Shogo/R-7884-2018; Kilcoyne, Arthur A L/I-1465-2013; HASHIGUCHI, Minako/Z-2896-2019</t>
  </si>
  <si>
    <t>HASHIGUCHI, MINAKO/0000-0002-0302-2171; Kilcoyne, Arthur/0000-0002-8805-8690</t>
  </si>
  <si>
    <t>A420</t>
  </si>
  <si>
    <t>WOS:000307389700387</t>
  </si>
  <si>
    <t>Tsybul'skaya, ND; Kulichkov, SN; Chulichkov, AI</t>
  </si>
  <si>
    <t>Tsybul'skaya, N. D.; Kulichkov, S. N.; Chulichkov, A. I.</t>
  </si>
  <si>
    <t>Studying possibilities for the classification of infrasonic signals from different sources</t>
  </si>
  <si>
    <t>IZVESTIYA ATMOSPHERIC AND OCEANIC PHYSICS</t>
  </si>
  <si>
    <t>signal classification; acoustics; statistical hypotheses</t>
  </si>
  <si>
    <t>Atmospheric infrasonic signals were classified on the basis of data obtained in the United States (University of Alaska, Fairbanks) and in the Antarctic region (Windless Bight) from 1980 to 1983. The data archive included five classes of signals from different sources: explosions, mountain associated waves, microbaroms, volcanic infrasound, and auroral infrasonic waves. This classification was based on the theory of testing statistical hypotheses. The possibilities of separating these classes were studied. It was shown that the signals (from the archive used) that are characteristic of explosions and volcanic activity can be rather easily separated from those characteristic of mountain associated waves, microbaroms, and auroral infrasonic waves.</t>
  </si>
  <si>
    <t>[Tsybul'skaya, N. D.; Kulichkov, S. N.; Chulichkov, A. I.] Russian Acad Sci, Obukhov Inst Atmospher Phys, Moscow 119017, Russia</t>
  </si>
  <si>
    <t>Russian Academy of Sciences; Obukhov Institute of Atmospheric Physics of Russian Academy of Sciences</t>
  </si>
  <si>
    <t>Tsybul'skaya, ND (corresponding author), Russian Acad Sci, Obukhov Inst Atmospher Phys, Pyzhevskii Per 3, Moscow 119017, Russia.</t>
  </si>
  <si>
    <t>snk@ifaran.ru</t>
  </si>
  <si>
    <t>Tsybulskaya, Nadezda/AAN-8218-2020</t>
  </si>
  <si>
    <t>Chulichkov, Alexey/0000-0001-5560-3886</t>
  </si>
  <si>
    <t>Russian Foundation for Basic Research [11-07-00338-a, 11-05-00890]; [70/GF/N-11]; [14.740.11.0203]</t>
  </si>
  <si>
    <t>Russian Foundation for Basic Research(Russian Foundation for Basic Research (RFBR)Spanish Government); ;</t>
  </si>
  <si>
    <t>This study was supported by the Russian Foundation for Basic Research (project nos. 11-07-00338-a and 11-05-00890) and state contract nos. 70/GF/N-11 and 14.740.11.0203.</t>
  </si>
  <si>
    <t>0001-4338</t>
  </si>
  <si>
    <t>IZV ATMOS OCEAN PHY+</t>
  </si>
  <si>
    <t>Izv. Atmos. Ocean. Phys.</t>
  </si>
  <si>
    <t>10.1134/S0001433812040147</t>
  </si>
  <si>
    <t>991OO</t>
  </si>
  <si>
    <t>WOS:000307711200003</t>
  </si>
  <si>
    <t>Yépez, S; Torres, W; Rebolledo, R</t>
  </si>
  <si>
    <t>Yepez, Santiago; Torres, Wuilian; Rebolledo, Rafael</t>
  </si>
  <si>
    <t>METODOLOGY FOR FLOW ESTIMATION IN THE 'BUENOS AIRES' GLACIER, HOPE BAY, ANTARCTIC PENINSULA</t>
  </si>
  <si>
    <t>INTERCIENCIA</t>
  </si>
  <si>
    <t>The First Venezuelan Expedition to the Antarctic Continent, on March 2008, laid the groundwork for future analysis and monitoring of the 'Buenos Aires' glacier, located in the austral coast of Hope Bay, Antarctic Peninsula, and currently experiencing a backward movement process of the ice mass. By using SPOT-5 and 1 satellite data from HRV sensors, techniques of spectral detection are proposed for mapping snow/ice cover using a semi-automatic procedure. This information allows for creating a multi-temporal model, which can be used to quantify the reduction of the covers and to identify changes occurring during the regression of the glacier. Additionally, an analysis of sub-pixel correlation was developed with the purpose of generating displacement vectors to understand the dynamics of snow/ice flow on the surface of the 'Buenos Aires' glacier. Finally, a calibration procedure was carried out in order to validate the results of the correlation analysis performed.</t>
  </si>
  <si>
    <t>[Torres, Wuilian] Cent Univ Venezuela, Fac Ciencias, Caracas, Venezuela; [Yepez, Santiago] Fdn Inst Ingn Invest &amp; Desarrollo Tecnol FIIDT, CPDI, Caracas, Venezuela; [Torres, Wuilian] Univ Rennes, Rennes, France; [Rebolledo, Rafael] Univ Carabobo, Valencia, Venezuela</t>
  </si>
  <si>
    <t>University of Central Venezuela; Universite de Rennes</t>
  </si>
  <si>
    <t>Yépez, S (corresponding author), CPDI FIIDT, Carretera Nacl Hoyo Puerta Baruta,Urb Monte Elena, Caracas 1040 A, Venezuela.</t>
  </si>
  <si>
    <t>syepez@fii.gob.ve; wtorres@fii.gob.ve; rafaelr@.fii.gob.ve</t>
  </si>
  <si>
    <t>Yepez, Santiago/JXM-5144-2024; Yepez, Santiago/AAE-9545-2019</t>
  </si>
  <si>
    <t>Yepez, Santiago/0000-0002-7879-7094</t>
  </si>
  <si>
    <t>CARACAS</t>
  </si>
  <si>
    <t>APARTADO 51842, CARACAS 1050A, VENEZUELA</t>
  </si>
  <si>
    <t>0378-1844</t>
  </si>
  <si>
    <t>Interciencia</t>
  </si>
  <si>
    <t>982LA</t>
  </si>
  <si>
    <t>WOS:000307043500002</t>
  </si>
  <si>
    <t>Huang, YY; Wang, HJ</t>
  </si>
  <si>
    <t>Huang Yan-Yan; Wang Hui-Jun</t>
  </si>
  <si>
    <t>The key areas of interannual variability of the Eurasian summer general circulation and the signals of the Asian summer monsoon variability</t>
  </si>
  <si>
    <t>General circulation; Correlation; Summer monsoon; Predictability</t>
  </si>
  <si>
    <t>WATER-VAPOR TRANSPORT; ANTARCTIC OSCILLATION; PRECIPITATION; HEMISPHERE; ENSO</t>
  </si>
  <si>
    <t>Based on NCEP/NCAR reanalysis data and climate model simulations, the relationship among Eurasian summer general circulation and associated signals of the Asian summer monsoon are analyzed. The results indicate that the key areas of the interannual variation of June-July-August 500 hPa heights over Eurasia include the tropical region, the mid-latitude areas which encompass the area between Baikal and Balkhash, and the region surrounding Mediterranean. The key area of surface atmospheric temperature primarily locates over the tropical ocean. The tropical maritime continent, the Indian Ocean and part of the equatorial area over African continent are the key areas of sea level pressure. In addition, the key areas for March-April-May are located more westward or southward, especially for the surface air temperature (the western Pacific is no longer the key area). Forced by given SST interannual variation, the atmospheric model CAM4 shows reasonable simulation abilities on the key areas mentioned above, with the best performance for 500 hPa heights. In the simulations, the model shows excessive roles of the western Pacific as compared to the observation. With respect to signals of the East Asian summer monsoon index, the spatial pattern resembles a southwest-northeast pattern which is bordered by 30 degrees N. The preceding signals in spring are located both over the ocean south of 30 N, and over the Europe and the regions between Baikal and Balkhash. In conclusion, the model results are in general agreement with the observation, with better performance for the signals in summer than in spring, which lays a good foundation for related model-based predictability and downscaling researches.</t>
  </si>
  <si>
    <t>[Huang Yan-Yan; Wang Hui-Jun] Chinese Acad Sci, Nansen Zhu Int Res Ctr, Inst Atmospher Phys, Beijing 100029, Peoples R China; [Huang Yan-Yan] Chinese Acad Sci, Grad Univ, Beijing 100049, Peoples R China; [Huang Yan-Yan; Wang Hui-Jun] Chinese Acad Sci, Climate Change Res Ctr, Inst Atmospher Phys, Beijing 100029, Peoples R China</t>
  </si>
  <si>
    <t>Chinese Academy of Sciences; Institute of Atmospheric Physics, CAS; Chinese Academy of Sciences; University of Chinese Academy of Sciences, CAS; Chinese Academy of Sciences; Institute of Atmospheric Physics, CAS</t>
  </si>
  <si>
    <t>Huang, YY (corresponding author), Chinese Acad Sci, Nansen Zhu Int Res Ctr, Inst Atmospher Phys, Beijing 100029, Peoples R China.</t>
  </si>
  <si>
    <t>hyyfeng@163.com</t>
  </si>
  <si>
    <t>10.6038/j.issn.0001-5733.2012.07.009</t>
  </si>
  <si>
    <t>983YU</t>
  </si>
  <si>
    <t>WOS:000307155400009</t>
  </si>
  <si>
    <t>An, YZ; Zhang-Ren; Wang, HZ; Chen-Jian; Chen, YD</t>
  </si>
  <si>
    <t>An Yu-Zhu; Zhang-Ren; Wang Hui-Zan; Chen-Jian; Chen Yi-De</t>
  </si>
  <si>
    <t>Study on calculation and spatio-temporal variations of global ocean mixed layer depth</t>
  </si>
  <si>
    <t>Argo; Mixed layer depth; Barrier layer; Compensated layer; Isothermal layer depth; Spatio-temporal variation</t>
  </si>
  <si>
    <t>THETA-S CLIMATOLOGY; BARRIER LAYER; VARIABILITY; CALIBRATION; MODEL</t>
  </si>
  <si>
    <t>Argo gridded data over the period 2005-2009 are used to calculate the global Mixed Layer Depth (MLD) based on the temperature criterion and density criterion, respectively. Due to the Barrier Layer (BL) and Compensated Layer (CL), there will be misleading to estimate the MLD. After taking these phenomena into account, this paper obtains the global hybrid MLD and then analyzes its spatio-temporal distribution. The results show that the western equatorial Pacific(10 degrees S-5 degrees N, 150 degrees E-150 degrees W), Bengal bay and western tropical Atlantic (10 degrees N-20 degrees N, 30 degrees W-60 degrees W) are the regions where the barrier layer occurs frequently. The northern subtropical Pacific (near 30 degrees N) and northeastern Atlantic(40 degrees N-60 degrees N, 0 degrees -30 degrees W) in winter are the regions where compensated layer occurs. The MLD is shallow in summer and deep in winter. MLD and its variation in the northern Pacific Ocean are similar to the northern Atlantic Ocean. Monsoon has significant influence on MLD in the Indian Ocean where the MLD shows a semi-annual cycle. The meridional sections show arch-shaped distributions that MLD is deep in the two poles while shallow in the equator. The first mode of the EOF analysis of mixed layer depth anomaly indicates an annual cycle. The northern Pacific, northern Atlantic and South Ocean (especially the Antarctic Circumpolar Current) are the areas where MLD varies significantly. The second mode indicates that the mixed layer depth anomaly contains a semiannual cycle.</t>
  </si>
  <si>
    <t>[An Yu-Zhu; Zhang-Ren; Wang Hui-Zan; Chen-Jian; Chen Yi-De] PLA Univ Sci &amp; Technol, Inst Meteorol, PLA Key Lab Mil Marine Environm, Nanjing 211101, Jiangsu, Peoples R China</t>
  </si>
  <si>
    <t>Army Engineering University of PLA</t>
  </si>
  <si>
    <t>An, YZ (corresponding author), PLA Univ Sci &amp; Technol, Inst Meteorol, PLA Key Lab Mil Marine Environm, Nanjing 211101, Jiangsu, Peoples R China.</t>
  </si>
  <si>
    <t>ayz_276521@sina.com; zren63@126.com</t>
  </si>
  <si>
    <t>Wang, Huizan/N-2052-2017</t>
  </si>
  <si>
    <t>Wang, Huizan/0000-0003-4334-3882</t>
  </si>
  <si>
    <t>10.6038/j.issn.0001-5733.2012.07.011</t>
  </si>
  <si>
    <t>WOS:000307155400011</t>
  </si>
  <si>
    <t>Jung, W; Lee, SG; Kang, SW; Lee, YS; Lee, JH; Kang, SH; Jin, ES; Kim, HJ</t>
  </si>
  <si>
    <t>Jung, Woongsic; Lee, Sung Gu; Kang, Se Won; Lee, Yong Seok; Lee, Jun Hyuck; Kang, Sung-Ho; Jin, Eon Seon; Kim, Hak Jun</t>
  </si>
  <si>
    <t>Analysis of Expressed Sequence Tags from the Antarctic Psychrophilic Green Algae, Pyramimonas gelidicola</t>
  </si>
  <si>
    <t>JOURNAL OF MICROBIOLOGY AND BIOTECHNOLOGY</t>
  </si>
  <si>
    <t>Expressed sequence tags (ESTs); Pyramimonas gelidicola; psychrophilic; Antarctic; database</t>
  </si>
  <si>
    <t>ARABIDOPSIS-THALIANA; ANNUAL CYCLE; ICE; TEMPERATURE; EVOLUTION; GENOMICS; GROWTH</t>
  </si>
  <si>
    <t>Expressed sequence tags (ESTs) from the Antarctic green algae Pyramimonas gelidicola were analyzed to obtain molecular information on cold acclimation of psychrophilic microorganisms. A total of 2,112 EST clones were sequenced, generating 222 contigs and 219 singletons, and 200 contigs and 391 singletons from control (4 degrees C) and cold-shock conditions (-2 degrees C), respectively. The complete EST sequences were deposited to the DDBJ EST database (http://www.ddbinig.ac.jp/index-e.html) and the nucleotide sequences reported in this study are available in the DDBJ/EMBL/GenBank. These EST databases of Antarctic green algae can be used in a wide range of studies on psychrophilic genes expressed by polar microorganisms.</t>
  </si>
  <si>
    <t>[Jung, Woongsic; Jin, Eon Seon] Hanyang Univ, Coll Nat Sci, Dept Life Sci, Seoul 133791, South Korea; [Jung, Woongsic; Lee, Sung Gu; Lee, Jun Hyuck; Kim, Hak Jun] Korea Polar Res Inst, Div Polar Life Sci, Inchon 406840, South Korea; [Lee, Sung Gu; Lee, Jun Hyuck; Kang, Sung-Ho; Kim, Hak Jun] Univ Sci &amp; Technol, Dept Polar Sci, Inchon 406840, South Korea; [Kang, Se Won; Lee, Yong Seok] Inje Univ, Coll Med, Dept Parasitol, Pusan 614735, South Korea; [Kang, Sung-Ho] Korea Polar Res Inst, Div Polar Climate Res, Inchon 406840, South Korea</t>
  </si>
  <si>
    <t>Hanyang University; Korea Institute of Ocean Science &amp; Technology (KIOST); Korea Polar Research Institute (KOPRI); Inje University; Korea Polar Research Institute (KOPRI); Korea Institute of Ocean Science &amp; Technology (KIOST)</t>
  </si>
  <si>
    <t>Jin, ES (corresponding author), Hanyang Univ, Coll Nat Sci, Dept Life Sci, Seoul 133791, South Korea.</t>
  </si>
  <si>
    <t>esjin@hanyang.ac.kr; hjkim@kopri.re.kr</t>
  </si>
  <si>
    <t>Kang, sewon/KHX-8924-2024; LEE, YONGSEOK/AAF-3965-2020; Jin, EonSeon/AAW-6839-2020</t>
  </si>
  <si>
    <t>Jin, EonSeon/0000-0001-5691-0124; Lee, Yong Seok/0000-0002-8687-589X</t>
  </si>
  <si>
    <t>Korea Research Council of Fundamental Science &amp; Technology (KRCF); Korea Polar Research Institute (KOPRI) [PG11010, PE11100, PG12010]</t>
  </si>
  <si>
    <t>Korea Research Council of Fundamental Science &amp; Technology (KRCF); Korea Polar Research Institute (KOPRI)</t>
  </si>
  <si>
    <t>This work was supported by the National Agenda Project from The Korea Research Council of Fundamental Science &amp; Technology (KRCF) and Korea Polar Research Institute (KOPRI) (Grant Nos. PG11010, PE11100, and PG12010).</t>
  </si>
  <si>
    <t>KOREAN SOC MICROBIOLOGY &amp; BIOTECHNOLOGY</t>
  </si>
  <si>
    <t>KOREA SCI TECHNOL CENTER #507, 635-4 YEOGSAM-DONG, KANGNAM-GU, SEOUL 135-703, SOUTH KOREA</t>
  </si>
  <si>
    <t>1017-7825</t>
  </si>
  <si>
    <t>1738-8872</t>
  </si>
  <si>
    <t>J MICROBIOL BIOTECHN</t>
  </si>
  <si>
    <t>J. Microbiol. Biotechnol.</t>
  </si>
  <si>
    <t>10.4014/jmb.1201.01002</t>
  </si>
  <si>
    <t>981BY</t>
  </si>
  <si>
    <t>WOS:000306941700004</t>
  </si>
  <si>
    <t>Le Bars, D; De Ruijter, WPM; Dijkstra, HA</t>
  </si>
  <si>
    <t>Le Bars, Dewi; De Ruijter, Wilhelmus P. M.; Dijkstra, Henk A.</t>
  </si>
  <si>
    <t>A New Regime of the Agulhas Current Retroflection: Turbulent Choking of Indian-Atlantic leakage</t>
  </si>
  <si>
    <t>NUMERICAL-MODEL; OCEAN; EXCHANGE; CIRCULATION; DYNAMICS; VARIABILITY; SYSTEM</t>
  </si>
  <si>
    <t>An analysis of the Indian Ocean circulation and the Agulhas Current retroflection is carried out using a primitive equation model with simplified coastline and flat bottom. Four configurations with 0.25 degrees and 0.1 degrees horizontal resolution and in barotropic and baroclinic cases are considered. The wind stress is taken as control parameter to increase the inertia of the currents. The volume transport of the Indonesian Throughflow, Mozambique Channel, and Agulhas Current are found to increase linearly with the wind stress strength, and three nonlinear retroflection regimes are found. A viscous and an inertial regime had already been documented, but a new turbulent regime appears at large wind stress amplitude. In this turbulent regime, the volume of Agulhas leakage reaches a plateau because of strong mesoscale variability and, in contrast to the other regimes, does not depend on the wind stress magnitude. The physical mechanism causing the plateau is shown to be associated with the cross-jet exchange of Indian Ocean water and water from the Antarctic Circumpolar Current. In the turbulent regime, the permeability of the Agulhas Return Current to material transport increases and the Indian Ocean water available for the Agulhas leakage decreases.</t>
  </si>
  <si>
    <t>[Le Bars, Dewi; De Ruijter, Wilhelmus P. M.; Dijkstra, Henk A.] Inst Marine &amp; Atmospher Res Utrecht, Utrecht, Netherlands</t>
  </si>
  <si>
    <t>Utrecht University</t>
  </si>
  <si>
    <t>Le Bars, D (corresponding author), Univ Utrecht, IMAU, POB 80-005, NL-3508 TA Utrecht, Netherlands.</t>
  </si>
  <si>
    <t>d.lebars@uu.nl</t>
  </si>
  <si>
    <t>Dijkstra, Henk A./H-2559-2016; de Ruijter, Wilhelmus/I-2541-2016; Le Bars, Dewi/AAK-8631-2020</t>
  </si>
  <si>
    <t>Le Bars, Dewi/0000-0002-1175-4225</t>
  </si>
  <si>
    <t>Netherlands Organization for Scientific Research through the INATEX program [ZKO 839.08.430]</t>
  </si>
  <si>
    <t>Netherlands Organization for Scientific Research through the INATEX program</t>
  </si>
  <si>
    <t>The authors are funded by the Netherlands Organization for Scientific Research through the INATEX program, ZKO 839.08.430. We thank Michael Kliphuis (IMAU-UU) for his assistance in carrying out the numerical computations with the HIM.</t>
  </si>
  <si>
    <t>10.1175/JPO-D-11-0119.1</t>
  </si>
  <si>
    <t>980FS</t>
  </si>
  <si>
    <t>WOS:000306879600008</t>
  </si>
  <si>
    <t>Ndarana, T; Waugh, DW; Polvani, LM; Correa, GJP; Gerber, EP</t>
  </si>
  <si>
    <t>Ndarana, T.; Waugh, D. W.; Polvani, L. M.; Correa, G. J. P.; Gerber, E. P.</t>
  </si>
  <si>
    <t>Antarctic ozone depletion and trends in tropopause Rossby wave breaking</t>
  </si>
  <si>
    <t>ATMOSPHERIC SCIENCE LETTERS</t>
  </si>
  <si>
    <t>ozone hole; Rossby waves; trends</t>
  </si>
  <si>
    <t>SOUTHERN-HEMISPHERE; STRATOSPHERE</t>
  </si>
  <si>
    <t>Trends in summer tropopause Rossby wave breaking (RWB) are examined using meteorological reanalyses and model integrations. The reanalyses for the last 30 years show large increases in RWB on the equatorward side of the tropospheric jet and weak decreases on the poleward side. Comparable changes in RWB are found in general circulation model integrations whose stratospheric ozone differs between 1960 and 2000 levels, but not in integrations that differ only in their greenhouse gas concentrations and sea-surface temperatures. These results indicate that the formation of the ozone hole has led to changes in RWB frequency during southern summer. Copyright (c) 2012 Royal Meteorological Society</t>
  </si>
  <si>
    <t>[Ndarana, T.; Waugh, D. W.] Johns Hopkins Univ, Dept Earth &amp; Planetary Sci, Baltimore, MD 21218 USA; [Ndarana, T.] S African Weather Serv, Pretoria, South Africa; [Polvani, L. M.] Columbia Univ, Dept Appl Phys &amp; Appl Math, New York, NY USA; [Polvani, L. M.] Columbia Univ, Dept Earth &amp; Environm Sci, New York, NY USA; [Correa, G. J. P.] Columbia Univ, Lamont Doherty Earth Observ, Palisades, NY USA; [Gerber, E. P.] NYU, Courant Inst Math Sci, New York, NY USA</t>
  </si>
  <si>
    <t>Johns Hopkins University; Columbia University; Columbia University; Columbia University; New York University</t>
  </si>
  <si>
    <t>Waugh, DW (corresponding author), Johns Hopkins Univ, Dept Earth &amp; Planetary Sci, 320 Olin Bldg,3400 N Charles St, Baltimore, MD 21218 USA.</t>
  </si>
  <si>
    <t>waugh@jhu.edu</t>
  </si>
  <si>
    <t>Polvani, Lorenzo M/E-5949-2011; Ndarana, Thando/AAE-2516-2021; Waugh, Darryn/K-3688-2016</t>
  </si>
  <si>
    <t>Ndarana, Thando/0000-0003-4408-8983; Gerber, Edwin/0000-0002-6010-6638; Waugh, Darryn/0000-0001-7692-2798; Correa, Gustavo/0000-0002-0098-7322</t>
  </si>
  <si>
    <t>US National Science Foundation; South African National Research Foundation; Directorate For Geosciences; Div Atmospheric &amp; Geospace Sciences [0905863] Funding Source: National Science Foundation; Office of Polar Programs (OPP); Directorate For Geosciences [1043307] Funding Source: National Science Foundation</t>
  </si>
  <si>
    <t>US National Science Foundation(National Science Foundation (NSF)); South African National Research Foundation(National Research Foundation - South Africa); Directorate For Geosciences; Div Atmospheric &amp; Geospace Sciences(National Science Foundation (NSF)NSF - Directorate for Geosciences (GEO)); Office of Polar Programs (OPP); Directorate For Geosciences(National Science Foundation (NSF)NSF - Directorate for Geosciences (GEO))</t>
  </si>
  <si>
    <t>This work was funded by the US National Science Foundation and the South African National Research Foundation.</t>
  </si>
  <si>
    <t>1530-261X</t>
  </si>
  <si>
    <t>ATMOS SCI LETT</t>
  </si>
  <si>
    <t>Atmos. Sci. Lett.</t>
  </si>
  <si>
    <t>10.1002/asl.384</t>
  </si>
  <si>
    <t>977IF</t>
  </si>
  <si>
    <t>WOS:000306649400003</t>
  </si>
  <si>
    <t>Chauhan, PPS</t>
  </si>
  <si>
    <t>Chauhan, Poornendu P. Singh</t>
  </si>
  <si>
    <t>On the Role of Geomorphic Forcing in Tipping the Sea-Ice System</t>
  </si>
  <si>
    <t>JOURNAL OF COASTAL RESEARCH</t>
  </si>
  <si>
    <t>Antarctic; Arctic; coastline intricacies; criticality; intrinsic abrupt changes; regime shift; sea-ice variability</t>
  </si>
  <si>
    <t>CLIMATE</t>
  </si>
  <si>
    <t>Singh Chauhan, PP, 2012. On the role of geomorphic forcing in tipping the sea-ice system. Journal of Coastal Research, 28(4), 774-779. West Palm Beach (Florida), ISSN 0749-0208. The variability in polar sea-ice extents is generally viewed through oceanographic and atmospheric perspectives and despite an obvious contribution of coastline intricacies in the form of land water configuration and shallow submarine topography a geomorphic standpoint is lacking. This article explores the signs of criticality in the sea-ice variability of Arctic and Antarctic regions and investigates it in terms of the morphology of these two areas. The realization that the sea-ice system tends to attain a self-organized critical state in the two distinct regimes corresponding to ice retainment and replenishment further allows conceptualization of a framework for a tipping point. The intrinsic role of coastline configuration as the basis of geomorphic forcing in the threshold dynamics of sea-ice variability is hence advocated to indicate relevance in long-term climate change scenarios, whereas recognition of nonequilibrium criticality in the sea-ice system allows the temporal disparity in its fluctuations to be perceived as natural features.</t>
  </si>
  <si>
    <t>Univ Bremen, Inst Environm Phys, D-28334 Bremen, Germany</t>
  </si>
  <si>
    <t>University of Bremen</t>
  </si>
  <si>
    <t>Chauhan, PPS (corresponding author), Univ Bremen, Inst Environm Phys, D-28334 Bremen, Germany.</t>
  </si>
  <si>
    <t>psingh@uni-bremen.de</t>
  </si>
  <si>
    <t>DAAD (Deutscher Akademischer Austausch Dienst)</t>
  </si>
  <si>
    <t>DAAD (Deutscher Akademischer Austausch Dienst)(Deutscher Akademischer Austausch Dienst (DAAD))</t>
  </si>
  <si>
    <t>The data used in this article have been made public by National Snow and Ice Data Center, Colorado. Partial support came in the form of a DAAD (Deutscher Akademischer Austausch Dienst) Teaching/Research Fellowship.</t>
  </si>
  <si>
    <t>COASTAL EDUCATION &amp; RESEARCH FOUNDATION</t>
  </si>
  <si>
    <t>COCONUT CREEK</t>
  </si>
  <si>
    <t>5130 NW 54TH STREET, COCONUT CREEK, FL 33073 USA</t>
  </si>
  <si>
    <t>0749-0208</t>
  </si>
  <si>
    <t>1551-5036</t>
  </si>
  <si>
    <t>J COASTAL RES</t>
  </si>
  <si>
    <t>J. Coast. Res.</t>
  </si>
  <si>
    <t>10.2112/JCOASTRES-D-10-00127.1</t>
  </si>
  <si>
    <t>974QF</t>
  </si>
  <si>
    <t>WOS:000306450700005</t>
  </si>
  <si>
    <t>Arkhipkin, A; Brickle, P; Laptikhovsky, V; Winter, A</t>
  </si>
  <si>
    <t>Arkhipkin, A.; Brickle, P.; Laptikhovsky, V.; Winter, A.</t>
  </si>
  <si>
    <t>Dining hall at sea: feeding migrations of nektonic predators to the eastern Patagonian Shelf</t>
  </si>
  <si>
    <t>JOURNAL OF FISH BIOLOGY</t>
  </si>
  <si>
    <t>faunal successions; food resources; seasonal distribution; south-west Atlantic Ocean; sub-Antarctic; temperate fauna</t>
  </si>
  <si>
    <t>POLLOCK THERAGRA-CHALCOGRAMMA; RAMSAYI REGAN 1913; FALKLAND-ISLANDS; STOMACH CONTENTS; PRIBILOF ISLANDS; ILLEX-ARGENTINUS; LIFE-HISTORY; LOLIGO-GAHI; BERING-SEA; PATTERNS</t>
  </si>
  <si>
    <t>Seasonal changes in relative abundance and biomass of nektonic predators were analysed on the eastern Patagonian Shelf and continental slope; one of the most productive large marine ecosystems of the southern hemisphere. Several migratory types were revealed for species belonging to either temperate or sub-Antarctic faunas. Despite high productivity, only a few large nektonic predators spend their entire life cycle on the eastern Patagonian Shelf and use only a small proportion of the meso-nektonic resource. Most of the resource is exploited by non-resident nektonic migrants, which move to the area from distant spawning grounds. Pelagic and demersal sharks and skates, the squid Illex argentinus, tunas and gadoids migrate to the eastern part of the Patagonian Shelf to feed at different times of the year; arriving in seasonal waves according to their life cycle and spawning seasonality. Some deepwater fishes and squid migrate onto the shelf as juveniles to harvest the resource, and then return to deepwater habitat as adults. It is hypothesized that the large biomass of meso-planktonic and meso-nektonic consumers prevents most higher-trophic level predators from establishing spawning populations in this area, as their larvae and fry would be overwhelmed by predation. Instead, the higher-trophic level predators establish spawning and nursery grounds elsewhere and arrive to feed on the meso-planktonic and meso-nektonic resources after they have outgrown their own stages of predation vulnerability.</t>
  </si>
  <si>
    <t>aarkhipkin@fisheries.gov.fk</t>
  </si>
  <si>
    <t>Brickle, Paul/0000-0002-9870-3518</t>
  </si>
  <si>
    <t>0022-1112</t>
  </si>
  <si>
    <t>1095-8649</t>
  </si>
  <si>
    <t>J FISH BIOL</t>
  </si>
  <si>
    <t>J. Fish Biol.</t>
  </si>
  <si>
    <t>10.1111/j.1095-8649.2012.03359.x</t>
  </si>
  <si>
    <t>974YH</t>
  </si>
  <si>
    <t>WOS:000306473000027</t>
  </si>
  <si>
    <t>Yuan, XY; Su, DQ</t>
  </si>
  <si>
    <t>Yuan, Xiangyan; Su, Ding-qiang</t>
  </si>
  <si>
    <t>Optical system of the Three Antarctic Survey Telescopes</t>
  </si>
  <si>
    <t>atmospheric effects; techniques: miscellaneous; telescopes; surveys; stars: imaging</t>
  </si>
  <si>
    <t>PRIME FOCUS; ATMOSPHERIC-DISPERSION; DOME; TRANSPARENCY; CORRECTORS</t>
  </si>
  <si>
    <t>Dome A is the highest point on the Antarctic Plateau, and the Chinese Expedition Team first arrived here in 2005 January. It is an excellent site for astronomical observations. The first-generation Chinese Antarctic optical telescope CSTAR has been operating on Dome A since 2008 January. The second-generation Chinese telescopes known as the Three Antarctic Survey Telescopes (AST3) are currently being developed. AST3 includes three telescopes matched respectively with G-, R- and I-band filters. Each telescope is a catadioptric optical telescope with an entrance pupil diameter of 500 mm, an f-ratio of 3.73 and a field of view of 414. The optical system of the AST3 consists of a transparent aspherical plate, an aspherical primary mirror and a spherical refractive corrector with a filter before the focal plane. The main features of the AST3 are the following: good image quality, a planar focal plane, reduced atmospheric dispersion, an absence of distortion and a compact structure. The main scientific goal of the AST3 is to survey the sky. In 2012 January, the first telescope of the AST3 was successfully installed on Dome A.</t>
  </si>
  <si>
    <t>[Yuan, Xiangyan; Su, Ding-qiang] Chinese Acad Sci, Natl Astron Observ, Nanjing Inst Astron Opt &amp; Technol, Nanjing 210042, Jiangsu, Peoples R China; [Yuan, Xiangyan] Chinese Acad Sci, Key Lab Astron Opt &amp; Technol, Nanjing Inst Astron Opt &amp; Technol, Nanjing 210042, Jiangsu, Peoples R China; [Su, Ding-qiang] Nanjing Univ, Dept Astron, Nanjing 210093, Jiangsu, Peoples R China; [Su, Ding-qiang] Nanjing Univ, Key Lab Modern Astron &amp; Astrophys, Minist Educ, Nanjing 210093, Jiangsu, Peoples R China</t>
  </si>
  <si>
    <t>Chinese Academy of Sciences; National Astronomical Observatory, CAS; Nanjing Institute of Astronomical Optics &amp; Technology, NAOC, CAS; Chinese Academy of Sciences; Nanjing Institute of Astronomical Optics &amp; Technology, NAOC, CAS; Nanjing University; Nanjing University</t>
  </si>
  <si>
    <t>Yuan, XY (corresponding author), Chinese Acad Sci, Natl Astron Observ, Nanjing Inst Astron Opt &amp; Technol, 188 Bancang St, Nanjing 210042, Jiangsu, Peoples R China.</t>
  </si>
  <si>
    <t>xyyuan@niaot.ac.cn</t>
  </si>
  <si>
    <t>Chinese Academy of Sciences (CAS) [KJCX2-EW-T04]</t>
  </si>
  <si>
    <t>Chinese Academy of Sciences (CAS)(Chinese Academy of Sciences)</t>
  </si>
  <si>
    <t>We would like to thank Professors Xiangqun Cui, Yanan Wang, Yongtian Zhu, Lifan Wang and Genrong Liu for their useful discussions and suggestions for the design of the optical system of the AST3. We are grateful for the support of the Important Direction Project of the Chinese Academy of Sciences (CAS) Knowledge Innovation Project (KJCX2-EW-T04).</t>
  </si>
  <si>
    <t>10.1111/j.1365-2966.2012.20874.x</t>
  </si>
  <si>
    <t>970OE</t>
  </si>
  <si>
    <t>WOS:000306140600003</t>
  </si>
  <si>
    <t>Yahnker, C; Creed, E; Heywood, KJ</t>
  </si>
  <si>
    <t>Yahnker, Chris; Creed, Elizabeth; Heywood, Karen J.</t>
  </si>
  <si>
    <t>iRobot Seaglider With Ogive Fairings Supports Antarctic Research Increased Payload Capacity from Ogive Fairings Enables AUV to Track Krill Biomass Distribution in Weddell Sea</t>
  </si>
  <si>
    <t>SEA TECHNOLOGY</t>
  </si>
  <si>
    <t>[Yahnker, Chris; Creed, Elizabeth] iRobot Corp, Maritime Syst, Durham, NC USA; [Heywood, Karen J.] Univ E Anglia, Sch Environm Sci, Res Grp, Norwich NR4 7TJ, Norfolk, England</t>
  </si>
  <si>
    <t>University of East Anglia</t>
  </si>
  <si>
    <t>Yahnker, C (corresponding author), iRobot Corp, Maritime Syst, Durham, NC USA.</t>
  </si>
  <si>
    <t>Heywood, Karen/L-1757-2016</t>
  </si>
  <si>
    <t>Heywood, Karen/0000-0001-9859-0026</t>
  </si>
  <si>
    <t>COMPASS PUBLICATIONS, INC</t>
  </si>
  <si>
    <t>ARLINGTON</t>
  </si>
  <si>
    <t>1501 WILSON BLVD., STE 1001, ARLINGTON, VA 22209-2403 USA</t>
  </si>
  <si>
    <t>0093-3651</t>
  </si>
  <si>
    <t>SEA TECHNOL</t>
  </si>
  <si>
    <t>Sea Technol.</t>
  </si>
  <si>
    <t>Engineering, Ocean</t>
  </si>
  <si>
    <t>Engineering</t>
  </si>
  <si>
    <t>979MO</t>
  </si>
  <si>
    <t>WOS:000306824300002</t>
  </si>
  <si>
    <t>Tryland, M; Nymo, IH; Nielsen, O; Nordoy, ES; Kovacs, KM; Krafft, BA; Thoresen, SI; Åsbakk, K; Osterrieder, K; Roth, SJ; Lydersen, C; Godfroid, J; Blix, AS</t>
  </si>
  <si>
    <t>Tryland, Morten; Nymo, Ingebjorg H.; Nielsen, Ole; Nordoy, Erling S.; Kovacs, Kit M.; Krafft, Bjorn A.; Thoresen, Stein I.; Asbakk, Kjetil; Osterrieder, Klaus; Roth, Swaantje J.; Lydersen, Christian; Godfroid, Jacques; Blix, Arnoldus S.</t>
  </si>
  <si>
    <t>SERUM CHEMISTRY AND ANTIBODIES AGAINST PATHOGENS IN ANTARCTIC FUR SEALS, WEDDELL SEALS, CRABEATER SEALS, AND ROSS SEALS</t>
  </si>
  <si>
    <t>JOURNAL OF WILDLIFE DISEASES</t>
  </si>
  <si>
    <t>Antarctica; Brucella pinnipedialis; clinical pathology; phocine distemper; phocine herpesvirus; Toxoplasma; Trichinella; wildlife</t>
  </si>
  <si>
    <t>CANINE-DISTEMPER VIRUS; ARCTOCEPHALUS-GAZELLA; ANTIBRUCELLA ANTIBODIES; BRUCELLA INFECTION; TOXOPLASMA-GONDII; MARINE MAMMALS; REFERENCE VALUES; PHOCA-VITULINA; RINGED SEALS; HARBOR SEALS</t>
  </si>
  <si>
    <t>Information on health parameters, such as antibody prevalences and serum chemistry that can reveal exposure to pathogens, disease, and abnormal physiologic conditions, is scarce for Antarctic seal species. Serum samples from Antarctic fur seals (Arctocephalus gazella, n=88) from Bouvetoya (2000-2001 and 2001-2002), and from Weddell seals (Leptonychotes weddellii, n=20), Ross seals (Ommatophoca rosgii, n=20), and crabeater seals (Lobodon carcinaphagus, n=9) from the pack-ice off Queen Maud Land, Antarctica (2001) were analyzed for enzyme activity, and concentrations of protein, metabolites, minerals, and cortisol. Adult Antarctic fur seal males had elevated levels of total protein (range 64 990) compared to adult females and pups (range 52-79 g/l). Antarctic fur seals had higher enzyme activities of creatine kinase, lactate dehydrogenase, and amylase, compared to Weddell, Ross, and crabeater seals. Antibodies against Brucella spp. were detected in Weddell seals (37%), Ross seals (5%), and crabeater seals (11%), but not in Antarctic fur seals. Antibodies against phocine herpesvirus 1 were detected in all species examined (Antarctic fur seals, 58%; Weddell seals, 100%; Ross seals, 15%; and crabeater seals, 44%). No antibodies against Trichinella spp., Toxoplasma, or phocine distemper virus (PDV) were detected (Antarctic fur seals were not tested for PDV antibodies). Antarctic seals are challenged by reduced sea ice and increasing temperatures due to climate change, and increased anthropogenic activity can introduce new pathogens to these vulnerable ecosystems and represent a threat for these animals. Our data provide a baseline for future monitoring of health parameters of these Antarctic seal species, for tracking the impact of environmental, climatic, and anthropogenic changes in Antarctica over time.</t>
  </si>
  <si>
    <t>[Tryland, Morten; Nymo, Ingebjorg H.; Asbakk, Kjetil; Godfroid, Jacques] Norwegian Sch Vet Sci, Dept Food Safety &amp; Infect Biol, Sect Arctic Vet Med, N-9010 Tromso, Norway; [Nielsen, Ole] Fisheries &amp; Oceans Canada, Inst Freshwater, Cent &amp; Arctic Reg, Dept Fisheries &amp; Oceans Canada, Winnipeg, MB R3T 2N6, Canada; [Nordoy, Erling S.; Blix, Arnoldus S.] Univ Tromso, BFE, Dept Arctic &amp; Marine Biol, N-9037 Tromso, Norway; [Kovacs, Kit M.; Krafft, Bjorn A.; Lydersen, Christian] Norwegian Polar Res Inst, N-9296 Tromso, Norway; [Thoresen, Stein I.] Norwegian Sch Vet Sci, Cent Lab, N-0033 Oslo, Norway; [Osterrieder, Klaus; Roth, Swaantje J.] Free Univ Berlin, Inst Virol, D-10115 Berlin, Germany</t>
  </si>
  <si>
    <t>Norwegian University of Life Sciences; Fisheries &amp; Oceans Canada; UiT The Arctic University of Tromso; Norwegian Polar Institute; Norwegian University of Life Sciences; Free University of Berlin</t>
  </si>
  <si>
    <t>Tryland, M (corresponding author), Norwegian Sch Vet Sci, Dept Food Safety &amp; Infect Biol, Sect Arctic Vet Med, Stakkevollveien 23, N-9010 Tromso, Norway.</t>
  </si>
  <si>
    <t>morten.tryland@nvh.no</t>
  </si>
  <si>
    <t>Osterrieder, Klaus/KCJ-4579-2024; Godfroid, Jacques/HCI-7835-2022; godfroid, jacques/U-3524-2017</t>
  </si>
  <si>
    <t>Osterrieder, Nikolaus/0000-0002-5313-2176; Tryland, Morten/0000-0001-5394-5196; godfroid, jacques/0000-0002-0782-7858; Nymo, Ingebjorg Helena/0000-0002-4844-8344</t>
  </si>
  <si>
    <t>Norwegian Polar Institute as part of the NARE expedition; Norwegian Agency for Development Cooperation; Norwegian Research Council; Department of Fisheries and Oceans, Canada; Freie Universitat, Berlin, Germany</t>
  </si>
  <si>
    <t>Norwegian Polar Institute as part of the NARE expedition; Norwegian Agency for Development Cooperation(Norwegian Agency for Development Cooperation - NORAD); Norwegian Research Council(Research Council of Norway); Department of Fisheries and Oceans, Canada; Freie Universitat, Berlin, Germany</t>
  </si>
  <si>
    <t>Logistic support was provided by Court Helicopters, Cape Town; the South Africa National Antarctic Program; and the Alfred Wegener Institute for Polar and Marine Research. We thank the captains and crews of RN Polarstern, RV Lance, and SA Agulhas, and G. J. G. Hofmeyr, B. Harck, L. Krag, and B. Flascas for assistance in the field. We appreciate the competent assistance of the technical staff at Norwegian School of Veterinary Science Oslo; Central Laboratory, Norwegian School of Veterinary Science, Tromso (EM. Breines and E. Hareide); and Freie Universitat, Berlin, Germany (T. Leiskau and A. Reum). We thank L. Haas (Tierarztliche Hochschule Hannover, Germany) for providing the PhHV-1 isolate. Financial support, equipment, and working facilities were provided by the Norwegian Polar Institute as part of the NARE 2000/2001 expedition; the Norwegian Agency for Development Cooperation; the Norwegian Research Council; Department of Fisheries and Oceans, Canada; and Freie Universitat, Berlin, Germany.</t>
  </si>
  <si>
    <t>WILDLIFE DISEASE ASSOC, INC</t>
  </si>
  <si>
    <t>810 EAST 10TH ST, LAWRENCE, KS 66044-8897 USA</t>
  </si>
  <si>
    <t>0090-3558</t>
  </si>
  <si>
    <t>1943-3700</t>
  </si>
  <si>
    <t>J WILDLIFE DIS</t>
  </si>
  <si>
    <t>J. Wildl. Dis.</t>
  </si>
  <si>
    <t>10.7589/0090-3558-48.3.632</t>
  </si>
  <si>
    <t>972GF</t>
  </si>
  <si>
    <t>WOS:000306264600012</t>
  </si>
  <si>
    <t>Nigro, MA; Cassano, JJ; Lazzara, MA; Keller, LM</t>
  </si>
  <si>
    <t>Nigro, Melissa A.; Cassano, John J.; Lazzara, Matthew A.; Keller, Linda M.</t>
  </si>
  <si>
    <t>Case Study of a Barrier Wind Corner Jet off the Coast of the Prince Olav Mountains, Antarctica</t>
  </si>
  <si>
    <t>MONTHLY WEATHER REVIEW</t>
  </si>
  <si>
    <t>WEATHER RESEARCH; PREDICTION; REGIMES; CLIMATOLOGY; EVENT</t>
  </si>
  <si>
    <t>The Ross Ice Shelf airstream (RAS) is a barrier parallel flow along the base of the Transantarctic Mountains. Previous research has hypothesized that a combination of katabatic flow, barrier winds, and mesoscale and synoptic-scale cyclones drive the RAS. Within the RAS, an area of maximum wind speed is located to the northwest of the protruding Prince Olav Mountains. In this region. the Sabrina automatic weather station (AWS) observed a September 2009 high wind event with wind speeds in excess of 20 m s(-1) for nearly 35 h. The following case study uses in situ AWS observations and output from the Antarctic Mesoscale Prediction System to demonstrate that the strong wind speeds during this event were caused by a combination of various forcing mechanisms, including katabatic winds, barrier winds, a surface mesocyclone over the Ross Ice Shelf, an upper-level ridge over the southern tip of the Ross Ice Shelf, and topographic influences from the Prince Olav Mountains. These forcing mechanisms induced a barrier wind corner jet to the northwest of the Prince Olav Mountains, explaining the maximum wind speeds observed in this region. The RAS wind speeds were strong enough to induce two additional barrier wind corner jets to the northwest of the Prince Olav Mountains, resulting in a triple barrier wind corner jet along the base of the Transantarctic Mountains.</t>
  </si>
  <si>
    <t>[Nigro, Melissa A.; Cassano, John J.] Univ Colorado, Cooperat Inst Res Environm Sci, Boulder, CO 80309 USA; [Nigro, Melissa A.; Cassano, John J.] Univ Colorado, Dept Atmospher &amp; Ocean Sci, Boulder, CO 80309 USA; [Lazzara, Matthew A.] Univ Wisconsin, Antarctic Meteorol Res Ctr, Madison, WI USA; [Lazzara, Matthew A.] Univ Wisconsin, Ctr Space Sci &amp; Engn, Madison, WI 53706 USA; [Keller, Linda M.] Univ Wisconsin, Dept Atmospher &amp; Ocean Sci, Madison, WI USA</t>
  </si>
  <si>
    <t>University of Colorado System; University of Colorado Boulder; University of Colorado System; University of Colorado Boulder; University of Wisconsin System; University of Wisconsin Madison; University of Wisconsin System; University of Wisconsin Madison; University of Wisconsin System; University of Wisconsin Madison</t>
  </si>
  <si>
    <t>Nigro, MA (corresponding author), Univ Colorado, Cooperat Inst Res Environm Sci, 216 UCB, Boulder, CO 80309 USA.</t>
  </si>
  <si>
    <t>melissa.nigro@colorado.edu</t>
  </si>
  <si>
    <t>NIGRO, MELISSA/0000-0002-1213-3295; Lazzara, Matthew/0000-0002-4343-498X</t>
  </si>
  <si>
    <t>National Science Foundation Office of Polar Programs [ANT-0636811, ANT-0943952, ANT-0636873, ANT-0838834, ATM-0404790]; Directorate For Geosciences; Office of Polar Programs (OPP) [0943952, 0944018] Funding Source: National Science Foundation</t>
  </si>
  <si>
    <t>The AMPS data were retrieved courtesy of the National Center for Atmospheric Research Computational and Information Systems Laboratory. This research is based upon work supported by the National Science Foundation Office of Polar Programs under Grants ANT-0636811, ANT-0943952, ANT-0636873, ANT-0838834, and ATM-0404790.</t>
  </si>
  <si>
    <t>0027-0644</t>
  </si>
  <si>
    <t>1520-0493</t>
  </si>
  <si>
    <t>MON WEATHER REV</t>
  </si>
  <si>
    <t>Mon. Weather Rev.</t>
  </si>
  <si>
    <t>10.1175/MWR-D-11-00261.1</t>
  </si>
  <si>
    <t>970VF</t>
  </si>
  <si>
    <t>WOS:000306159700002</t>
  </si>
  <si>
    <t>Do, H; Lee, JH; Lee, SG; Kim, HJ</t>
  </si>
  <si>
    <t>Do, Hackwon; Lee, Jun Hyuck; Lee, Sung Gu; Kim, Hak Jun</t>
  </si>
  <si>
    <t>Crystallization and preliminary X-ray crystallographic analysis of an ice-binding protein (FfIBP) from Flavobacterium frigoris PS1</t>
  </si>
  <si>
    <t>ACTA CRYSTALLOGRAPHICA SECTION F-STRUCTURAL BIOLOGY COMMUNICATIONS</t>
  </si>
  <si>
    <t>ANTIFREEZE PROTEINS; PEPTIDES; PLANES</t>
  </si>
  <si>
    <t>Ice growth in a cold environment is fatal for polar organisms, not only because of the physical destruction of inner cell organelles but also because of the resulting chemical damage owing to processes such as osmotic shock. The properties of ice-binding proteins (IBPs), which include antifreeze proteins (AFPs), have been characterized and IBPs exhibit the ability to inhibit ice growth by binding to specific ice planes and lowering the freezing point. An ice-binding protein (FfIBP) from the Gram-negative bacterium Flavobacterium frigoris PS1, which was isolated from the Antarctic, has recently been overexpressed. Interestingly, the thermal hysteresis activity of FfIBP was approximately 2.5 K at 50 mu M, which is ten times higher than that of the moderately active IBP from Arctic yeast (LeIBP). Although FfIBP closely resembles LeIBP in its amino-acid sequence, the antifreeze activity of FfIBP appears to be much greater than that of LeIBP. In an effort to understand the reason for this difference, an attempt was made to solve the crystal structure of FfIBP. Here, the crystallization and X-ray diffraction data of FfIBP are reported. FfIBP was crystallized using the hanging-drop vapour-diffusion method with 0.1 M sodium acetate pH 4.4 and 3 M sodium chloride as precipitant. A complete diffraction data set was collected to a resolution of 2.9 angstrom. The crystal belonged to space group P4(1)22, with unit-cell parameters a = b = 69.4, c = 178.2 angstrom. The asymmetric unit contained one monomer.</t>
  </si>
  <si>
    <t>[Do, Hackwon; Lee, Jun Hyuck; Lee, Sung Gu; Kim, Hak Jun] Korea Polar Res Inst, Div Polar Life Sci, Inchon 406840, South Korea; [Do, Hackwon; Lee, Jun Hyuck; Lee, Sung Gu; Kim, Hak Jun] Univ Sci &amp; Technol, Dept Polar Sci, Inchon 406840, South Korea</t>
  </si>
  <si>
    <t>Korea Institute of Ocean Science &amp; Technology (KIOST); Korea Polar Research Institute (KOPRI)</t>
  </si>
  <si>
    <t>hjkim@kopri.re.kr</t>
  </si>
  <si>
    <t>, Hackwon/0000-0001-7663-2010</t>
  </si>
  <si>
    <t>Korea Research Council of Fundamental Science and Technology (KRCF) [PG11010]; Korea Polar Research Institute (KOPRI) [PE11100, PE11120]</t>
  </si>
  <si>
    <t>Korea Research Council of Fundamental Science and Technology (KRCF); Korea Polar Research Institute (KOPRI)</t>
  </si>
  <si>
    <t>We thank the staff at the X-ray core facility of the Korea Basic Science Institute (KBSI), Ochang, Republic of Korea. This work was supported by the National Agenda Project of the Korea Research Council of Fundamental Science and Technology (KRCF; grant No. PG11010 to HJK) and the Korea Polar Research Institute (KOPRI; grant Nos. PE11100 to HJK and PE11120 to JHL).</t>
  </si>
  <si>
    <t>2053-230X</t>
  </si>
  <si>
    <t>ACTA CRYSTALLOGR F</t>
  </si>
  <si>
    <t>Acta Crystallogr. F-Struct. Biol. Commun.</t>
  </si>
  <si>
    <t>10.1107/S1744309112020465</t>
  </si>
  <si>
    <t>Biochemical Research Methods; Biochemistry &amp; Molecular Biology; Biophysics; Crystallography</t>
  </si>
  <si>
    <t>Biochemistry &amp; Molecular Biology; Biophysics; Crystallography</t>
  </si>
  <si>
    <t>968HC</t>
  </si>
  <si>
    <t>WOS:000305967100018</t>
  </si>
  <si>
    <t>Contador, TA; Kennedy, JH; Rozzi, R</t>
  </si>
  <si>
    <t>Contador, Tamara A.; Kennedy, James H.; Rozzi, Ricardo</t>
  </si>
  <si>
    <t>The conservation status of southern South American aquatic insects in the literature</t>
  </si>
  <si>
    <t>BIODIVERSITY AND CONSERVATION</t>
  </si>
  <si>
    <t>Aquatic insects; Chile; South America; Subpolar; Literature review; Conservation literature</t>
  </si>
  <si>
    <t>FRESH-WATER BIODIVERSITY; ENVIRONMENTAL ETHICS; INTEGRATING ECOLOGY; TEMPERATE FORESTS; PATTERNS; ECOREGIONS; CRISIS</t>
  </si>
  <si>
    <t>We provide a comprehensive review of publications regarding the conservation of aquatic and terrestrial insects at a global scale and with an emphasis on southern South America. We reviewed three prominent conservation journals (Conservation Biology, Biodiversity and Conservation, and Biological Conservation) and found that only 5 % of all the works published between 1995 and 2008 focus on the conservation of aquatic insects. The highest percentage of publications on the conservation of aquatic insects comes from Europe (2.3 %), while the lowest percentage comes from South America (0.1 %). To assess the trends of aquatic insect research in southern South America, we conducted a literature search using Zoological Records, Biological Abstracts, and Current Contents. We conclude that there is a gap in research regarding the conservation of freshwater and terrestrial insects, as reflected by the low amount of publications that specifically focus on the description and identification of new insect species and their conservation. In order to help overcome this gap in conservation research, we propose three ideas that could help enhance the research and conservation initiatives regarding these organisms: (1) focus research on understudied regions of the world, such as the Magellanic sub-Antarctic ecoregion, (2) increase the amount of funding available for taxonomic research focused on the description and identification of new aquatic and terrestrial insect species, and (3) increase the amount of public education programs which focus on field experiences and direct encounters with aquatic insect biodiversity and their habitats.</t>
  </si>
  <si>
    <t>[Contador, Tamara A.; Kennedy, James H.] Univ N Texas, Dept Biol Sci, Denton, TX 76203 USA; [Contador, Tamara A.; Rozzi, Ricardo] Inst Ecol &amp; Biodivers, Santiago, Chile; [Contador, Tamara A.; Kennedy, James H.; Rozzi, Ricardo] Sub Antarctic Biocultural Conservat Program, Punta Arenas, Chile; [Contador, Tamara A.; Kennedy, James H.; Rozzi, Ricardo] Univ Magallanes, Punta Arenas, Chile; [Contador, Tamara A.; Kennedy, James H.; Rozzi, Ricardo] Omora Ethnobot Pk, Puerto Williams, Chile; [Rozzi, Ricardo] Univ N Texas, Dept Philosophy &amp; Relig Studies, Denton, TX 76203 USA</t>
  </si>
  <si>
    <t>University of North Texas System; University of North Texas Denton; Universidad de Magallanes; University of North Texas System; University of North Texas Denton</t>
  </si>
  <si>
    <t>Contador, TA (corresponding author), Univ N Texas, Dept Biol Sci, Denton, TX 76203 USA.</t>
  </si>
  <si>
    <t>tac0097@unt.edu</t>
  </si>
  <si>
    <t>Contador, Tamara/AAC-2161-2021; Rozzi, Ricardo/G-1047-2012</t>
  </si>
  <si>
    <t>Contador, Tamara/0000-0002-0250-9877; Rozzi, Ricardo/0000-0001-5265-8726</t>
  </si>
  <si>
    <t>University of North Texas; Institute of Ecology and Biodiversity (Chile) [ICM P05-002, PFB-23]; Omora Ethnobotanical Park-University of Magallanes; Sub-Antarctic Biocultural Conservation Program</t>
  </si>
  <si>
    <t>University of North Texas; Institute of Ecology and Biodiversity (Chile); Omora Ethnobotanical Park-University of Magallanes; Sub-Antarctic Biocultural Conservation Program</t>
  </si>
  <si>
    <t>We thank the editor and anonymous reviewers for their valuable comments. Support to conduct this work was provided by the University of North Texas Beth Baird Scholarship, the Institute of Ecology and Biodiversity (Chile) (grants ICM P05-002 and PFB-23), the Omora Ethnobotanical Park-University of Magallanes, and the Sub-Antarctic Biocultural Conservation Program (www.chile.unt.edu).</t>
  </si>
  <si>
    <t>0960-3115</t>
  </si>
  <si>
    <t>1572-9710</t>
  </si>
  <si>
    <t>BIODIVERS CONSERV</t>
  </si>
  <si>
    <t>Biodivers. Conserv.</t>
  </si>
  <si>
    <t>10.1007/s10531-012-0299-x</t>
  </si>
  <si>
    <t>958HY</t>
  </si>
  <si>
    <t>WOS:000305228400013</t>
  </si>
  <si>
    <t>Qian, WH; Liang, HY</t>
  </si>
  <si>
    <t>Qian WeiHong; Liang HaoYuan</t>
  </si>
  <si>
    <t>Propagation of planetary-scale zonal mean wind anomalies and polar oscillations</t>
  </si>
  <si>
    <t>physical decomposition; El Nino-Southern Oscillation; Arctic Oscillation; Antarctic Oscillation; planetary scale; intra-seasonal oscillations</t>
  </si>
  <si>
    <t>TEMPERATURE; CIRCULATION; PACIFIC</t>
  </si>
  <si>
    <t>Global atmospheric variables can be physically decomposed into four components: (1) the zonal time averaged climate symmetric component, (2) the time averaged climate asymmetric, (3) the zonal-mean transient symmetric anomaly, and (4) the transient asymmetric anomaly. This study analyzes the relationships between the intra-seasonal and inter-annual variability of planetary scale decomposed zonal and meridional winds in the tropopause, and oscillations such as those from the El Nino-Southern Oscillation (ENSO), the Arctic Oscillation (AO) and the Antarctic Oscillation (AAO). The tropical inter-annual zonal mean wind anomalies in the tropopause are linked with the ENSO cycle and can propagate into the subtropics, mid-latitudes, and polar front regions via abnormal meridional vertical cells. Similarly, tropical intra-seasonal (40-60-d) zonal wind anomalies can reach the subtropics and mid-latitudes. The polar intra-seasonal zonal wind anomalies in the tropopause can propagate toward high-latitude areas. Thus, the AO and the AAO are the result of the interaction and propagation of these planetary scale zonal wind anomalies.</t>
  </si>
  <si>
    <t>[Qian WeiHong; Liang HaoYuan] Peking Univ, Sch Phys, Dept Atmospher &amp; Ocean Sci, Beijing 100871, Peoples R China</t>
  </si>
  <si>
    <t>Peking University</t>
  </si>
  <si>
    <t>Qian, WH (corresponding author), Peking Univ, Sch Phys, Dept Atmospher &amp; Ocean Sci, Beijing 100871, Peoples R China.</t>
  </si>
  <si>
    <t>qianwh@pku.edu.cn</t>
  </si>
  <si>
    <t>liang, haoyuan/GRY-3586-2022</t>
  </si>
  <si>
    <t>National Natural Science Foundation of China [40975039]</t>
  </si>
  <si>
    <t>This work was supported by the National Natural Science Foundation of China (40975039). Authors would like to thank the two reviewers for their comments and suggestions.</t>
  </si>
  <si>
    <t>10.1007/s11434-012-5168-1</t>
  </si>
  <si>
    <t>967NW</t>
  </si>
  <si>
    <t>WOS:000305916000015</t>
  </si>
  <si>
    <t>Piette, F; Leprince, P; Feller, G</t>
  </si>
  <si>
    <t>Piette, Florence; Leprince, Pierre; Feller, Georges</t>
  </si>
  <si>
    <t>Is there a cold shock response in the Antarctic psychrophile Pseudoalteromonas haloplanktis?</t>
  </si>
  <si>
    <t>Psychrophiles; Antarctic; Cold shock; Proteomics</t>
  </si>
  <si>
    <t>PROTEINS; TAC125; LIFE</t>
  </si>
  <si>
    <t>The growth behavior and the proteomic response after a cold shock were investigated in the psychrophilic Antarctic bacterium Pseudoalteromonas haloplanktis. Remarkably, no cold-induced proteins were observed in the proteome, whereas some key proteins were repressed. This suggests noticeable differences in the cold shock response between a true psychrophile and mesophiles.</t>
  </si>
  <si>
    <t>[Piette, Florence; Feller, Georges] Univ Liege, Ctr Prot Engn, Inst Chem B6A, Biochem Lab, B-4000 Liege, Belgium; [Leprince, Pierre] Univ Liege, GIGA Neurosci, Liege, Belgium</t>
  </si>
  <si>
    <t>University of Liege; University of Liege</t>
  </si>
  <si>
    <t>Feller, G (corresponding author), Univ Liege, Ctr Prot Engn, Inst Chem B6A, Biochem Lab, B-4000 Liege, Belgium.</t>
  </si>
  <si>
    <t>Leprince, pierre/0000-0002-7233-6553</t>
  </si>
  <si>
    <t>F.R.S.-FNRS (National Fund for Scientific Research), Belgium (FRFC); European Space Agency (Exanam-Prodex Experiment Arrangement)</t>
  </si>
  <si>
    <t>F.R.S.-FNRS (National Fund for Scientific Research), Belgium (FRFC)(Fonds de la Recherche Scientifique - FNRS); European Space Agency (Exanam-Prodex Experiment Arrangement)</t>
  </si>
  <si>
    <t>We thank E. De Pauw for access to the GIGA mass spectrometry facilities. This work was supported by F.R.S.-FNRS (National Fund for Scientific Research), Belgium (FRFC grants to G. F., FRSM grant to P. L.). P. L. is a F.R.S.-FNRS research associate and F. P. was supported by the European Space Agency (Exanam-Prodex Experiment Arrangement).</t>
  </si>
  <si>
    <t>SPRINGER TOKYO</t>
  </si>
  <si>
    <t>1-11-11 KUDAN-KITA, CHIYODA-KU, TOKYO, 102-0073, JAPAN</t>
  </si>
  <si>
    <t>10.1007/s00792-012-0456-x</t>
  </si>
  <si>
    <t>967DL</t>
  </si>
  <si>
    <t>WOS:000305886500011</t>
  </si>
  <si>
    <t>Diez, MJ; Spivak, ED; Anger, K; Lovrich, GA</t>
  </si>
  <si>
    <t>Diez, Mariano J.; Spivak, Eduardo D.; Anger, Klaus; Lovrich, Gustavo A.</t>
  </si>
  <si>
    <t>SEASONAL VARIATIONS IN SIZE, BIOMASS, AND ELEMENTAL COMPOSITION (CHN) OF HALICARCINUS PLANATUS (BRACHYURA: HYMENOSOMATIDAE) LARVAE FROM THE BEAGLE CHANNEL, SOUTHERN SOUTH AMERICA</t>
  </si>
  <si>
    <t>Decapoda; Halicarcinus planatus; larval development; multiple spawning; reproductive strategies; sub-Antarctic waters</t>
  </si>
  <si>
    <t>BIOCHEMICAL-COMPOSITION; EMBRYONIC-DEVELOPMENT; DECAPOD CRUSTACEANS; CRAB; SALINITY; ANOMURA; SHRIMP; GROWTH; TEMPERATURE; VARIABILITY</t>
  </si>
  <si>
    <t>The crab Halicarcinus planatus (Fabricius, 1775) is the only member of Hymenosomatidae that inhabits the southern tip of South America, and it is the only decapod species that reproduces twice a year in the Beagle Channel. In this study, we analysed seasonal variations in development duration, body size, biomass (dry weight), and elemental composition (CHN) of larvae from a population living at the southernmost limit of the species' geographic range. Compared to offspring produced in December (early summer), larvae released in August (late winter) were on average larger and heavier, and they showed a higher carbon content (suggesting a larger lipid fraction). This pattern of intraspecific variation in larval size and biomass corresponds with minimum primary productivity in sub-Antarctic regions during winter, suggesting that large winter eggs may represent a reproductive adaptation to a regular pattern of variation in nutritional conditions, including food limitation in winter. As an additional or alternative explanation, also strong salinity fluctuations occurring in summer might reduce larval quality in the December cohort. In conclusion, seasonal variation in larval size and biomass may be related to variations in nutritional and/or physical factors.</t>
  </si>
  <si>
    <t>[Diez, Mariano J.; Lovrich, Gustavo A.] Consejo Nacl Invest Cient &amp; Tecn CONICET, Ctr Austral Invest Cient CADIC, Ushuaia, Tierra Del Fueg, Argentina; [Spivak, Eduardo D.] Univ Nacl Mar del Plata, Consejo Nacl Invest Cient &amp; Tecn CONICET, Fac Ciencias Exactas &amp; Nat, Dept Biol, RA-7600 Mar Del Plata, Argentina; [Anger, Klaus] Biol Anstalt Helgoland, D-27498 Helgoland, Germany</t>
  </si>
  <si>
    <t>Consejo Nacional de Investigaciones Cientificas y Tecnicas (CONICET); National University of Mar del Plata; Consejo Nacional de Investigaciones Cientificas y Tecnicas (CONICET); Helmholtz Association; Alfred Wegener Institute, Helmholtz Centre for Polar &amp; Marine Research</t>
  </si>
  <si>
    <t>Diez, MJ (corresponding author), Consejo Nacl Invest Cient &amp; Tecn CONICET, Ctr Austral Invest Cient CADIC, Houssay 200,V9410CAB, Ushuaia, Tierra Del Fueg, Argentina.</t>
  </si>
  <si>
    <t>marianodiez@cadic-conicet.gob.ar; espivak@mdp.edu.ar; Klaus.Anger@awi.de; gustavolovrich@gmail.com</t>
  </si>
  <si>
    <t>Lovrich, Gustavo/0000-0001-8424-6566</t>
  </si>
  <si>
    <t>Agencia Nacional de Promocion Cientifica y Tecnologica [PICT 01-1385]; CONICET, Argentina</t>
  </si>
  <si>
    <t>Agencia Nacional de Promocion Cientifica y Tecnologica(ANPCyTSpanish Government); CONICET, Argentina(Consejo Nacional de Investigaciones Cientificas y Tecnicas (CONICET))</t>
  </si>
  <si>
    <t>We are grateful to O. Florentin and M. P. Sotelano for their essential help in larval rearing and to Julia Haafke, Helgoland, for CHN analyses. Two anonymous reviewers provided constructive criticism and interesting suggestions that helped to improve this paper. This study was funded by the Agencia Nacional de Promocion Cientifica y Tecnologica (PICT 01-1385). MJD has a postdoctoral fellowship from CONICET, Argentina. This paper is based on work done by MJD in partial fulfilment of the requirements for the doctoral degree at Universidad Nacional de Mar del Plata, Argentina.</t>
  </si>
  <si>
    <t>10.1163/193724012X635926</t>
  </si>
  <si>
    <t>964CE</t>
  </si>
  <si>
    <t>WOS:000305670500008</t>
  </si>
  <si>
    <t>Cobianchi, M; Luciani, V; Lupi, C; Mancin, N; Lirer, F; Pelosi, N; Trattenero, I; Bordiga, M; Hall, IR; Sprovieri, M</t>
  </si>
  <si>
    <t>Cobianchi, M.; Luciani, V.; Lupi, C.; Mancin, N.; Lirer, F.; Pelosi, N.; Trattenero, I.; Bordiga, M.; Hall, I. R.; Sprovieri, M.</t>
  </si>
  <si>
    <t>Pleistocene biogeochemical record in the south-west Pacific Ocean (images site MD97-2114, Chatham Rise)</t>
  </si>
  <si>
    <t>carbon and oxygen stable isotopes; calcareous nannofossils; planktonic and benthic foraminifera; Pleistocene; Chatham Rise</t>
  </si>
  <si>
    <t>MIDPLEISTOCENE CLIMATE TRANSITION; BENTHIC FORAMINIFERAL FAUNAS; TIME-SERIES ANALYSIS; EASTERN NEW-ZEALAND; LAST 200 KYR; PLANKTONIC-FORAMINIFERA; LATE QUATERNARY; COCCOLITHUS-PELAGICUS; SUBTROPICAL FRONT; SURFACE SEDIMENTS</t>
  </si>
  <si>
    <t>Through a multidisciplinary approach based on novel micropaleontological and geochemical analyses, the main paleoceanographic and paleoclimate changes that have influenced the surface- and deep-water circulation in the SW Pacific Ocean (Chatham Rise, eastern New Zealand) during the last million years are reconstructed. This region represents a key area for investigating the climate evolution during the Pleistocene because here the largely wind-driven Antarctic Circumpolar Current interacts with the west Pacific Ocean circulation via the Deep Western Boundary Current, the major source of deep water for the whole Pacific Ocean. To understand coupling or decoupling events between sea surface and bottom waters, a continuous marine sedimentary succession since 1.1 Ma, recovered by the IMAGES (International Marine Past Global Change Study) cruise in the SW Pacific Ocean (Core MD97-2114), has been investigated based on calcareous planktonic and benthic microfossil content and C and O isotope record performed on planktonic and benthic foraminiferal tests. Results show the occurrence of long- and short-term patterns of climate and ocean circulation in the last million years as the result of the interplay of ice-sheet dynamics, surface tropical versus polar water inflow, and trophic status of the surface water. Copyright (c) 2012 John Wiley &amp; Sons, Ltd.</t>
  </si>
  <si>
    <t>[Cobianchi, M.; Lupi, C.; Mancin, N.; Trattenero, I.; Bordiga, M.] Univ Pavia, Dipartimento Sci Terra &amp; Ambiente, I-27100 Pavia, Italy; [Luciani, V.] Univ Ferrara, Dipartimento Sci Terra, I-44100 Ferrara, Italy; [Lirer, F.; Pelosi, N.] Ist Ambiente Marino Costiero IAMC Sede Napoli, Naples, Italy; [Hall, I. R.] Cardiff Univ, Sch Earth Ocean &amp; Planetary Sci, Cardiff, S Glam, Wales; [Sprovieri, M.] CNR, IAMC, Campobello Di Mazara, Italy</t>
  </si>
  <si>
    <t>University of Pavia; University of Ferrara; Consiglio Nazionale delle Ricerche (CNR); L'Istituto per l'Ambiente Marino Costiero (IAMC-CNR); Cardiff University; Consiglio Nazionale delle Ricerche (CNR); L'Istituto per l'Ambiente Marino Costiero (IAMC-CNR)</t>
  </si>
  <si>
    <t>Cobianchi, M (corresponding author), Univ Pavia, Dipartimento Sci Terra &amp; Ambiente, Via Ferrata 1, I-27100 Pavia, Italy.</t>
  </si>
  <si>
    <t>miriam@unipv.it</t>
  </si>
  <si>
    <t>Lirer, Fabrizio/N-5306-2015; Sprovieri, Mario/AAY-1021-2020; Pelosi, Nicola/A-8410-2013; Pelosi, Nicola/AAL-3817-2021; Hall, Ian/C-2755-2009; Bordiga, Manuela/B-1405-2017; Luciani, Valeria/K-8572-2015</t>
  </si>
  <si>
    <t>Lirer, Fabrizio/0000-0003-4938-3252; Pelosi, Nicola/0000-0002-1751-3844; Hall, Ian/0000-0001-6960-1419; Bordiga, Manuela/0000-0003-0884-2686; Mancin, Nicoletta/0000-0001-5257-4397; SPROVIERI, MARIO/0000-0002-7192-5014; Luciani, Valeria/0000-0002-0079-9380</t>
  </si>
  <si>
    <t>Pavia University; Ferrara University</t>
  </si>
  <si>
    <t>This paper concerns study of a core provided by the Program 'International Marine Past Global Change Study (IMAGES)'. We thank E. Michel, IMAGES Chief scientist of the 1997 cruise, who allowed us to study Core MD97-2114, and A. C. Elmore and J. Fenner for reviewing the paper and providing valuable suggestions for improving the manuscript. The study was financially supported by FAR grants to M. C. (Pavia University) and V. L. (Ferrara University). Isotope analyses were performed at the IAMC-CNR isotope geochemistry laboratory of Naples (Italy).</t>
  </si>
  <si>
    <t>10.1002/jqs.2542</t>
  </si>
  <si>
    <t>968HB</t>
  </si>
  <si>
    <t>WOS:000305967000009</t>
  </si>
  <si>
    <t>Ali-Nehari, A; Chun, BS</t>
  </si>
  <si>
    <t>Ali-Nehari, Abdelkader; Chun, Byung-Soo</t>
  </si>
  <si>
    <t>Characterization of purified phospholipids from krill (Euphausia superba) residues deoiled by supercritical carbon dioxide</t>
  </si>
  <si>
    <t>KOREAN JOURNAL OF CHEMICAL ENGINEERING</t>
  </si>
  <si>
    <t>Krill; Phospholipids Purification; Supercritical Carbon Dioxide; Oxidative Stability</t>
  </si>
  <si>
    <t>ANTARCTIC KRILL; FATTY-ACIDS; MEGANYCTIPHANES-NORVEGICA; THYSANOESSA-INERMIS; LIPID-COMPOSITION; EXTRACTION; SEPARATION; OILS</t>
  </si>
  <si>
    <t>Purification of phospholipids (PL) from the Antarctic krill (Euphausia superba) using a two-step extraction process has been investigated. Using supercritical carbon dioxide (SC-CO2) extraction with optimal extractions conditions of 45 A degrees C, 25MPa, and CO2 flow rate of 22 g/min, most of the neutral lipids were extracted. PC, PE and PI were then extracted in a second step conducted with modified existing method using ethanol, hexane and acetone as solvents. The major PL of krill residues was quantified by high performance liquid chromatography (HPLC-ELSD). The fatty acid compositions of total PL, PC, PE and PI were analyzed by gas chromatography (GC). A significant amount of polyunsaturated fatty acids (PUFA) was present in both total and PLs fractions. The purified PLs were characterized by their acid value, peroxide value, and the oxidative stability. The purity of PL ranged between 93 and 97% and was evaluated by spectrophotometry.</t>
  </si>
  <si>
    <t>[Chun, Byung-Soo] Pukyong Natl Univ, Dept Food Sci &amp; Technol, Pusan 608737, South Korea; [Ali-Nehari, Abdelkader] Pukyong Natl Univ, Fac Fisheries Sci, Int Program Fisheries Sci, Pusan 608737, South Korea</t>
  </si>
  <si>
    <t>Pukyong National University; Pukyong National University</t>
  </si>
  <si>
    <t>Chun, BS (corresponding author), Pukyong Natl Univ, Dept Food Sci &amp; Technol, Pusan 608737, South Korea.</t>
  </si>
  <si>
    <t>bschun@pknu.ac.kr</t>
  </si>
  <si>
    <t>Ali-nehari, Abdelkader/AAD-8829-2019</t>
  </si>
  <si>
    <t>Chun, Byung-Soo/0000-0002-1682-5264; ALI-NEHARI, Abdelkader/0000-0003-1837-832X</t>
  </si>
  <si>
    <t>Marine Bioprocess Research Center of the Marine Biotechnology Program; Ministry of Land, Transport and Maritime, Republic of Korea</t>
  </si>
  <si>
    <t>Marine Bioprocess Research Center of the Marine Biotechnology Program; Ministry of Land, Transport and Maritime, Republic of Korea(Ministry of Land, Transport and Maritime Affairs (MLTM), Republic of Korea)</t>
  </si>
  <si>
    <t>This research was supported by a grant from Marine Bioprocess Research Center of the Marine Biotechnology Program funded by the Ministry of Land, Transport and Maritime, Republic of Korea.</t>
  </si>
  <si>
    <t>KOREAN INSTITUTE CHEMICAL ENGINEERS</t>
  </si>
  <si>
    <t>F.5, 119, ANAM-RO, SEONGBUK-GU, SEOUL 136-075, SOUTH KOREA</t>
  </si>
  <si>
    <t>0256-1115</t>
  </si>
  <si>
    <t>1975-7220</t>
  </si>
  <si>
    <t>KOREAN J CHEM ENG</t>
  </si>
  <si>
    <t>Korean J. Chem. Eng.</t>
  </si>
  <si>
    <t>10.1007/s11814-011-0273-4</t>
  </si>
  <si>
    <t>Chemistry, Multidisciplinary; Engineering, Chemical</t>
  </si>
  <si>
    <t>Chemistry; Engineering</t>
  </si>
  <si>
    <t>968EG</t>
  </si>
  <si>
    <t>WOS:000305959300012</t>
  </si>
  <si>
    <t>Cristini, L; Grosfeld, K; Butzin, M; Lohmann, G</t>
  </si>
  <si>
    <t>Cristini, Luisa; Grosfeld, Klaus; Butzin, Martin; Lohmann, Gerrit</t>
  </si>
  <si>
    <t>Influence of the opening of the Drake Passage on the Cenozoic Antarctic Ice Sheet: A modeling approach</t>
  </si>
  <si>
    <t>Antarctica; Cenozoic; Numerical models; Drake Passage</t>
  </si>
  <si>
    <t>SEA-ICE; OCEAN; CLIMATE; CIRCULATION; GLACIATION; EVOLUTION; OGCM</t>
  </si>
  <si>
    <t>We evaluate the opening of the Drake Passage (DP), between Antarctica and South America, and associated changes in ocean circulation as forcing factor for the onset of Antarctic glaciation near the Eocene-Oligocene transition (similar to 34 million years ago). In this paper this hypothesis is tested through sensitivity experiments, using numerical models for the global ocean and atmosphere and for the Antarctic Ice Sheet. The response of the Antarctic continent to the opening of the DP and to the establishment of the Antarctic Circumpolar Current is examined. Two different climate states are reproduced with ocean gateway configurations similar to the Late Eocene and to the Late Oligocene, before and after the opening of the DP. A reduced southward heat flux and a decrease of surface temperature are found in the Antarctic realm when the DP is open. A more massive ice sheet develops on the continent in case of DP open compared to the configuration with closed DP. (C) 2012 Elsevier B.V. All rights reserved.</t>
  </si>
  <si>
    <t>[Cristini, Luisa; Grosfeld, Klaus; Lohmann, Gerrit] Alfred Wegener Inst Polar &amp; Marine Res, D-27570 Bremerhaven, Germany; [Butzin, Martin] Univ Bremen, MARUM Ctr Marine Environm Sci, D-28334 Bremen, Germany</t>
  </si>
  <si>
    <t>Cristini, L (corresponding author), Univ Hawaii Manoa, 2525 Correa Rd,HIG 213, Honolulu, HI 96822 USA.</t>
  </si>
  <si>
    <t>cristini@hawaii.edu; klaus.grosfeld@awi.de; mbutzin@marum.de; gerrit.lohmann@awi.de</t>
  </si>
  <si>
    <t>Lohmann, Gerrit/M-7453-2016</t>
  </si>
  <si>
    <t>Lohmann, Gerrit/0000-0003-2089-733X; Grosfeld, Klaus/0000-0001-5936-179X; Butzin, Martin/0000-0002-9275-7304; Cristini, Luisa/0000-0003-4791-0776</t>
  </si>
  <si>
    <t>German Research Foundation (DFG) [LO 1372/2-1]</t>
  </si>
  <si>
    <t>This study was funded by the German Research Foundation (DFG) in the frame of the Priority Programme 1158 of the Antarktisforschung mit vergleichenden Untersuchungen in arktischen Eisgebieten (LO 1372/2-1). We thank Philippe Huybrechts for his help and for providing us with the ice sheet model code.</t>
  </si>
  <si>
    <t>JUL 1</t>
  </si>
  <si>
    <t>10.1016/j.palaeo.2012.04.023</t>
  </si>
  <si>
    <t>967AM</t>
  </si>
  <si>
    <t>WOS:000305878500006</t>
  </si>
  <si>
    <t>Zhang, L; Sun, C</t>
  </si>
  <si>
    <t>Zhang Lin; Sun Che</t>
  </si>
  <si>
    <t>A geostrophic empirical mode based on altimetric sea surface height</t>
  </si>
  <si>
    <t>eta-GEM; altimetry; SSH</t>
  </si>
  <si>
    <t>SUB-ANTARCTIC FRONT; STERIC HEIGHT; TEMPERATURE; TOPEX/POSEIDON; CIRCULATION</t>
  </si>
  <si>
    <t>Recent discovery of low-dimensional coherent structure in oceanic currents along with a new merged altimeter product called Absolute Dynamic Topography (ADT) makes it possible to derive subsurface ocean information from satellite remote sensing data. An altimetric geostrophic empirical mode (eta-GEM) is developed in this study by projecting hydrographic transects onto the ADT sea surface height coordinate, based on which the four-dimensional thermohaline and velocity structures of oceanic currents are reconstructed from satellite surface observations. In the WOCE/SR3 area, the eta-GEM fields capture more than 95% of the total thermal variance. The GEM-derived flow has equivalent-barotropic structure and represents the velocity profile better than traditional dynamic modes. Comparison with mooring observations also demonstrates that the eta-GEM provides good estimates of the deep thermohaline fields.</t>
  </si>
  <si>
    <t>[Zhang Lin; Sun Che] Chinese Acad Sci, Inst Oceanol, Qingdao 266071, Peoples R China</t>
  </si>
  <si>
    <t>Chinese Academy of Sciences; Institute of Oceanology, CAS</t>
  </si>
  <si>
    <t>Sun, C (corresponding author), Chinese Acad Sci, Inst Oceanol, Qingdao 266071, Peoples R China.</t>
  </si>
  <si>
    <t>csun@qdio.ac.cn</t>
  </si>
  <si>
    <t>National Basic Research Program of China [2007CB411804, 2012CB417401]; Chinese Academy of Sciences [KZCX2-YW-Q11-02]; National Natural Science Foundation of China [41006114]</t>
  </si>
  <si>
    <t>National Basic Research Program of China(National Basic Research Program of China); Chinese Academy of Sciences(Chinese Academy of Sciences); National Natural Science Foundation of China(National Natural Science Foundation of China (NSFC))</t>
  </si>
  <si>
    <t>This work was supported by National Basic Research Program of China (Grant Nos. 2007CB411804 and 2012CB417401), Knowledge Innovation Program of the Chinese Academy of Sciences (Grant No. KZCX2-YW-Q11-02) and National Natural Science Foundation of China (Grant No. 41006114).</t>
  </si>
  <si>
    <t>10.1007/s11430-011-4293-z</t>
  </si>
  <si>
    <t>967FM</t>
  </si>
  <si>
    <t>WOS:000305891900013</t>
  </si>
  <si>
    <t>Lehner, F; Raible, CC; Hofer, D; Stocker, TF</t>
  </si>
  <si>
    <t>Lehner, Flavio; Raible, Christoph C.; Hofer, Dominik; Stocker, Thomas F.</t>
  </si>
  <si>
    <t>The freshwater balance of polar regions in transient simulations from 1500 to 2100 AD using a comprehensive coupled climate model</t>
  </si>
  <si>
    <t>Freshwater balance; Hydrological cycle; Polar climate; Little Ice Age; External forcing</t>
  </si>
  <si>
    <t>HYDROLOGICAL CYCLE; SYSTEM MODEL; OVERTURNING CIRCULATION; VOLCANIC-ERUPTIONS; SOUTHERN-OCEAN; SEA-ICE; VARIABILITY; AMPLIFICATION; 21ST-CENTURY; 20TH-CENTURY</t>
  </si>
  <si>
    <t>The ocean and sea ice in both polar regions are important reservoirs of freshwater within the climate system. While the response of these reservoirs to future climate change has been studied intensively, the sensitivity of the polar freshwater balance to natural forcing variations during preindustrial times has received less attention. Using an ensemble of transient simulations from 1500 to 2100 AD we put present-day and future states of the polar freshwater balance in the context of low frequency variability of the past five centuries. This is done by focusing on different multi-decadal periods of characteristic external forcing. In the Arctic, freshwater is shifted from the ocean to sea ice during the Maunder Minimum while the total amount of freshwater within the Arctic domain remains unchanged. In contrast, the subsequent Dalton Minimum does not leave an imprint on the slow-reacting reservoirs of the ocean and sea ice, but triggers a drop in the import of freshwater through the atmosphere. During the twentieth and twenty-first century the build-up of freshwater in the Arctic Ocean leads to a strengthening of the liquid export. The Arctic freshwater balance is shifted towards being a large source of freshwater to the North Atlantic ocean. The Antarctic freshwater cycle, on the other hand, appears to be insensitive to preindustrial variations in external forcing. In line with the rising temperature during the industrial era the freshwater budget becomes increasingly unbalanced and strengthens the high latitude's Southern Ocean as a source of liquid freshwater to lower latitude oceans.</t>
  </si>
  <si>
    <t>[Lehner, Flavio; Raible, Christoph C.; Hofer, Dominik; Stocker, Thomas F.] Univ Bern, Inst Phys, CH-3012 Bern, Switzerland; [Lehner, Flavio; Raible, Christoph C.; Hofer, Dominik; Stocker, Thomas F.] Univ Bern, Oeschger Ctr Climate Change Res, CH-3012 Bern, Switzerland</t>
  </si>
  <si>
    <t>University of Bern; University of Bern</t>
  </si>
  <si>
    <t>Lehner, F (corresponding author), Univ Bern, Inst Phys, Sidlerstr 5, CH-3012 Bern, Switzerland.</t>
  </si>
  <si>
    <t>lehner@climate.unibe.ch</t>
  </si>
  <si>
    <t>Stocker, Thomas F/B-1273-2013; Raible, Christoph/M-8309-2016</t>
  </si>
  <si>
    <t>Lehner, Flavio/0000-0003-4632-9701; Raible, Christoph/0000-0003-0176-0602</t>
  </si>
  <si>
    <t>National Centre of Competence in Research (NCCR) Climate; Swiss National Science Foundation; European Commission Past4Future project</t>
  </si>
  <si>
    <t>National Centre of Competence in Research (NCCR) Climate(Swiss National Science Foundation (SNSF)); Swiss National Science Foundation(Swiss National Science Foundation (SNSF)); European Commission Past4Future project(European Union (EU)European Commission Joint Research Centre)</t>
  </si>
  <si>
    <t>We gratefully acknowledge Andreas Born for valuable discussion, as well as two anonymous reviewers for constructive comments. We are grateful to the ECMWF, the NASA GISS, the NOAA ESRL, the ESG, Igor Polyakov, and Marika Holland for providing access to data and to the NCAR for providing the code of the CCSM3 model. This study is supported by the National Centre of Competence in Research (NCCR) Climate funded by the Swiss National Science Foundation, and the European Commission Past4Future project. The simulations were performed on an IBM Power 4, a CRAY XT3, and a CRAY XT5 at the Swiss National Supercomputing Centre (CSCS) in Manno.</t>
  </si>
  <si>
    <t>1-2</t>
  </si>
  <si>
    <t>10.1007/s00382-011-1199-6</t>
  </si>
  <si>
    <t>965CZ</t>
  </si>
  <si>
    <t>WOS:000305745100021</t>
  </si>
  <si>
    <t>Grose, MR; Pook, MJ; McIntosh, PC; Risbey, JS; Bindoff, NL</t>
  </si>
  <si>
    <t>Grose, Michael R.; Pook, Michael J.; McIntosh, Peter C.; Risbey, James S.; Bindoff, Nathaniel L.</t>
  </si>
  <si>
    <t>The simulation of cutoff lows in a regional climate model: reliability and future trends</t>
  </si>
  <si>
    <t>Cutoff low; Atmospheric blocking; Split jet; Climate models; Climate change; Regional climate models</t>
  </si>
  <si>
    <t>AUSTRALIAN EAST-COAST; NUMERICAL-SIMULATION; SOUTHERN; SENSITIVITY; REANALYSIS; RAINFALL; GCM; VARIABILITY; BLOCKING</t>
  </si>
  <si>
    <t>Cutoff lows are an important source of rainfall in the mid-latitudes that climate models need to simulate accurately to give confidence in climate projections for rainfall. Coarse-scale general circulation models used for climate studies show some notable biases and deficiencies in the simulation of cutoff lows in the Australian region and important aspects of the broader circulation such as atmospheric blocking and the split jet structure observed over Australia. The regional climate model conformal cubic atmospheric model or CCAM gives an improvement in some aspects of the simulation of cutoffs in the Australian region, including a reduction in the underestimate of the frequency of cutoff days by more than 15 % compared to a typical GCM. This improvement is due at least in part to substantially higher resolution. However, biases in the simulation of the broader circulation, blocking and the split jet structure are still present. In particular, a northward bias in the central latitude of cutoff lows creates a substantial underestimate of the associated rainfall over Tasmania in April to October. Also, the regional climate model produces a significant north-south distortion of the vertical profile of cutoff lows, with the largest distortion occurring in the cooler months that was not apparent in GCM simulations. The remaining biases and presence of new biases demonstrates that increased horizontal resolution is not the only requirement in the reliable simulation of cutoff lows in climate models. Notwithstanding the biases in their simulation, the regional climate model projections show some responses to climate warming that are noteworthy. The projections indicate a marked closing of the split jet in winter. This change is associated with changes to atmospheric blocking in the Tasman Sea, which decreases in June to November (by up to 7.9 m s(-1)), and increases in December to May. The projections also show a reduction in the number of annual cutoff days by 67 % over the century, together with an increase in their intensity, and these changes are strongest in spring and summer.</t>
  </si>
  <si>
    <t>[Grose, Michael R.; Bindoff, Nathaniel L.] Univ Tasmania, ACE CRC, Hobart, Tas 7000, Australia; [Pook, Michael J.; McIntosh, Peter C.; Risbey, James S.; Bindoff, Nathaniel L.] CSIRO Marine &amp; Atmospher Res, CAWCR, Hobart, Tas 7000, Australia; [Bindoff, Nathaniel L.] Univ Tasmania, IMAS, Hobart, Tas 7001, Australia</t>
  </si>
  <si>
    <t>University of Tasmania; Commonwealth Scientific &amp; Industrial Research Organisation (CSIRO); University of Tasmania</t>
  </si>
  <si>
    <t>Grose, MR (corresponding author), Univ Tasmania, ACE CRC, Private Bag 80, Hobart, Tas 7000, Australia.</t>
  </si>
  <si>
    <t>Michael.Grose@utas.edu.au</t>
  </si>
  <si>
    <t>Pook, Michael J/A-3810-2012; Bindoff, Nathaniel Lee/IVV-0333-2023; Grose, Michael/AAV-1119-2021; Bindoff, Nathaniel Lee/C-8050-2011; Risbey, James/M-8419-2013; McIntosh, Peter C/F-7594-2012</t>
  </si>
  <si>
    <t>Bindoff, Nathaniel Lee/0000-0001-5662-9519; Bindoff, Nathaniel Lee/0000-0001-5662-9519; Risbey, James/0000-0003-3202-9142;</t>
  </si>
  <si>
    <t>Australian Government's Cooperative Research Centre Programme through the Antarctic Climate and Ecosystems Cooperative Research Centre (ACE CRC)</t>
  </si>
  <si>
    <t>Australian Government's Cooperative Research Centre Programme through the Antarctic Climate and Ecosystems Cooperative Research Centre (ACE CRC)(Australian GovernmentDepartment of Industry, Innovation and ScienceCooperative Research Centres (CRC) Programme)</t>
  </si>
  <si>
    <t>The authors would like to acknowledge James Bennett for proofreading and editing, J. J. Katzfey, J. L. McGregor (CAWCR) and Stuart Corney (ACE CRC) for providing the CCAM simulations. Ian Barnes-Keoghan, Neil Adams and W. F. Budd for advice and assistance. This work was supported by the Australian Government's Cooperative Research Centre Programme through the Antarctic Climate and Ecosystems Cooperative Research Centre (ACE CRC). Climate Futures for Tasmania is possible with support through funding and research of a consortium of state and national partners.</t>
  </si>
  <si>
    <t>10.1007/s00382-012-1368-2</t>
  </si>
  <si>
    <t>WOS:000305745100026</t>
  </si>
  <si>
    <t>Garrott, RA; Rotella, JJ; Siniff, DB; Parkinson, CL; Stauffer, GE</t>
  </si>
  <si>
    <t>Garrott, Robert A.; Rotella, Jay J.; Siniff, Donald B.; Parkinson, Claire L.; Stauffer, Glenn E.</t>
  </si>
  <si>
    <t>Environmental variation and cohort effects in an Antarctic predator</t>
  </si>
  <si>
    <t>OIKOS</t>
  </si>
  <si>
    <t>PREWEANING SURVIVAL RATES; SEA-ICE; WEDDELL SEALS; ROSS SEA; MCMURDO-SOUND; POPULATION-DYNAMICS; LEPTONYCHOTES-WEDDELLII; INTERANNUAL VARIATION; REPRODUCTIVE COSTS; CLIMATE-CHANGE</t>
  </si>
  <si>
    <t>Understanding the potential influence of environmental variation experienced by animals during early stages of development on their subsequent demographic performance can contribute to our understanding of population processes and aid in predicting impacts of global climate change on ecosystem functioning. Using data from 4178 tagged female Weddell seal pups born into 20 different cohorts, and 30 years of observations of the tagged seals, we evaluated the hypothesis that environmental conditions experienced by young seals, either indirectly through maternal effects and/or directly during the initial period of juvenile nutritional independence, have long-term effects on individual demographic performance. We documented an approximately three-fold difference in the proportion of each cohort that returned to the pupping colonies and produced a pup within the first 10 years after birth. We found only weak evidence for a correlation between annual environmental conditions during the juvenile-independence period and cohort recruitment probability. Instead, the data strongly supported an association between cohort recruitment probability and the regional extent of sea ice experienced by the mother during the winter the pup was in utero. We suggest that inter-annual variation in winter sea-ice extent influences the foraging success of pregnant seals by moderating the regional abundance of competing predators that cannot occupy areas of consolidated sea ice, and by directly influencing the abundance of mid-trophic prey species that are sea-ice obligates. We hypothesize that this environmentally-induced variation in maternal nutrition dictates the extent of maternal energetic investment in offspring, resulting in cohort variation in mean size of pups at weaning which, in turn, contributes to an individual's phenotype and its ultimate fitness. These linkages between sea ice and trophic dynamics, combined with demonstrated and predicted changes in the duration and extent of sea ice associated with climate change, suggest significant alterations in Antarctic marine ecosystems in the future.</t>
  </si>
  <si>
    <t>[Garrott, Robert A.; Rotella, Jay J.; Stauffer, Glenn E.] Montana State Univ, Dept Ecol, Bozeman, MT 59717 USA; [Siniff, Donald B.] Univ Minnesota, Dept Ecol Evolut &amp; Behav Biol, St Paul, MN 55108 USA; [Parkinson, Claire L.] NASA, Cryospher Sci Branch, Goddard Space Flight Ctr, Greenbelt, MD 20771 USA</t>
  </si>
  <si>
    <t>Montana State University System; Montana State University Bozeman; University of Minnesota System; University of Minnesota Twin Cities; National Aeronautics &amp; Space Administration (NASA); NASA Goddard Space Flight Center</t>
  </si>
  <si>
    <t>Garrott, RA (corresponding author), Montana State Univ, Dept Ecol, 310 Lewis Hall, Bozeman, MT 59717 USA.</t>
  </si>
  <si>
    <t>rgarrott@montana.edu</t>
  </si>
  <si>
    <t>Parkinson, Claire/JAC-7676-2023; Parkinson, Claire L/E-1747-2012</t>
  </si>
  <si>
    <t>Parkinson, Claire/0000-0001-6730-4197; Parkinson, Claire L/0000-0001-6730-4197; Rotella, Jay/0000-0001-7014-7524</t>
  </si>
  <si>
    <t>National Science Foundation [OPP-0635739]; Prior NSF; NASA's Cryosphere Program; Nick DiGirolamo of Science Systems and Applications, Inc.; Directorate For Geosciences; Office of Polar Programs (OPP) [1141326] Funding Source: National Science Foundation</t>
  </si>
  <si>
    <t>National Science Foundation(National Science Foundation (NSF)); Prior NSF; NASA's Cryosphere Program(National Aeronautics &amp; Space Administration (NASA)); Nick DiGirolamo of Science Systems and Applications, Inc.; Directorate For Geosciences; Office of Polar Programs (OPP)(National Science Foundation (NSF)NSF - Directorate for Geosciences (GEO))</t>
  </si>
  <si>
    <t>This work was supported by the National Science Foundation OPP-0635739 grant to RAG, JJR and DBS. Prior NSF grants to RAG, JJR, DBS and JWT supported the collection of data used in this paper. Support for CLP was provided by NASA's Cryosphere Program; and Nick DiGirolamo of Science Systems and Applications, Inc., assisted in the processing of the satellite-based sea ice data. X. Yuan and C. Li of Lamont-Doherty Earth Observatory of Columbia Univ. shared knowledge of the El Nino/Southern Oscillation (ENSO)-sea ice teleconnection and provided a time series of Antarctic Dipole data for use in this study. We are grateful to the many individuals who have worked on projects associated with the Erebus Bay Weddell seal population since the 1960s. Animal handling protocols were approved by Montana State Univ.'s Animal Care and Use Committee (protocol no. 41-05).</t>
  </si>
  <si>
    <t>0030-1299</t>
  </si>
  <si>
    <t>1600-0706</t>
  </si>
  <si>
    <t>Oikos</t>
  </si>
  <si>
    <t>10.1111/j.1600-0706.2011.19673.x</t>
  </si>
  <si>
    <t>963IR</t>
  </si>
  <si>
    <t>WOS:000305614300005</t>
  </si>
  <si>
    <t>Lin, CY; Lin, WW; Kao, HW</t>
  </si>
  <si>
    <t>Lin, Chu-Yin; Lin, Wen-Wen; Kao, Hsiao-Wei</t>
  </si>
  <si>
    <t>The complete mitochondrial genome of the mackerel icefish, Champsocephalus gunnari (Actinopterygii: Channichthyidae), with reference to the evolution of mitochondrial genomes in Antarctic notothenioids</t>
  </si>
  <si>
    <t>ZOOLOGICAL JOURNAL OF THE LINNEAN SOCIETY</t>
  </si>
  <si>
    <t>Antarctica; mitochondrial DNA; molecular phylogeny; natural hybridization</t>
  </si>
  <si>
    <t>MULTIPLE SEQUENCE ALIGNMENT; ZEBRAFISH DANIO-RERIO; TRANSFER-RNA GENES; HETERONOTIA-BINOEI; D-LOOP; DNA; HYBRIDIZATION; DUPLICATIONS; REPLICATION; ORIGINS</t>
  </si>
  <si>
    <t>The mackerel icefish (Champsocephalus gunnari Lonnberg, 1905) is a ray-finned fish living in the Southern Ocean around Antarctica. We sequenced the complete mitochondrial (mt) genome of the mackerel icefish and a segment from cytochrome b to the control region (CR) in 32 individuals. The mt genome of the mackerel icefish was rearranged, containing two nicotinamide adenine dinucleotide (reduced form) dehydrogenase subunit 6 (ND6), two tRNAGlu, and two CRs. However, variations in numbers of ND6 and tRNAGlu were observed amongst individuals. These variations included type 1 (containing two ND6 and two tRNAGlu), type 2 (containing one ND6, one incomplete ND6, and one tRNAGlu), and type 3 (containing one ND6 and one tRNAGlu). The gene orders of types 1 and 2, and variations in numbers of ND6 and tRNAGlu were not previously found in any Antarctic notothenioids, whereas type 3 is the same as that of Racovitzia glacialis. Phylogenetic analyses of CR DNA sequences showed that duplicated CRs of the same species formed a monophyletic group, suggesting that duplication of CRs occurred in each species. The frequent duplication of mt genomes in Antarctic notothenioids is an unusual feature in vertebrates. We propose that interspecific hybridization and impairment of mismatch repair might account for the high frequency of gene duplications and rearrangement of mt genomes in Antarctic notothenioids.</t>
  </si>
  <si>
    <t>[Lin, Chu-Yin; Kao, Hsiao-Wei] Natl Chung Hsing Univ, Inst Life Sci, Dept Life Sci, Taichung 40227, Taiwan; [Lin, Wen-Wen] Natl Kaohsiung Marine Univ, Dept Marine Biotechnol, Kaohsiung 811, Taiwan</t>
  </si>
  <si>
    <t>National Chung Hsing University; National Kaohsiung University of Science &amp; Technology</t>
  </si>
  <si>
    <t>Kao, HW (corresponding author), Natl Chung Hsing Univ, Inst Life Sci, Dept Life Sci, Taichung 40227, Taiwan.</t>
  </si>
  <si>
    <t>hkao@dragon.nchu.edu.tw</t>
  </si>
  <si>
    <t>Lin, Wen-Wen/D-6135-2016</t>
  </si>
  <si>
    <t>Department of Life Sciences, National Chung Hsing University, Taichung, Taiwan</t>
  </si>
  <si>
    <t>This research was supported in parts by the Department of Life Sciences, National Chung Hsing University, Taichung, Taiwan.</t>
  </si>
  <si>
    <t>0024-4082</t>
  </si>
  <si>
    <t>1096-3642</t>
  </si>
  <si>
    <t>ZOOL J LINN SOC-LOND</t>
  </si>
  <si>
    <t>Zool. J. Linn. Soc.</t>
  </si>
  <si>
    <t>10.1111/j.1096-3642.2012.00820.x</t>
  </si>
  <si>
    <t>964HP</t>
  </si>
  <si>
    <t>WOS:000305685000003</t>
  </si>
  <si>
    <t>McLeod, DJ; Hobday, AJ; Lyle, JM; Welsford, DC</t>
  </si>
  <si>
    <t>McLeod, David J.; Hobday, Alistair J.; Lyle, Jeremy M.; Welsford, Dirk C.</t>
  </si>
  <si>
    <t>A prey-related shift in the abundance of small pelagic fish in eastern Tasmania?</t>
  </si>
  <si>
    <t>climate change; copepods; Emmelichthys nitidus; foodwebs; fisheries; Nyctiphanes australis; Trachurus declivis; zooplankton</t>
  </si>
  <si>
    <t>CLIMATE-CHANGE; REGIME SHIFTS; INTERANNUAL VARIABILITY; ANCHOVY POPULATIONS; TRACHURUS-DECLIVIS; UPWELLING SYSTEMS; FEEDING ECOLOGY; JACK MACKEREL; FOOD WEBS; SARDINE</t>
  </si>
  <si>
    <t>Shifts in the relative abundance of small pelagic fish species have signalled a change in the ocean environment in a number of locations. Here we show that the replacement of jack mackerel, Trachurus declivis, with redbait, Emmelichthys nitidus, as the dominant small pelagic species from eastern Tasmania, following a period of high fishing pressure on jack mackerel, is consistent with altered zooplankton communities and long- term climate change. Stomach contents analysis and morphology measurements were conducted on both species to determine if they were functionally equivalent with regard to zooplankton prey. Diet varied between species and with fish size. Krill (Nyctiphanes australis) was consumed by both species, with redbait feeding more heavily on small copepods. The diet overlap and morphometric characteristics indicated that these species are not equivalent with regard to prey and therefore changes in prey availability may have contributed to the observed shifts in relative abundance. The continued poleward extension of the East Australian Current is expected to favour small warm- water copepods; thus, redbait may have an advantage over jack mackerel due to prey preferences. An increase in relative abundance of redbait has decreased effort in surface fisheries and may impact on surface- feeding higher predators in this region.</t>
  </si>
  <si>
    <t>[McLeod, David J.; Hobday, Alistair J.] Univ Tasmania, Sch Zool, Hobart, Tas 7001, Australia; [McLeod, David J.] CSIRO Marine &amp; Atmospher Res, Ecosci Precinct, Brisbane, Qld 4102, Australia; [McLeod, David J.; Lyle, Jeremy M.; Welsford, Dirk C.] Univ Tasmania, Inst Marine &amp; Antarctic Studies, Hobart, Tas 7001, Australia; [Hobday, Alistair J.] CSIRO Marine &amp; Atmospher Res, Climate Adaptat Flagship, Hobart, Tas 7000, Australia; [Welsford, Dirk C.] Australian Antarctic Div, Kingston, Tas 7050, Australia</t>
  </si>
  <si>
    <t>University of Tasmania; Commonwealth Scientific &amp; Industrial Research Organisation (CSIRO); University of Tasmania; Commonwealth Scientific &amp; Industrial Research Organisation (CSIRO); Australian Antarctic Division</t>
  </si>
  <si>
    <t>McLeod, DJ (corresponding author), Univ Tasmania, Sch Zool, Hobart, Tas 7001, Australia.</t>
  </si>
  <si>
    <t>david.mcleod@csiro.au</t>
  </si>
  <si>
    <t>Hobday, Alistair/A-1460-2012; Lyle, Jeremy/J-7170-2014</t>
  </si>
  <si>
    <t>Welsford, Dirk/0000-0001-5379-5052; Lyle, Jeremy/0000-0001-9670-5854</t>
  </si>
  <si>
    <t>10.1093/icesjms/fss069</t>
  </si>
  <si>
    <t>961JR</t>
  </si>
  <si>
    <t>WOS:000305461200003</t>
  </si>
  <si>
    <t>Papetti, C; Pujolar, JM; Mezzavilla, M; La Mesa, M; Rock, J; Zane, L; Patarnello, T</t>
  </si>
  <si>
    <t>Papetti, Chiara; Pujolar, Jose Martin; Mezzavilla, Massimo; La Mesa, Mario; Rock, Jennifer; Zane, Lorenzo; Patarnello, Tomaso</t>
  </si>
  <si>
    <t>Population genetic structure and gene flow patterns between populations of the Antarctic icefish Chionodraco rastrospinosus</t>
  </si>
  <si>
    <t>Antarctic Circumpolar Current; gene flow; icefish; isolation with migration; larval dispersal; microsatellites; notothenioids; population differentiation</t>
  </si>
  <si>
    <t>EARLY-LIFE-HISTORY; PARTICLE-TRACKING SIMULATIONS; SOUTH SHETLAND ISLANDS; CHAENOCEPHALUS-ACERATUS; SCOTIA SEA; MICROSATELLITE LOCI; NOTOTHENIOID FISH; CONTINENTAL-SHELF; LARVAL DISPERSAL; UNIQUE FAMILY</t>
  </si>
  <si>
    <t>Aim A lack of genetic structure is predicted for Antarctic fish due to the duration of pelagic larval stages and the strength of the currents in the Southern Ocean, particularly the Antarctic Circumpolar Current. In this study we explored the population structure of the ocellated icefish, Chionodraco rastrospinosus, by means of analysing a total of 394 individuals collected at four geographical areas off the Antarctic Peninsula in the period 19962006. Location Elephant Island, southern South Shetlands, Joinville Island and South Orkneys in the Southern Ocean. Methods The spatio-temporal genetic structure of Chionodraco rastrospinosus was explored using seven microsatellite loci. Existence and direction of gene flow across sampling locations were investigated using the isolation-by-migration procedure. Results Microsatellite data showed a lack of genetic structuring in the area studied, with no differences found at both the geographical or temporal level, and an eastward unidirectional gene flow among sites. This suggested a lack of genetic barriers for this species, attributable to larval dispersal following the Antarctic Circumpolar Current, which fits well with the predicted pattern for Antarctic fish. Re-examination of genetic data of the closely related icefish Chaenocephalus aceratus, with similar larval duration but displaying genetically structured populations, indicated a weak but significant bidirectional gene flow. Main conclusions Our results point to a relationship that is more complex than expected between potential for dispersal and realized gene flow in the marine environment. In addition to ocean circulation and larval dispersal, other major life-history traits might be driving connectivity, particularly larval retention.</t>
  </si>
  <si>
    <t>[Papetti, Chiara; Pujolar, Jose Martin; Mezzavilla, Massimo; Zane, Lorenzo] Univ Padua, Dept Biol, I-35131 Padua, Italy; [La Mesa, Mario] CNR ISMAR, Marine Fishery Sect, Inst Marine Sci, Ancona, Italy; [Rock, Jennifer] Univ Otago, Dept Zool, Dunedin, New Zealand; [Patarnello, Tomaso] Univ Padua, Dept Publ Hlth Comparat Pathol &amp; Vet Hyg, Legnaro, Italy</t>
  </si>
  <si>
    <t>University of Padua; Consiglio Nazionale delle Ricerche (CNR); Istituto di Scienze Marine (ISMAR-CNR); University of Otago; University of Padua</t>
  </si>
  <si>
    <t>Zane, L (corresponding author), Univ Padua, Dept Biol, Via U Bassi 58-b, I-35131 Padua, Italy.</t>
  </si>
  <si>
    <t>lorenzo.zane@unipd.it</t>
  </si>
  <si>
    <t>Mezzavilla, Massimo/AAL-8225-2020; Zane, Lorenzo/G-6249-2010; Mezzavilla, Massimo/J-2948-2018; CNR, Ismar/P-1247-2014</t>
  </si>
  <si>
    <t>Mezzavilla, Massimo/0000-0002-9000-4595; Zane, Lorenzo/0000-0002-6963-2132; Mezzavilla, Massimo/0000-0002-9000-4595; CNR, Ismar/0000-0001-5351-1486; Papetti, Chiara/0000-0002-4567-459X</t>
  </si>
  <si>
    <t>Italian National Program for Antarctic Research (PNRA); Natural Environment Research Council grant; NERC [AFI 6/16]</t>
  </si>
  <si>
    <t>Italian National Program for Antarctic Research (PNRA); Natural Environment Research Council grant(UK Research &amp; Innovation (UKRI)Natural Environment Research Council (NERC)); NERC(UK Research &amp; Innovation (UKRI)Natural Environment Research Council (NERC))</t>
  </si>
  <si>
    <t>This work was supported by the Italian National Program for Antarctic Research (PNRA; grant to T. P.). We thank K. H. Kock and AWI (Alfred Wegener Institute fur Polar- und Meeresforschung, Bremerhaven, Germany) for collecting the 1996 sample during the 'Polarstern' ANT-XIV/2 cruise, and for inviting L.Z. to collect the 2002 samples during 'Polarstern' ANT-XIX/3 cruise. We thank T. North for providing the 2006 sample, collected during the JR145 cruise with RRS 'James Clark Ross' (British Antarctic Survey) thanks to a Natural Environment Research Council grant, NERC AFI 6/16 to G. Carvalho, Bangor University, UK. Finally, we thank A. Kellermann for helpful comments concerning species ecology and M. Babbucci for kind support in data analysis.</t>
  </si>
  <si>
    <t>10.1111/j.1365-2699.2011.02682.x</t>
  </si>
  <si>
    <t>961GP</t>
  </si>
  <si>
    <t>WOS:000305452500013</t>
  </si>
  <si>
    <t>Polito, MJ; Koopman, HN; Able, S; Walsh, J; Goebel, ME</t>
  </si>
  <si>
    <t>Polito, Michael J.; Koopman, Heather N.; Able, Stephanie; Walsh, Jennifer; Goebel, Michael E.</t>
  </si>
  <si>
    <t>Physiological constraints and the influence of diet on fatty acids in the yolk of gentoo penguins, Pygoscelis papua</t>
  </si>
  <si>
    <t>JOURNAL OF COMPARATIVE PHYSIOLOGY B-BIOCHEMICAL SYSTEMS AND ENVIRONMENTAL PHYSIOLOGY</t>
  </si>
  <si>
    <t>Diets; Fatty acid signature; Gentoo penguin; Pygoscelis papua; Seabirds; Yolk</t>
  </si>
  <si>
    <t>SIGNATURE ANALYSIS; ADIPOSE-TISSUE; TROPHIC ECOLOGY; SEABIRDS; LIPIDS; VARIABILITY; METABOLISM; PROFILES; SEALS; WILD</t>
  </si>
  <si>
    <t>Avian yolk fatty acids (FA) composition is influenced by two main factors: maternal diet and genetic factors that regulate FA metabolism. However, due to embryonic developmental requirements, yolk FA are thought to be physiologically constrained and less useful for dietary and trophic studies. We assessed the relative contributions of diet and physiological constraints in determining the yolk FA composition of a marine bird, the gentoo penguin (Pygoscelis papua) by comparing FA signatures of yolks and prey between a captive, controlled- feeding experiment and a wild population. Captive and wild yolk FA signatures differed even though both groups' yolk lipids were composed primarily of three FA (16:0, 18:0 and 18:1n-9). Differences were due to FA occurring in relatively low abundance, but which mirrored differences in the FA composition of diets. However, yolk FA signatures were correlated across three penguin species suggesting that common developmental constraints can be relatively more important than species-specific differences in diet or egg-laying physiology. While yolk FA are constrained, several minor components of yolk FA are reflective of diets and the calibration coefficients resulting from this study have the potential to be incorporated into predictive models and allow for quantitative dietary and trophic studies using FA analysis of penguin egg yolks.</t>
  </si>
  <si>
    <t>[Polito, Michael J.; Koopman, Heather N.] Univ N Carolina, Dept Biol &amp; Marine Biol, Wilmington, NC 28403 USA; [Able, Stephanie] Omahas Henry Doorly Zoo, Omaha, NE 68107 USA; [Walsh, Jennifer; Goebel, Michael E.] NOAA NMFS, Antarctic Ecosyst Res Div, SW Fisheries Sci Ctr, La Jolla, CA 92037 USA</t>
  </si>
  <si>
    <t>University of North Carolina; University of North Carolina Wilmington; National Oceanic Atmospheric Admin (NOAA) - USA</t>
  </si>
  <si>
    <t>Polito, MJ (corresponding author), Univ N Carolina, Dept Biol &amp; Marine Biol, 601 S Coll Rd, Wilmington, NC 28403 USA.</t>
  </si>
  <si>
    <t>mjp7454@uncw.edu</t>
  </si>
  <si>
    <t>Polito, Michael/G-9118-2012</t>
  </si>
  <si>
    <t>Polito, Michael/0000-0001-8639-4431</t>
  </si>
  <si>
    <t>U.S. National Science Foundation (NSF) Office of Polar Programs (OPP) [ANT-0125098, ANT-0739575]</t>
  </si>
  <si>
    <t>U.S. National Science Foundation (NSF) Office of Polar Programs (OPP)(National Science Foundation (NSF))</t>
  </si>
  <si>
    <t>We thank K. Vires, J. Beck, K. McGrath, T. Solberg and D. Rivard and the staff of the Scott Kingdoms of the Seas Aquarium for their helpful assistance with this study. Thank you to H. Lynch, R. Naveen, M. Rider, Oceanites Inc., Raytheon Polar Services and Linblad Expeditions for invaluable logistical support in Antarctica. We thank the US AMLR program and A. VanCise for access to krill samples and S. Wang for insights on sea-duck yolk FA. H. Lane and C. McKinstry provided for assistance with lipid extractions and statistical analyses. Thank you to A. Satake and two anonymous reviewers for helpful comments during the preparation of this manuscript. This research was funded by U.S. National Science Foundation (NSF) Office of Polar Programs (OPP) grants ANT-0125098 and ANT-0739575 to S. Emslie, and completed in accordance to animal use permits provided by Omaha's Henry Doorly Zoo (HDZ#07-800) and NSF OPP (ACA 2006-001).</t>
  </si>
  <si>
    <t>0174-1578</t>
  </si>
  <si>
    <t>1432-136X</t>
  </si>
  <si>
    <t>J COMP PHYSIOL B</t>
  </si>
  <si>
    <t>J. Comp. Physiol. B-Biochem. Syst. Environ. Physiol.</t>
  </si>
  <si>
    <t>10.1007/s00360-012-0649-8</t>
  </si>
  <si>
    <t>Physiology; Zoology</t>
  </si>
  <si>
    <t>962RK</t>
  </si>
  <si>
    <t>WOS:000305562500010</t>
  </si>
  <si>
    <t>Agangi, A; Kamenetsky, VS; McPhie, J</t>
  </si>
  <si>
    <t>Agangi, Andrea; Kamenetsky, Vadim S.; McPhie, Jocelyn</t>
  </si>
  <si>
    <t>Evolution and emplacement of high fluorine rhyolites in the Mesoproterozoic Gawler silicic large igneous province, South Australia</t>
  </si>
  <si>
    <t>Silicic large igneous province; Melt inclusion; Rhyolite; Fluorine; Australia; Mesoproterozoic</t>
  </si>
  <si>
    <t>A-TYPE GRANITES; RANGE VOLCANICS; MELT INCLUSIONS; LARGE-VOLUME; GOBOBOSEB MOUNTAINS; ANTARCTIC PENINSULA; ETENDEKA VOLCANISM; FELSIC MAGMATISM; TRACE-ELEMENTS; YARDEA DACITE</t>
  </si>
  <si>
    <t>The Gawler Range Volcanics (GRV) and the Hiltaba Suite (HS) of South Australia form a silicic-dominated large igneous province (the Gawler SLIP) emplaced in an intracontinental setting during the Mesoproterozoic. Emplacement of the GRV lasted for a short period of time (similar to 2 Ma), and can be separated into two main phases. The first phase (lower GRV) is composed of thick (&lt;= 3 km) sequences erupted from distinct centres, and includes small to moderate volume (up to &gt;150 km(3)) felsic lavas, ignimbrites, and minor mafic and intermediate lavas. The upper GRV include extensive felsic lavas that are up to &gt;1000 of km(3) in volume and &gt;200 km across. Using well preserved, quartz-hosted melt inclusions, we investigated the composition of the lower GRV, including major, trace, and volatile elements. The results indicate high concentrations of K2O (&lt;= 7-8 wt.%), rare earth and high field strength elements, and low concentrations of Ca, Mg, Ni, Cr, Sr and Ba in comparison with felsic continental crust. Overall, melt inclusion compositions match whole-rock geochemical characteristics. We demonstrate that the GRV magma was F-rich (&lt;= 1.3 wt.%), and had high temperature for a silicic magma. High F concentrations and high temperature would have resulted in lower than usual polymerisation of the melt and relatively low viscosity. These characteristics help explain how very voluminous felsic magma was erupted effusively and emplaced as lavas. Other intracontinental SLIP contain extensive felsic lavas and ignimbrites which appear to share similar geochemical characteristics. We also show that selective alteration caused depletion of whole-rock compositions in some trace elements, namely Pb, U, and Sn. (C) 2012 Elsevier B.V. All rights reserved.</t>
  </si>
  <si>
    <t>Univ Tasmania, ARC Ctr Excellence Ore Deposits, Hobart, Tas 7001, Australia; Univ Tasmania, Sch Earth Sci, Hobart, Tas 7001, Australia</t>
  </si>
  <si>
    <t>University of Tasmania; University of Tasmania</t>
  </si>
  <si>
    <t>Agangi, A (corresponding author), Univ Johannesburg, Dept Geol, Paleoproterozo Mineralisat Grp, ZA-2006 Auckland Pk, South Africa.</t>
  </si>
  <si>
    <t>aagangi@uj.ac.za</t>
  </si>
  <si>
    <t>McPhie, Jocelyn/AFK-3399-2022; McPhie, Jocelyn/AAG-2101-2022; Kamenetsky, Vadim/CAF-7424-2022; Kamenetsky, Vadim/K-2200-2019; Kamenetsky, Vadim/B-1019-2008</t>
  </si>
  <si>
    <t>Kamenetsky, Vadim/0000-0002-2734-8790; Agangi, Andrea/0000-0001-6315-3918</t>
  </si>
  <si>
    <t>ARC-CODES</t>
  </si>
  <si>
    <t>ARC-CODES(Australian Research Council)</t>
  </si>
  <si>
    <t>This research was funded by ARC-CODES grants to the authors. Field and logistical support was provided by the Primary Industries and Resources of South Australia (PIRSA, particularly Martin Fairclough and Stacey Curtis). Dr. Karsten Gomann, Philip Robinson and Katie McGoldrick (University of Tasmania) are thanked for analytical assistance. Notes provided by the three anonymous reviewers significantly improved the manuscript.</t>
  </si>
  <si>
    <t>10.1016/j.precamres.2012.03.011</t>
  </si>
  <si>
    <t>960ID</t>
  </si>
  <si>
    <t>WOS:000305380300007</t>
  </si>
  <si>
    <t>Fox, D</t>
  </si>
  <si>
    <t>Fox, Douglas</t>
  </si>
  <si>
    <t>WITNESS TO AN ANTARCTIC MELTDOWN</t>
  </si>
  <si>
    <t>SCIENTIFIC AMERICAN</t>
  </si>
  <si>
    <t>ICE-SHELF</t>
  </si>
  <si>
    <t>0036-8733</t>
  </si>
  <si>
    <t>SCI AM</t>
  </si>
  <si>
    <t>Sci.Am.</t>
  </si>
  <si>
    <t>10.1038/scientificamerican0712-54</t>
  </si>
  <si>
    <t>961WT</t>
  </si>
  <si>
    <t>WOS:000305500900029</t>
  </si>
  <si>
    <t>Troshichev, OA; Janzhura, AS</t>
  </si>
  <si>
    <t>Troshichev, O. A.; Janzhura, A. S.</t>
  </si>
  <si>
    <t>Physical implications of discrepancy between summer and winter PC indices observed in the course of magnetospheric substorms</t>
  </si>
  <si>
    <t>Polar cap magnetic activity; Magnetospheric substorms; Summer PC index; Winter PC index; Discrepancy</t>
  </si>
  <si>
    <t>FIELD-ALIGNED CURRENTS; SCALE BIRKELAND CURRENTS; DAYSIDE POLAR-REGION; MAGNETIC-FIELD; ELECTRIC-FIELDS; NORTHWARD IMF; CAP; CONDUCTIVITIES; TRIAD</t>
  </si>
  <si>
    <t>The PC index based on a statistically justified relationship between the polar cap magnetic activity and the interplanetary electric field E-KL has been derived as a value standardized for the E-KL intensity regardless of season, UT and hemisphere. As a result, the summer and winter PC indices are consistent with one another under ordinary conditions. Discrepancies between the summer and winter PC indices arising in the course of magnetospheric substorms are analyzed in this paper. It is argued that the channel of enhanced conductivity, formed in the auroral oval owing to intense auroral particle precipitation, strongly improves the conditions for closure of the Region 1 field-aligned currents in the winter dark polar region but only trivially affects the conditions of the Region 1 FAC closure in the summer sunlit ionosphere. Since the coefficients describing the relationship between E-KL and the polar cap magnetic activity were derived for statistically justified (i.e., mean) conditions, their application to such abnormal situation, as intense field-aligned currents in the winter dark polar region, leads to overestimation of the winter PC index. The summer and winter PC indices level off as soon as the intense auroral particle precipitation terminates and the auroral ionosphere in the winter and summer polar caps returns to the ordinary (statistically justified) state. (C) 2012 COSPAR. Published by Elsevier Ltd. All rights reserved.</t>
  </si>
  <si>
    <t>[Troshichev, O. A.; Janzhura, A. S.] Arctic &amp; Antarctic Res Inst, St Petersburg 199226, Russia</t>
  </si>
  <si>
    <t>Troshichev, OA (corresponding author), Arctic &amp; Antarctic Res Inst, St Petersburg 199226, Russia.</t>
  </si>
  <si>
    <t>olegtro@aari.nw.ru</t>
  </si>
  <si>
    <t>10.1016/j.asr.2012.03.017</t>
  </si>
  <si>
    <t>957OI</t>
  </si>
  <si>
    <t>WOS:000305172000004</t>
  </si>
  <si>
    <t>Wittlinger, G; Farra, V</t>
  </si>
  <si>
    <t>Wittlinger, Gerard; Farra, Veronique</t>
  </si>
  <si>
    <t>Observation of low shear wave velocity at the base of the polar ice sheets: evidence for enhanced anisotropy</t>
  </si>
  <si>
    <t>Glaciology; Body waves; Seismic anisotropy; Acoustic properties; Antarctica</t>
  </si>
  <si>
    <t>SOUTH-POLE; GREENLAND; ANTARCTICA; FABRICS; STREAM; CORE; FLOW; LAKE</t>
  </si>
  <si>
    <t>We analyse seismic data from the broad-band stations located on the Antarctic and Greenland ice sheets to determine the large-scale seismic parameters of the polar ice sheets. The P-to-S converted waves at the ice/rock interface and inside the ice sheets and their multiples (the P receiver functions) are used to estimate the in situ P velocity Vp and the P-to-S velocity ratio Vp/Vs of the polar ice. The thickness of the whole ice layer is precisely known either from radio echo soundings or from ice core drillings allowing thus an accurate determination of Vp and Vp/Vs. At some places in and near the Wilkes Basin, a sedimentary layer is probably squeezed between the ice and the bedrock. We find that the polar ice caps have a two-layer structure, the upper layer of variable thickness about 2/3 of the total thickness with velocities very close to the ice standard values and the lower layer preserving a standard Vp but with about 25 per cent smaller shear wave velocity and a more or less constant thickness. The shear-velocity drop in the lower layer may be the evidence of a strong anisotropy induced by preferred orientation of ice crystals and by fine layering of soft and hard ice layers. A large variation of ice viscosity with depth is therefore expected and heterogeneous flowing of the polar ice sheet. This heterogeneous flowing may invalidate the use at great depth of the ice dating models based on monotonic layer thinning.</t>
  </si>
  <si>
    <t>[Wittlinger, Gerard] Univ Strasbourg, EOST, CNRS, UMR 7516, F-67084 Strasbourg, France; [Farra, Veronique] Paris Sorbonne Cite, IPG Paris, CNRS, UMR 7154, F-75005 Paris, France</t>
  </si>
  <si>
    <t>Universites de Strasbourg Etablissements Associes; Universite de Strasbourg; Centre National de la Recherche Scientifique (CNRS); CNRS - National Institute for Earth Sciences &amp; Astronomy (INSU); Universite Paris Cite; Centre National de la Recherche Scientifique (CNRS); CNRS - National Institute for Earth Sciences &amp; Astronomy (INSU)</t>
  </si>
  <si>
    <t>Wittlinger, G (corresponding author), Univ Strasbourg, EOST, CNRS, UMR 7516, 5 Rue Rene Descartes, F-67084 Strasbourg, France.</t>
  </si>
  <si>
    <t>Gerard.Wittlinger@unistra.fr</t>
  </si>
  <si>
    <t>Véronique, Farra/K-4826-2012</t>
  </si>
  <si>
    <t>French ANR [ANR-07-BLANC-147]</t>
  </si>
  <si>
    <t>French ANR(Agence Nationale de la Recherche (ANR))</t>
  </si>
  <si>
    <t>We thank the IRIS data center (www.iris.edu) for providing the seismological data. The station CCD is part of the CASE-IPY experiment funded by French ANR (grant number ANR-07-BLANC-147). We thank The Support Office for Aerogeophysical Research of University of Texas, Institute of Geophysics, for the free access to the RES data along the TAMSEIS profile. We thank two anonymous reviewers for their comments and Fabian Walter for his extensive and helpful review.</t>
  </si>
  <si>
    <t>10.1111/j.1365-246X.2012.05474.x</t>
  </si>
  <si>
    <t>956HO</t>
  </si>
  <si>
    <t>WOS:000305080900028</t>
  </si>
  <si>
    <t>Souriau, A; Rivera, L; Maggi, A; Lévêque, JJ</t>
  </si>
  <si>
    <t>Souriau, Annie; Rivera, Luis; Maggi, Alessia; Leveque, Jean-Jacques</t>
  </si>
  <si>
    <t>Seismic attenuation in the eastern Australian and Antarctic plates, from multiple ScS waves</t>
  </si>
  <si>
    <t>Body waves; Seismic attenuation; Seismic tomography; Antarctica; Australia</t>
  </si>
  <si>
    <t>UPPER-MANTLE ATTENUATION; FORM TOMOGRAPHY; TRAVEL-TIMES; BENEATH; VELOCITY; LITHOSPHERE; ANISOTROPY; INSIGHTS; WESTERN; MODEL</t>
  </si>
  <si>
    <t>The attenuation of seismic shear waves in the mantle beneath the eastern Australian and Antarctic plates is analysed using a large data set of multiple ScSn waves, reflected n times at the coremantle boundary and (n1) times at the surface. The data are the transverse components of deep earthquakes from the subduction zones north and east of Australia, recorded at stations in Antarctica, Australia, Indonesia, New Caledonia and New Zealand. The data are filtered with narrow bandpass filters at five frequencies in the range 0.0130.040 Hz. The ScSn+1/ScSn amplitude ratios of successive ScS phases are compared to the ratios computed for synthetic seismograms for the same paths and same focal mechanisms, to eliminate the effects of source radiation and geometric attenuation. The synthetic seismograms are computed from a summation of toroidal modes for the 1-D reference model PREM. The observed to computed spectral ratios appear consistent for similar paths. They reveal that the attenuation is not frequency dependent, that the contribution of scattering to attenuation is low, and that the PREM model is a valuable reference model for the study region at the considered frequencies. An inversion of the data at 0.026 Hz is performed to retrieve the quality factor Q in the upper mantle, in regions defined using a priori constraints inferred from seismic shear velocities. Q-values close to those of PREM are found beneath the Australian and Antarctic cratons, lower values beneath the Eastern Australian Phanerozoic margin, and very low values beneath the oceanic region between Australia and Antarctica, where ridges and a triple junction are present. The AustralianAntarctic Discordance along the South-Indian ridge appears as an exception with a Q-value close to those of stable continents. The highest Q-values are found beneath the subduction zones, a feature which is not apparent in global attenuation models possibly because of its narrow lateral extension, and because it extends at depths larger than those sampled by surface waves. Despite limitations due to the uneven distribution of the ScSn bounce points at the surface and to the difficulty of collecting a large number of high quality data, our approach appears very promising. It is complementary to the more widely used determination of seismic attenuation using surface waves because it provides increased depth coverage, and a broader spectral coverage. It therefore has a considerable potential in future investigations of mantle structure and dynamics.</t>
  </si>
  <si>
    <t>[Souriau, Annie] Inst Rech Astrophys &amp; Planetol, CNRS, Observ Midi Pyrenees, F-31400 Toulouse, France; [Rivera, Luis; Maggi, Alessia; Leveque, Jean-Jacques] Univ Strasbourg, CNRS, F-67084 Strasbourg, France</t>
  </si>
  <si>
    <t>Universite de Toulouse; Universite Toulouse III - Paul Sabatier; Centre National de la Recherche Scientifique (CNRS); Centre National de la Recherche Scientifique (CNRS); Universites de Strasbourg Etablissements Associes; Universite de Strasbourg</t>
  </si>
  <si>
    <t>Souriau, A (corresponding author), Inst Rech Astrophys &amp; Planetol, CNRS, Observ Midi Pyrenees, 14 Ave Edouard Belin, F-31400 Toulouse, France.</t>
  </si>
  <si>
    <t>Annie.Souriau@irap.omp.eu</t>
  </si>
  <si>
    <t>Maggi, Alessia/P-5041-2016</t>
  </si>
  <si>
    <t>Maggi, Alessia/0000-0001-8859-8948; LIVIA CRISTINA, PINAS RIVERA/0000-0002-1631-4923</t>
  </si>
  <si>
    <t>Institut Paul-Emile Victor [133, 906]; Agence Nationale de la Recherche (CASE-IPY) [ANR-07-BLAN-0147]; Agence Nationale de la Recherche (ANR) [ANR-07-BLAN-0147] Funding Source: Agence Nationale de la Recherche (ANR)</t>
  </si>
  <si>
    <t>Institut Paul-Emile Victor; Agence Nationale de la Recherche (CASE-IPY)(Agence Nationale de la Recherche (ANR)); Agence Nationale de la Recherche (ANR)(Agence Nationale de la Recherche (ANR))</t>
  </si>
  <si>
    <t>We warmly thank the seismic station operators and the scientists who make their data available to the wider scientific community. The facilities of the IRIS Data Management Center were used to collect waveforms and metadata. The data provided by IRIS derived from PASSCAL, POLENET, AGAP and the following FDSN networks: GE, GT, II, IM, IU, PS, GEOSCOPE. Funding and logistical support for the French Antarctic seismic stations at Dumont d'Urville and Concordia and for the temporary stations near Concordia were provided by Institut Paul-Emile Victor (projects 133 and 906) and Agence Nationale de la Recherche (CASE-IPY, ANR-07-BLAN-0147) associated with the International Polar Year 2007/2008. We also thank the Editor Jeannot Trampert, an anonymous reviewer and Anya M. Reading, who performed a very detailed and constructive review.</t>
  </si>
  <si>
    <t>10.1111/j.1365-246X.2012.05501.x</t>
  </si>
  <si>
    <t>WOS:000305080900041</t>
  </si>
  <si>
    <t>Santos, MM; Juáres, MA; Rombolá, EF; García, ML; Coria, NR; Doncaster, CP</t>
  </si>
  <si>
    <t>Santos, M. Mercedes; Juares, Mariana A.; Rombola, Emilce F.; Garcia, Mirta L.; Coria, Nestor R.; Doncaster, C. Patrick</t>
  </si>
  <si>
    <t>Over-representation of bird prey in pellets of South Polar Skuas</t>
  </si>
  <si>
    <t>JOURNAL OF ORNITHOLOGY</t>
  </si>
  <si>
    <t>Antarctica; Dietary analysis; Pellet analysis; Regurgitate analysis; Sympatric</t>
  </si>
  <si>
    <t>CATHARACTA-MACCORMICKI; ANTARCTICA-LONNBERGI; DIET; ISLAND; FISH; FOOD; PREDATION; SEABIRDS; POINT</t>
  </si>
  <si>
    <t>We report the first study to compare the contents of pellets and regurgitates of South Polar Skuas, Stercorarius maccormicki, at two breeding colonies on the Antarctic Peninsula. Samples were taken across years from identified breeding pairs at Potter Peninsula in sympatry with 30-40 breeding pairs of Brown Skuas, Stercorarius antarcticus lonnbergi, and from Cierva Point with 2 pairs of Brown Skuas. In contrast to the general consensus that penguins feature in the diet most prominently in the absence of Brown Skuas, we found a much more frequent occurrence of penguin remains in samples at Potter than Cierva, but only in pellets. At Cierva, penguin feathers were largely replaced in the pellets by a high frequency of non-food moss. The rare occurrence of penguins in regurgitates from both sites is consistent with scavenging rather than active predation. The high frequency of feathers in pellets at Potter is consistent with a gut-cleansing function similar to that performed by moss, which is abundant only at Cierva. We conclude that pellets over-represent penguins in the diet. For any species that consumes feathers, the evidence must consider the alternative possibility of a non-food function of ingesting feathers.</t>
  </si>
  <si>
    <t>[Santos, M. Mercedes; Juares, Mariana A.; Rombola, Emilce F.; Coria, Nestor R.] Inst Antartico Argentino, Dept Biol Predadores Tope, Buenos Aires, DF, Argentina; [Juares, Mariana A.; Garcia, Mirta L.] Consejo Nacl Invest Cient &amp; Tecn CONICET, Buenos Aires, DF, Argentina; [Garcia, Mirta L.] Museo La Plata, Div Zool Vertebrados, La Plata, Argentina; [Doncaster, C. Patrick] Univ Southampton, Ctr Biol Sci, Inst Life Sci, Southampton SO17 1BJ, Hants, England</t>
  </si>
  <si>
    <t>Instituto Antartico Argentino; Consejo Nacional de Investigaciones Cientificas y Tecnicas (CONICET); National University of La Plata; Museo La Plata; University of Southampton</t>
  </si>
  <si>
    <t>Santos, MM (corresponding author), Inst Antartico Argentino, Dept Biol Predadores Tope, Cerrito 1248,C1010AAZ, Buenos Aires, DF, Argentina.</t>
  </si>
  <si>
    <t>mechasantos@yahoo.com.ar</t>
  </si>
  <si>
    <t>Santos, Mercedes/D-5243-2016; Doncaster, C. Patrick/AAT-7621-2020</t>
  </si>
  <si>
    <t>Doncaster, C. Patrick/0000-0001-9406-0693; Rombola, Emilce Florencia/0000-0003-1863-1911; Juares, Mariana A./0000-0002-6763-0416</t>
  </si>
  <si>
    <t>We thank Ramiro Almagro and Eugenia Moreira for field assistance. The Instituto Antartico Argentino provided financial and logistical support, and the University of Southampton hosted MMS for data analysis. All fieldwork complied with Argentine regulations for procedures on animals. We thank two anonymous reviewers for constructive criticism of an earlier draft. This paper is dedicated in memoriam to Alejandro Carlini.</t>
  </si>
  <si>
    <t>2193-7192</t>
  </si>
  <si>
    <t>2193-7206</t>
  </si>
  <si>
    <t>J ORNITHOL</t>
  </si>
  <si>
    <t>J. Ornithol.</t>
  </si>
  <si>
    <t>10.1007/s10336-012-0840-4</t>
  </si>
  <si>
    <t>958JM</t>
  </si>
  <si>
    <t>WOS:000305232700037</t>
  </si>
  <si>
    <t>Crossin, GT; Trathan, PN; Phillips, RA; Gorman, KB; Dawson, A; Sakamoto, KQ; Williams, TD</t>
  </si>
  <si>
    <t>Crossin, Glenn T.; Trathan, Phil N.; Phillips, Richard A.; Gorman, Kristen B.; Dawson, Alistair; Sakamoto, Kentaro Q.; Williams, Tony D.</t>
  </si>
  <si>
    <t>Corticosterone Predicts Foraging Behavior and Parental Care in Macaroni Penguins</t>
  </si>
  <si>
    <t>AMERICAN NATURALIST</t>
  </si>
  <si>
    <t>allostasis; time-depth recorders; telemetry; parental care; reproductive investment; stress hormones</t>
  </si>
  <si>
    <t>LONG-LIVED BIRD; PYGOSCELIS-ADELIAE; STRESS-RESPONSE; SOUTH GEORGIA; EUDYPTES-CHRYSOLOPHUS; PASSERINE BIRDS; KING PENGUINS; BASE-LINE; GLUCOCORTICOIDS; PROLACTIN</t>
  </si>
  <si>
    <t>Corticosterone has received considerable attention as the principal hormonal mediator of allostasis or physiological stress in wild animals. More recently, it has also been implicated in the regulation of parental care in breeding birds, particularly with respect to individual variation in foraging behavior and provisioning effort. There is also evidence that prolactin can work either inversely or additively with corticosterone to achieve this. Here we test the hypothesis that endogenous corticosterone plays a key physiological role in the control of foraging behavior and parental care, using a combination of exogenous corticosterone treatment, time-depth telemetry, and physiological sampling of female macaroni penguins (Eudyptes chrysolophus) during the brood-guard period of chick rearing, while simultaneously monitoring patterns of prolactin secretion. Plasma corticosterone levels were significantly higher in females given exogenous implants relative to those receiving sham implants. Increased corticosterone levels were associated with significantly higher levels of foraging and diving activity and greater mass gain in implanted females. Elevated plasma corticosterone was also associated with an apparent fitness benefit in the form of increased chick mass. Plasma prolactin levels did not correlate with corticosterone levels at any time, nor was prolactin correlated with any measure of foraging behavior or parental care. Our results provide support for the corticosterone-adaptation hypothesis, which predicts that higher corticosterone levels support increased foraging activity and parental effort.</t>
  </si>
  <si>
    <t>[Crossin, Glenn T.; Dawson, Alistair] NERC, Ctr Ecol &amp; Hydrol, Penicuik EH26 0QB, Midlothian, Scotland; [Crossin, Glenn T.; Gorman, Kristen B.; Williams, Tony D.] Simon Fraser Univ, Dept Biol Sci, Burnaby, BC V5A 1S6, Canada; [Trathan, Phil N.; Phillips, Richard A.] British Antarctic Survey, Nat Environm Res Council, Cambridge CB3 0ET, England; [Sakamoto, Kentaro Q.] Hokkaido Univ, Grad Sch Vet Med, Physiol Lab, Kita Ku, Sapporo, Hokkaido 0600818, Japan</t>
  </si>
  <si>
    <t>UK Research &amp; Innovation (UKRI); Natural Environment Research Council (NERC); UK Centre for Ecology &amp; Hydrology (UKCEH); Simon Fraser University; UK Research &amp; Innovation (UKRI); Natural Environment Research Council (NERC); NERC British Antarctic Survey; Hokkaido University</t>
  </si>
  <si>
    <t>Crossin, GT (corresponding author), Dalhousie Univ, Dept Biol, Halifax, NS B3H 4J1, Canada.</t>
  </si>
  <si>
    <t>gtc@dal.ca</t>
  </si>
  <si>
    <t>Sakamoto, Kentaro/N-7424-2019; Sakamoto, Kentaro/A-4843-2012; Dawson, Alistair/B-4221-2012</t>
  </si>
  <si>
    <t>Sakamoto, Kentaro/0000-0002-8499-799X; Sakamoto, Kentaro/0000-0002-8499-799X; Gorman, Kristen B./0000-0002-0258-9264; Crossin, Glenn/0000-0003-1080-1189; Dawson, Alistair/0000-0001-6492-872X</t>
  </si>
  <si>
    <t>British Antarctic Survey; Natural Sciences and Engineering Research Council of Canada (NSERC); E-Bird; NSERC; Grants-in-Aid for Scientific Research [23650380, 22688023] Funding Source: KAKEN; Natural Environment Research Council [bas0100025, CEH010021] Funding Source: researchfish; NERC [bas0100025] Funding Source: UKRI</t>
  </si>
  <si>
    <t>British Antarctic Survey; Natural Sciences and Engineering Research Council of Canada (NSERC)(Natural Sciences and Engineering Research Council of Canada (NSERC)); E-Bird; NSERC(Natural Sciences and Engineering Research Council of Canada (NSERC));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</si>
  <si>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We extend thanks to S. Adlard and F. Le Bouard for field assistance and to P. Sharp for assistance with the prolactin assay. E. Chin, O. Love, K. Salvante, and members of the Soma Lab at the University of British Columbia provided critical advice regarding the corticosterone radioimmunoassay. This work was supported by the British Antarctic Survey's Antarctic Funding Initiative Collaborative Gearing Scheme awarded to A.D., P.N.T., and R.A.P., by a Natural Sciences and Engineering Research Council of Canada (NSERC) Postdoctoral Fellowship and E-Bird funding to G.T.C., and by an NSERC Discovery Grant to T.D.W.</t>
  </si>
  <si>
    <t>0003-0147</t>
  </si>
  <si>
    <t>AM NAT</t>
  </si>
  <si>
    <t>Am. Nat.</t>
  </si>
  <si>
    <t>E31</t>
  </si>
  <si>
    <t>E41</t>
  </si>
  <si>
    <t>10.1086/666001</t>
  </si>
  <si>
    <t>Ecology; Evolutionary Biology</t>
  </si>
  <si>
    <t>Environmental Sciences &amp; Ecology; Evolutionary Biology</t>
  </si>
  <si>
    <t>956JU</t>
  </si>
  <si>
    <t>WOS:000305086700003</t>
  </si>
  <si>
    <t>Yoo, C; Lee, S; Feldstein, S</t>
  </si>
  <si>
    <t>Yoo, Changhyun; Lee, Sukyoung; Feldstein, Steven</t>
  </si>
  <si>
    <t>The impact of the Madden-Julian oscillation trend on the Antarctic warming during the 1979-2008 austral winter</t>
  </si>
  <si>
    <t>MJO; Rossby wave trains; Antarctic warming</t>
  </si>
  <si>
    <t>CLIMATE; TEMPERATURE; SURFACE</t>
  </si>
  <si>
    <t>Antarctica is one of the regions where the earth's surface is warming most rapidly. The interdecadal warming trend over much of Antarctica during the austral winter is about 1 degrees C decade-1, which is almost twice that of the global mean. There is increasing observational and modeling evidence that high-latitude warming is linked to localized heating in the tropics. Here we show that interdecadal changes in the spatial patterns of the extratropical response to various phases of the MaddenJulian oscillation (MJO) explain 1020% of the interdecadal warming over Antarctica, possibly through the poleward propagation of tropically forced Rossby wave trains. Copyright (c) 2012 Royal Meteorological Society</t>
  </si>
  <si>
    <t>[Yoo, Changhyun; Lee, Sukyoung; Feldstein, Steven] Penn State Univ, Dept Meteorol, University Pk, PA 16802 USA</t>
  </si>
  <si>
    <t>Yoo, C (corresponding author), NYU, Courant Inst, Ctr Atmosphere &amp; Ocean Sci, 251 Mercer St, New York, NY 10012 USA.</t>
  </si>
  <si>
    <t>cyoo@cims.nyu.edu</t>
  </si>
  <si>
    <t>National Science Foundation [ATM-0852379, AGS-1036858]; National Oceanic and Atmospheric Administration [NA100AR4310251]; Div Atmospheric &amp; Geospace Sciences; Directorate For Geosciences [1036858] Funding Source: National Science Foundation; Div Atmospheric &amp; Geospace Sciences; Directorate For Geosciences [0852379] Funding Source: National Science Foundation</t>
  </si>
  <si>
    <t>National Science Foundation(National Science Foundation (NSF)); National Oceanic and Atmospheric Administration(National Oceanic Atmospheric Admin (NOAA) - USA); Div Atmospheric &amp; Geospace Sciences; Directorate For Geosciences(National Science Foundation (NSF)NSF - Directorate for Geosciences (GEO)); Div Atmospheric &amp; Geospace Sciences; Directorate For Geosciences(National Science Foundation (NSF)NSF - Directorate for Geosciences (GEO))</t>
  </si>
  <si>
    <t>We thank the anonymous reviewer for constructive comments and suggestions, which have helped to improve the manuscript. This study is supported by the National Science Foundation Grants ATM-0852379, AGS-1036858, and by the National Oceanic and Atmospheric Administration Grant NA100AR4310251.</t>
  </si>
  <si>
    <t>10.1002/asl.379</t>
  </si>
  <si>
    <t>WOS:000306649400008</t>
  </si>
  <si>
    <t>Achberger, C; Ackerman, SA; Ahmed, FH; Albanil-Encarnación, A; Alfaro, EJ; Alves, LM; Allan, R; Amador, JA; Ambenje, P; Antoine, MD; Antonov, J; Arévalo, J; Arndt, DS; Ashik, I; Atheru, Z; Baccini, A; Baez, J; Banzon, V; Baringer, MO; Barreira, S; Barriopedro, DE; Bates, JJ; Becker, A; Behrenfeld, MJ; Bell, GD; Benedetti, A; Bernhard, G; Berrisford, P; Berry, DI; Beszczynska-Moeller, A; Bhatt, US; Bidegain, M; Bieniek, P; Birkett, C; Bissolli, P; Blake, ES; Blunden, J; Boudet-Rouco, D; Box, JE; Boyer, T; Braathen, GO; Brackenridge, GR; Brohan, P; Bromwich, DH; Brown, L; Brown, R; Bruhwiler, L; Bulygina, ON; Burrows, J; Calderón, B; Camargo, SJ; Cappellen, J; Carmack, E; Carrasco, G; Chambers, DP; Christiansen, HH; Christy, J; Chung, D; Ciais, P; Coehlo, CAS; Colwell, S; Comiso, J; Cretaux, JF; Crouch, J; Cunningham, SA; De Jeu, RAM; Demircan, M; Derksen, C; Diamond, HJ; Dlugokencky, EJ; Dohan, K; Dolman, AJ; Dorigo, WA; Drozdov, DS; Duguay, C; Dutton, E; Dutton, GS; Elkins, JW; Epstein, HE; Famiglietti, JS; Fanton d'Andon, OH; Feely, RA; Fekete, BM; Fenimore, C; Fernández-Prieto, D; Fields, E; Fioletov, V; Fogt, RL; Folland, C; Foster, MJ; Frajka-Williams, E; Franz, BA; Frey, K; Frith, SH; Frolov, I; Frost, GV; Ganter, C; Garzoli, S; Gitau, W; Gleason, KL; Gobron, N; Goldenberg, SB; Goni, G; González-García, I; González-Rodríguez, N; Good, SA; Goryl, P; Gottschalck, J; Gouveia, CM; Gregg, MC; Griffiths, GM; Grigoryan, V; Grooss, JU; Guard, C; Guglielmin, M; Hall, BD; Halpert, MS; Heidinger, AK; Heikkilä, A; Heim, RR; Hennon, PA; Hidalgo, HG; Hilburn, K; Ho, SP; Hobbs, WR; Holgate, S; Hook, SJ; Hovsepyan, A; Hu, ZZ; Hugony, S; Hurst, DF; Ingvaldsen, R; Itoh, M; Jaimes, E; Jeffries, M; Johns, WE; Johnsen, B; Johnson, B; Johnson, GC; Jones, LT; Jumaux, G; Kabidi, K; Kaiser, JW; Kang, KK; Kanzow, TO; Kao, HY; Keller, LM; Kendon, M; Kennedy, JJ; Kervankiran, S; Key, J; Khatiwala, S; Kholodov, AL; Khoshkam, M; Kikuchi, T; Kimberlain, TB; King, D; Knaff, JA; Korshunova, NN; Koskela, T; Kratz, DP; Krishfield, R; Kruger, A; Kruk, MC; Kumar, A; Lagerloef, G; Lakkala, K; Lammers, RB; Lander, MA; Landsea, CW; Lankhorst, M; Lapinel-Pedroso, B; Lazzara, MA; LeDuc, S; Lefale, P; León, G; León-Lee, A; Leuliette, E; Levitus, S; L'Heureux, M; Lin, II; Liu, HX; Liu, YJ; Liu, Y; Lobato-Sánchez, R; Locarnini, R; Loeb, NG; Loeng, H; Long, CS; Lorrey, AM; Lumpkin, R; Myhre, CL; Luo, JJ; Lyman, JM; MacCallum, S; Macdonald, AM; Maddux, BC; Manney, G; Marchenko, SS; Marengo, JA; Maritorena, S; Marotzke, J; Marra, JJ; Martínez-Sánchez, O; Maslanik, J; Massom, RA; Mathis, JT; McBride, C; McClain, CR; McGrath, D; McGree, S; McLaughlin, F; McVicar, TR; Mears, C; Meier, W; Meinen, CS; Menéndez, M; Merchant, C; Merrifield, MA; Miller, L; Mitchum, GT; Montzka, SA; Moore, S; Mora, NP; Morcrette, JJ; Mote, T; Mühle, J; Mullan, AB; Müller, R; Myhre, C; Nash, ER; Nerem, RS; Newlin, ML; Newman, PA; Ngari, A; Nishino, S; Njau, LN; Noetzli, J; Oberman, NG; Obregón, A; Ogallo, L; Oludhe, C; Overland, J; Oyunjargal, L; Parinussa, RM; Park, GH; Parker, DE; Pasch, RJ; Pascual-Ramírez, R; Pelto, MS; Penalba, O; Pérez-Suárez, R; Perovich, D; Pezza, AB; Phillips, D; Pickart, R; Pinty, B; Pinzon, J; Pitts, MC; Pour, HK; Prior, J; Privette, JL; Proshutinsky, A; Quegan, S; Quintana, J; Rabe, B; Rahimzadeh, F; Rajeevan, M; Rayner, D; Rayner, NA; Raynolds, MK; Razuvaev, VN; Reagan, J; Reid, P; Renwick, JA; Revadekar, J; Rex, M; Richter-Menge, J; Rivera, IL; Robinson, DA; Rodell, M; Roderick, ML; Romanovsky, VE; Ronchail, J; Rosenlof, KH; Rudels, B; Sabine, CL; Sánchez-Lugo, A; Santee, ML; Sawaengphokhai, P; Sayouri, A; Scambos, TA; Schauer, U; Schemm, J; Schmid, C; Schreck, C; Semiletov, I; Send, U; Sensoy, S; Shakhova, N; Sharp, M; Shiklomanov, NI; Shimada, K; Shin, J; Siegel, DA; Simmons, A; Skansi, M; Smith, TM; Sokolov, V; Spence, J; Srivastava, AK; Stackhouse, PW; Stammerjohn, S; Steele, M; Steffen, K; Steinbrecht, W; Stephenson, T; Stolarski, RS; Sweet, W; Takahashi, T; Taylor, MA; Tedesco, M; Thépaut, JN; Thiaw, WM; Thompson, P; Thorne, PW; Timmermans, ML; Tobin, S; Toole, J; Trachte, K; Trewin, BC; Trigo, RM; Trotman, A; Tucker, CJ; Ulupinar, Y; Van de Wal, RSW; van der Werf, GR; Vautard, R; Votaw, G; Wagner, WW; Wahr, J; Walker, DA; Walsh, J; Wang, CZ; Wang, JH; Wang, L; Wang, MH; Wang, SH; Wanninkhof, R; Weaver, S; Weber, M; Weingartner, T; Weller, RA; Wentz, F; Whitewood, R; Wilber, AC; Willett, KM; Williams, W; Willis, JK; Wilson, RC; Wolken, G; Wong, TM; Woodgate, R; Wovrosh, AJ; Xue, Y; Yamada, R; Yamamoto-Kawai, M; Yoder, JA; Yu, LS; Yueh, S; Zhang, LY; Zhang, PQ; Zhao, L; Zhou, XJ; Zimmermann, S; Zubair, L</t>
  </si>
  <si>
    <t>Achberger, C.; Ackerman, S. A.; Ahmed, Farid H.; Albanil-Encarnacion, Adelina; Alfaro, E. J.; Alves, L. M.; Allan, Rob; Amador, Jorge A.; Ambenje, Peter; Antoine, M. D.; Antonov, John; Arevalo, Juan; Arndt, Derek S.; Ashik, I.; Atheru, Zachary; Baccini, Alessandro; Baez, Julian; Banzon, Viva; Baringer, Molly O.; Barreira, Sandra; Barriopedro, D. E.; Bates, J. J.; Becker, Andreas; Behrenfeld, Michael J.; Bell, Gerald D.; Benedetti, Angela; Bernhard, Germar; Berrisford, Paul; Berry, David I.; Beszczynska-Moeller, A.; Bhatt, U. S.; Bidegain, Mario; Bieniek, P.; Birkett, Charon; Bissolli, Peter; Blake, Eric S.; Blunden, Jessica; Boudet-Rouco, Dagne; Box, Jason E.; Boyer, Tim; Braathen, Geir O.; Brackenridge, G. Robert; Brohan, Philip; Bromwich, David H.; Brown, Laura; Brown, R.; Bruhwiler, Lori; Bulygina, O. N.; Burrows, John; Calderon, Blanca; Camargo, Suzana J.; Cappellen, John; Carmack, E.; Carrasco, Gualberto; Chambers, Don P.; Christiansen, Hanne H.; Christy, John; Chung, D.; Ciais, P.; Coehlo, Caio A. S.; Colwell, Steve; Comiso, J.; Cretaux, Jean-Francois; Crouch, Jake; Cunningham, Stuart A.; De Jeu, Richard A. M.; Demircan, M.; Derksen, C.; Diamond, Howard J.; Dlugokencky, Ed J.; Dohan, Kathleen; Dolman, A. Johannes; Dorigo, Wouter A.; Drozdov, D. S.; Duguay, Claude; Dutton, Ellsworth; Dutton, Geoff S.; Elkins, James W.; Epstein, H. E.; Famiglietti, James S.; Fanton d'Andon, Odile Hembise; Feely, Richard A.; Fekete, Balazs M.; Fenimore, Chris; Fernandez-Prieto, D.; Fields, Erik; Fioletov, Vitali; Fogt, Ryan L.; Folland, Chris; Foster, Michael J.; Frajka-Williams, Eleanor; Franz, Bryan A.; Frey, Karen; Frith, Stacey H.; Frolov, I.; Frost, G. V.; Ganter, Catherine; Garzoli, Silvia; Gitau, Wilson; Gleason, Karin L.; Gobron, Nadine; Goldenberg, Stanley B.; Goni, Gustavo; Gonzalez-Garcia, Idelmis; Gonzalez-Rodriguez, Nivaldo; Good, Simon A.; Goryl, Philippe; Gottschalck, Jonathan; Gouveia, C. M.; Gregg, Margarita C.; Griffiths, Georgina M.; Grigoryan, Valentina; Grooss, Jens-Uwe; Guard, Chip; Guglielmin, Mauro; Hall, Bradley D.; Halpert, Michael S.; Heidinger, Andrew K.; Heikkila, Anu; Heim, Richard R., Jr.; Hennon, Paula A.; Hidalgo, Hugo G.; Hilburn, Kyle; Ho, Shu-peng; Hobbs, Will R.; Holgate, Simon; Hook, Simon J.; Hovsepyan, Anahit; Hu, Zeng-Zhen; Hugony, Sebastien; Hurst, Dale F.; Ingvaldsen, R.; Itoh, M.; Jaimes, Ena; Jeffries, Martin; Johns, William E.; Johnsen, Bjorn; Johnson, Bryan; Johnson, Gregory C.; Jones, L. T.; Jumaux, Guillaume; Kabidi, Khadija; Kaiser, Johannes W.; Kang, Kyun-Kuk; Kanzow, Torsten O.; Kao, Hsun-Ying; Keller, Linda M.; Kendon, Mike; Kennedy, John J.; Kervankiran, Sefer; Key, J.; Khatiwala, Samar; Kholodov, A. L.; Khoshkam, M.; Kikuchi, T.; Kimberlain, Todd B.; King, Darren; Knaff, John A.; Korshunova, Natalia N.; Koskela, Tapani; Kratz, David P.; Krishfield, R.; Kruger, Andries; Kruk, Michael C.; Kumar, Arun; Lagerloef, Gary; Lakkala, Kaisa; Lammers, Richard B.; Lander, Mark A.; Landsea, Chris W.; Lankhorst, Matthias; Lapinel-Pedroso, Braulio; Lazzara, Matthew A.; LeDuc, Sharon; Lefale, Penehuro; Leon, Gloria; Leon-Lee, Antonia; Leuliette, Eric; Levitus, Syndney; L'Heureux, Michelle; Lin, I. I.; Liu, Hongxing; Liu, Yanju; Liu, Yi; Lobato-Sánchez, Rene; Locarnini, Ricardo; Loeb, Norman G.; Loeng, H.; Long, Craig S.; Lorrey, Andrew M.; Lumpkin, Rick; Myhre, Cathrine Lund; Luo, Jing-Jia; Lyman, John M.; MacCallum, Stuart; Macdonald, Alison M.; Maddux, Brent C.; Manney, Gloria; Marchenko, S. S.; Marengo, Jose A.; Maritorena, Stephane; Marotzke, Jochem; Marra, John J.; Martínez-Sánchez, Odayls; Maslanik, J.; Massom, Robert A.; Mathis, Jeremy T.; McBride, Charlotte; McClain, Charles R.; McGrath, Daniel; McGree, Simon; McLaughlin, F.; McVicar, Tim R.; Mears, Carl; Meier, W.; Meinen, Christopher S.; Menendez, Melisa; Merchant, Chris; Merrifield, Mark A.; Miller, Laury; Mitchum, Gary T.; Montzka, Stephen A.; Moore, Sue; Mora, Natalie P.; Morcrette, Jean-Jacques; Mote, Thomas; Muhle, Jens; Mullan, A. Brett; Muller, Rolf; Myhre, Cathrine; Nash, Eric R.; Nerem, R. Steven; Newlin, Michele L.; Newman, Paul A.; Ngari, Arona; Nishino, S.; Njau, Lenoard N.; Noetzli, Jeannette; Oberman, N. G.; Obregon, Andre; Ogallo, Laban; Oludhe, Christopher; Overland, J.; Oyunjargal, Lamjav; Parinussa, R. M.; Park, Geun-Ha; Parker, David E.; Pasch, Richard J.; Pascual-Ramirez, Reynaldo; Pelto, Mauri S.; Penalba, Olga; Perez-Suarez, Ramon; Perovich, D.; Pezza, Alexandre B.; Phillips, Dave; Pickart, R.; Pinty, Bernard; Pinzon, J.; Pitts, Michael C.; Pour, Homa Kheyrollah; Prior, John; Privette, Jeff L.; Proshutinsky, A.; Quegan, Shaun; Quintana, Juan; Rabe, B.; Rahimzadeh, Fatemeh; Rajeevan, M.; Rayner, Darren; Rayner, Nick A.; Raynolds, M. K.; Razuvaev, Vyacheslav N.; Reagan, James; Reid, Phillip; Renwick, James A.; Revadekar, J.; Rex, Markus; Richter-Menge, J.; Rivera, Ingrid L.; Robinson, David A.; Rodell, Matthew; Roderick, Michael L.; Romanovsky, Vladimir E.; Ronchail, Josyane; Rosenlof, Karen H.; Rudels, B.; Sabine, Christopher L.; Sanchez-Lugo, Ahira; Santee, Michelle L.; Sawaengphokhai, P.; Sayouri, Amal; Scambos, Ted A.; Schauer, U.; Schemm, Jae; Schmid, Claudia; Schreck, Carl; Semiletov, Igor; Send, Uwe; Sensoy, Serhat; Shakhova, Natalia; Sharp, M.; Shiklomanov, Nicolai I.; Shimada, K.; Shin, J.; Siegel, David A.; Simmons, Adrian; Skansi, Maria; Smith, Thomas M.; Sokolov, V.; Spence, Jacqueline; Srivastava, A. K.; Stackhouse, Paul W., Jr.; Stammerjohn, Sharon; Steele, M.; Steffen, Konrad; Steinbrecht, Wolfgang; Stephenson, Tannecia; Stolarski, Richard S.; Sweet, William; Takahashi, Taro; Taylor, Michael A.; Tedesco, Marco; Thepaut, Jean-Noel; Thiaw, Wassila M.; Thompson, Philip; Thorne, Peter W.; Timmermans, M. L.; Tobin, Skie; Toole, J.; Trachte, Katja; Trewin, Blair C.; Trigo, Ricardo M.; Trotman, Adrian; Tucker, C. J.; Ulupinar, Yusuf; Van de Wal, Roderik S. W.; van der Werf, G. R.; Vautard, Robert; Votaw, Gary; Wagner, Wolfgang W.; Wahr, John; Walker, D. A.; Walsh, J.; Wang, Chunzai; Wang, Junhong; Wang, Lei; Wang, Menghua; Wang, Sheng-Hung; Wanninkhof, Rik; Weaver, Scott; Weber, Mark; Weingartner, T.; Weller, Robert A.; Wentz, Frank; Whitewood, Robert; Wilber, Anne C.; Willett, Kate M.; Williams, W.; Willis, Joshua K.; Wilson, R. Chris; Wolken, G.; Wong, Takmeng; Woodgate, R.; Wovrosh, Alex J.; Xue, Yan; Yamada, Ryuji; Yamamoto-Kawai, M.; Yoder, James A.; Yu, Lisan; Yueh, Simon; Zhang, Liangying; Zhang, Peiqun; Zhao, Lin; Zhou, Xinjia; Zimmerman, S.; Zubair, Lafeer</t>
  </si>
  <si>
    <t>STATE OF THE CLIMATE IN 2011 Special Supplement to the Bulletin of the American Meteorological Society Vol. 93, No. 7, July 2012</t>
  </si>
  <si>
    <t>SEA-SURFACE-TEMPERATURE; WESTERN NORTH PACIFIC; MADDEN-JULIAN OSCILLATION; MERIDIONAL HEAT-TRANSPORT; RESOLUTION IMAGING SPECTRORADIOMETER; OUTGOING LONGWAVE RADIATION; FLORIDA CURRENT TRANSPORT; OCEAN THERMAL STRUCTURE; COUPLED KELVIN WAVES; ATLANTIC WARM POOL</t>
  </si>
  <si>
    <t>Large-scale climate patterns influenced temperature and weather patterns around the globe in 2011. In particular, a moderate-to-strong La Nina at the beginning of the year dissipated during boreal spring but reemerged during fall. The phenomenon contributed to historical droughts in East Africa, the southern United States, and northern Mexico, as well the wettest two-year period (2010-11) on record for Australia, particularly remarkable as this follows a decade-long dry period. Precipitation patterns in South America were also influenced by La Nina. Heavy rain in Rio de Janeiro in January triggered the country's worst floods and landslides in Brazil's history. The 2011 combined average temperature across global land and ocean surfaces was the coolest since 2008, but was also among the 15 warmest years on record and above the 1981-2010 average. The global sea surface temperature cooled by 0.1 degrees C from 2010 to 2011, associated with cooling influences of La Nina. Global integrals of upper ocean heat content for 2011 were higher than for all prior years, demonstrating the Earth's dominant role of the oceans in the Earth's energy budget. In the upper atmosphere, tropical stratospheric temperatures were anomalously warm, while polar temperatures were anomalously cold. This led to large springtime stratospheric ozone reductions in polar latitudes in both hemispheres. Ozone concentrations in the Arctic stratosphere during March were the lowest for that period since satellite records began in 1979. An extensive, deep, and persistent ozone hole over the Antarctic in September indicates that the recovery to pre-1980 conditions is proceeding very slowly. Atmospheric carbon dioxide concentrations increased by 2.10 ppm in 2011, and exceeded 390 ppm for the first time since instrumental records began. Other greenhouse gases also continued to rise in concentration and the combined effect now represents a 30% increase in radiative forcing over a 1990 baseline. Most ozone depleting substances continued to fall. The global net ocean carbon dioxide uptake for the 2010 transition period from El Nino to La Nina, the most recent period for which analyzed data are available, was estimated to be 1.30 Pg C yr(-1), almost 12% below the 29-year long-term average. Relative to the long-term trend, global sea level dropped noticeably in mid-2010 and reached a local minimum in 2011. The drop has been linked to the La Nina conditions that prevailed throughout much of 2010-11. Global sea level increased sharply during the second half of 2011. Global tropical cyclone activity during 2011 was well-below average, with a total of 74 storms compared with the 1981-2010 average of 89. Similar to 2010, the North Atlantic was the only basin that experienced above-normal activity. For the first year since the widespread introduction of the Dvorak intensity-estimation method in the 1980s, only three tropical cyclones reached Category 5 intensity level-all in the Northwest Pacific basin. The Arctic continued to warm at about twice the rate compared with lower latitudes. Below-normal summer snowfall, a decreasing trend in surface albedo, and above-average surface and upper air temperatures resulted in a continued pattern of extreme surface melting, and net snow and ice loss on the Greenland ice sheet. Warmer-than-normal temperatures over the Eurasian Arctic in spring resulted in a new record-low June snow cover extent and spring snow cover duration in this region. In the Canadian Arctic, the mass loss from glaciers and ice caps was the greatest since GRACE measurements began in 2002, continuing a negative trend that began in 1987. New record high temperatures occurred at 20 m below the land surface at all permafrost observatories on the North Slope of Alaska, where measurements began in the late 1970s. Arctic sea ice extent in September 2011 was the second-lowest on record, while the extent of old ice (four and five years) reached a new record minimum that was just 19% of normal. On the opposite pole, austral winter and spring temperatures were more than 3 degrees C above normal over much of the Antarctic continent. However, winter temperatures were below normal in the northern Antarctic Peninsula, which continued the downward trend there during the last 15 years. In summer, an all-time record high temperature of -12.3 degrees C was set at the South Pole station on 25 December, exceeding the previous record by more than a full degree. Antarctic sea ice extent anomalies increased steadily through much of the year, from briefly setting a record low in April, to well above average in December. The latter trend reflects the dispersive effects of low pressure on sea ice and the generally cool conditions around the Antarctic perimeter.</t>
  </si>
  <si>
    <t>Univ Gothenburg, Earth Sci Cntr, Gothenburg, Sweden; CIMSS Univ Wisconsin Madison, Madison, WI USA; Univ Costa Rica, Cntr Geophys Res &amp; School Phys, San Jose, Costa Rica; Cachoeira Paulista, INPE, CCST, Sao Paulo, Brazil; Univ Costa Rica, Cntr Geophy Res School Phys, San Jose, Costa Rica; KMD, Nairobi, Kenya; NOAA NESIDS, Silver Spring, MD USA; INAMEH, Caracas, Venezuela; NOAA NESDIS, Natl Climat Data Cntr, Asheville, NC USA; IGAD, ICPAC, Nairobi, Kenya; Woods hole Res Cntr, Falmouth, MA USA; DMH, DINAC &amp; CTA,UCA, Asuncion, Paraguay; NOAA NESDIS, Natl Clim Data Cntr, Asheville, NC USA; NOAA OAR, Atlantic Oceanog &amp; Meteorol Lab, Miami, FL USA; Argentine Naval Hydr Serv, Buenos Aires, DF, Argentina; Univ Lisbon, Cntr Geofisica, Lisbon, Portugal; Oregon State Univ, Corvallis, OR USA; NOAA NWS, Clim Pred Cntr, Camp Springs, MD USA; Eur Cntr Med Rang Weath Forecasts, Reading, Berks, England; Biosph Instr, San Diego, CA USA; NCAS Climate, Euro Cntr Med Range Weath Forecasts, Reading, Berks, England; Natl Oceanogr Cntr, Southampton, Hants, England; Alfred Wegener Inst, Bremerhaven, Germany; Univ Alaska Fairbanks, Geophys Inst, Fairbanks, AK USA; Univ Maryland Coll Pk, Earth Syst Sci Interd Res Cntr, College Pk, MD USA; German Metor Serv, DWD, WMO RA VI,Reg Clim Cntr Clim Monitor, Offenbach, Germany; NOAA NWS, Natl Hurr Cntr, Miami, FL USA; Inst Meteor Cuba, Dagne, Havana, Cuba; Ohio State Univ, Byrd Polar Res Cntr, Columbus, OH USA; WMO Atmos Environ Res Div, Geneva, Switzerland; Met Office Hadley Cntr, Exeter, Devon, England; Univ Waterloo, Interdiscipl Cntr Clim Change, Dept Geog &amp; Environm Mangmnt, Waterloo, ON, Canada; Environm Canada, Climat Res Div, Quebec City, PQ, Canada; NOAA Earth Syst Res Lab, Boulder, CO USA; Russian Inst Hydrometeor Inf, Obninsk, Russia; Univ Bremen, Bremen, Germany; Univ Costa Rica, Cntr Geophys Res, San Jose, Costa Rica; Columbia Univ, Lamont Doherty Earth Observ, Palisades, NY USA; Danish Meteorol Inst, Copenhagen, Denmark; SENAMHI, La Paz, Bolivia; Univ S Florida, Coll Marine Sci, St Petersburg, FL USA; Univ Oslo, Dept Geosci, Oslo, Norway; Univ Cen Svalbard, Geol Dept, Oslo, Norway; Univ Alabama, Huntsville, AL USA; Vienna Univ Technol, Inst Photogram Remote Sensing, Vienna, Austria; CEA CNR UVSQ, LSCE, Gif Sur Yvette, France; British Antarctic Survey, Cambridge, England; NASA Goddard Space Flight Cntr, Cryo Sci Branch, Greenbelt, MD USA; Ocean Spatiales, Lab Etudes Geophys, Toulouse, France; Natl Oceanogr Cntr, Southampton, Hants, England; Vrije Univ Amsterdam, Fac Earth Sci, Dept Earth Sci, Earth &amp; Climat Cluster, Amsterdam, Netherlands; Turkish State Meteorol Serv, Ankara, Turkey; Environm Canada, Climat Res Div, Toronto, ON, Canada; Vrije Univ Amsterdam, Dept Earth Sci, Fac Earth Sci, Amsterdam, Netherlands; Earth Cryosph Inst, Tumen, Russia; Univ Waterloo, Dept Geog &amp; Environm Manag, Interd Ctr Climat Change, Waterloo, ON, Canada; Univ Colorado, Cooperat Inst Res Environm Sci, Boulder, CO USA; Univ Virginia, Dept Environm Sci, Charlottesville, VA USA; NOAA OAR Pacif Marin Environm Lab, Seattle, WA USA; Univ Calif Santa Barbara, Santa Barbara, CA USA; Ohio Univ, Dept Geog, Athens, OH USA; CIMSS Univ Wisconsin Madison, Madison, WI USA; Clark Univ, Grad Sch Geog, Worcester, MA USA; Arct &amp; Antarct Res Inst, St Petersburg, Russia; Univ Virginia, Dept Environm Sci, Charlottesville, VA USA; Bureau Meteorology, Melbourne, Vic, Australia; Univ Nairobi, Dept Meteorol, Nairobi, Kenya; European Commiss Joint Res Ctr, Clim Risk Manag Unit,IES, Ispra, Italy; Inst Meteorol Cuba, Havana, Cuba; Univ Lisbon, Ctr Geo, Lisbon, Portugal; NIWA, Auckland, New Zealand; Forschungszentrum Julich, Julich, Germany; Finnish Meteorol Inst, Helsinki, Finland; UCAR COSMIC, Boulder, CO USA; Univ Calif San Diego, Scripps Inst Oceanog, La Jolla, CA USA; Natl Oceanogr Ctr, Permanent Serv Mean Sea Level, Liverpool, Merseyside, England; CALTECH, Jet Propuls Lab, Pasadena, CA USA; Univ Colorado Boulder, NOAA, Cooperat Inst Res Environm Sci, Boulder, CO USA; Inst Marine Res, Bergen, Norway; Japan Agency Marine Earth Sci &amp; Technol, Tokyo, Japan; SENAMHI, Lima, Peru; Univ Alaska Fairbanks, Geophys Inst, Fairbanks, AK USA; Rosenstiel Sch Marine Atmosph Sci, Miami, FL USA; European Ctr Medium Range Weath Forecasts, Reading, Berks, England; GEOMAR, Kiel, Germany; Earth &amp; Space Res, Seattle, WA USA; Univ Wisconsin Madison, Dept Atmospher &amp; Ocean Sci, Madison, WI USA; NOAA NESDIS, Ctr Sat Appl Res, Madison, WI USA; Columbia Univ, Lamont Doherty Earth Observ, Palisades, NY USA; IRIMO, Tehran, Iran; Natl Inst Water &amp; Atmosph Res, Auckland, New Zealand; All Russian Res Inst Hydrometeor Inf, Obninsk, Russia; Finnish Meteorol Inst, Helsinki, Finland; NASA Langley Res Ctr, Hampton, VA USA; Woods Hole Oceanog Inst, Woods Hole, MA USA; South African Weather Serv, Pretoria, South Africa; ERT Corp, NOAA NESDIS, Ntl Climat Data Ctr, Asheville, NC USA; Univ New Hampshire, Inst Study Earth Oceans Space, Durham, NH USA; Univ Guam, Mangilao, GU USA; Univ Wisconsin Madison, Space Sci Eng Ctr, Madison, WI USA; MetService, Wellington, New Zealand; IDEAM, Bogota, Colombia; Lab Sat Altimetry, NOAA NESDIS, Silver Spring, MD USA; Natl Taiwan Univ, Taipei, Taiwan; Univ Cincinnati, Dept Geog, Cincinnati, OH USA; Univ Wisconsin, Cooperat Inst Meteorol Sat Stud, Madison, WI USA; China Meteorol Admin, Clim Ctr, Beijing, Peoples R China; Univ New S Wales, Sch Civil &amp; Environm Engn, Sydney, NSW, Australia; Norwegian Inst Air Res, Kjeller, Norway; Ctr Australian Weath Clim Res, Melbourne, Vic, Australia; Univ Hawaii, Joint Inst Marine &amp; Atmospher Res, NOAA OAR Pac Marine Environm Lab, Honolulu, HI USA; Univ Edinburgh, Edinburgh, Midlothian, Scotland; KNMI, De Bilt, Netherlands; Univ Wisconsin, AOS CIMSS, Madison, WI USA; New Mexico Inst Min &amp; Technol, Socorro, NM USA; Max Planck Inst Meteorol, Hamburg, Germany; CIIFEN, Guayaquil, Ecuador; NOAA Natl Weath Serv, San Juan, PR USA; Univ Colorado, Aero &amp; Eng Sci, Boulder, CO USA; Univ Alaska Fairbanks, Sch Fisheries &amp; Ocean Sci, Fairbanks, AK USA; S African Weath Serv, Pretoria, South Africa; Univ Colorado Boulder, Cooperat Inst Res Environm Sci, Boulder, CO USA; Austral Bureau Meteorol, Melbourne, Vic, Australia; CSIRO Land &amp; Water, Canberra, ACT, Australia; Univ Colorado Boulder, Cooperat Inst Res Environm Sci, Natl Snow &amp; Ice Data Ctr, Boulder, CO USA; Univ Cantabria, Environ Hydraulic Inst, Santander, Spain; Office Sci Technol, NOAA Natl Marine Fish Serv, Seattle, WA USA</t>
  </si>
  <si>
    <t>University of Gothenburg; Universidad Costa Rica; Instituto Nacional de Pesquisas Espaciais (INPE); Universidad Costa Rica; National Oceanic Atmospheric Admin (NOAA) - USA; National Oceanic Atmospheric Admin (NOAA) - USA; Woodwell Climate Research Center; Universidad Catolica Nuestra Senora de la Asuncion; National Oceanic Atmospheric Admin (NOAA) - USA; National Oceanic Atmospheric Admin (NOAA) - USA; Atlantic Oceanographic &amp; Meteorological Laboratory (AOML); Universidade de Lisboa; Oregon State University; National Oceanic Atmospheric Admin (NOAA) - USA; UK Research &amp; Innovation (UKRI); Natural Environment Research Council (NERC); NERC National Centre for Atmospheric Science; University of Reading; NERC National Oceanography Centre; Helmholtz Association; Alfred Wegener Institute, Helmholtz Centre for Polar &amp; Marine Research; University of Alaska System; University of Alaska Fairbanks; University System of Maryland; University of Maryland College Park; National Oceanic Atmospheric Admin (NOAA) - USA; University System of Ohio; Ohio State University; University of Waterloo; Environment &amp; Climate Change Canada; National Oceanic Atmospheric Admin (NOAA) - USA; University of Bremen; Universidad Costa Rica; Columbia University; Danish Meteorological Institute DMI; State University System of Florida; University of South Florida; University of Oslo; University of Alabama System; University of Alabama Huntsville; Technische Universitat Wien; Universite Paris Saclay; CEA; Centre National de la Recherche Scientifique (CNRS); UK Research &amp; Innovation (UKRI); Natural Environment Research Council (NERC); NERC British Antarctic Survey; National Aeronautics &amp; Space Administration (NASA); Universite de Toulouse; Universite Toulouse III - Paul Sabatier; Centre National de la Recherche Scientifique (CNRS); Institut de Recherche pour le Developpement (IRD); Laboratoire d'Etudes en Geophysique et oceanographie spatiales; NERC National Oceanography Centre; Vrije Universiteit Amsterdam; Ministry of Forestry &amp; Water Affairs - Turkey; Environment &amp; Climate Change Canada; Vrije Universiteit Amsterdam; University of Waterloo; University of Colorado System; University of Colorado Boulder; University of Virginia; National Oceanic Atmospheric Admin (NOAA) - USA; University of California System; University of California Santa Barbara; University System of Ohio; Ohio University; Clark University; University of Virginia; Melbourne Genomics Health Alliance; University of Nairobi; European Commission Joint Research Centre; EC JRC ISPRA Site; Universidade de Lisboa; National Institute of Water &amp; Atmospheric Research (NIWA) - New Zealand; Helmholtz Association; Research Center Julich; Finnish Meteorological Institute; University of California System; University of California San Diego; Scripps Institution of Oceanography; NERC National Oceanography Centre; California Institute of Technology; National Aeronautics &amp; Space Administration (NASA); NASA Jet Propulsion Laboratory (JPL); National Oceanic Atmospheric Admin (NOAA) - USA; University of Colorado System; University of Colorado Boulder; Institute of Marine Research - Norway; Japan Agency for Marine-Earth Science &amp; Technology (JAMSTEC); Servicio Nacional de Meteorologia Hidrologia del Peru (SENAMHI); University of Alaska System; University of Alaska Fairbanks; Helmholtz Association; GEOMAR Helmholtz Center for Ocean Research Kiel; University of Wisconsin System; University of Wisconsin Madison; National Oceanic Atmospheric Admin (NOAA) - USA; Columbia University; Finnish Meteorological Institute; National Aeronautics &amp; Space Administration (NASA); NASA Langley Research Center; Woods Hole Oceanographic Institution; South African Weather Service (SAWS); National Oceanic Atmospheric Admin (NOAA) - USA; University System Of New Hampshire; University of New Hampshire; University of Guam; University of Wisconsin System; University of Wisconsin Madison; National Oceanic Atmospheric Admin (NOAA) - USA; National Taiwan University; University System of Ohio; University of Cincinnati; University of Wisconsin System; University of Wisconsin Madison; University of New South Wales Sydney; NILU; Melbourne Genomics Health Alliance; National Oceanic Atmospheric Admin (NOAA) - USA; University of Hawaii System; University of Edinburgh; Royal Netherlands Meteorological Institute; University of Wisconsin System; University of Wisconsin Madison; New Mexico Institute of Mining Technology; Max Planck Society; National Oceanic Atmospheric Admin (NOAA) - USA; University of Colorado System; University of Colorado Boulder; University of Alaska System; University of Alaska Fairbanks; University of Colorado System; University of Colorado Boulder; Melbourne Genomics Health Alliance; Commonwealth Scientific &amp; Industrial Research Organisation (CSIRO); CSIRO Land &amp; Water; University of Colorado System; University of Colorado Boulder; Universidad de Cantabria; National Oceanic Atmospheric Admin (NOAA) - USA</t>
  </si>
  <si>
    <t>Achberger, C (corresponding author), Univ Gothenburg, Earth Sci Cntr, Gothenburg, Sweden.</t>
  </si>
  <si>
    <t>Thorne, Peter/HZL-3928-2023; Diamond, Howard/ABC-9877-2021; Camargo, Suzana J./C-6106-2009; L'Heureux, Michelle L/C-7517-2013; Zhang, Peiqun/AAQ-5385-2020; Grooß, Jens-Uwe/N-3305-2019; Smith, Thomas M./F-5626-2010; Bernhard, Germar/AAZ-7169-2020; Frost, Gerald/K-2971-2019; Hurst, Dale/D-1554-2016; Timmermans, Mary-Louise/N-5983-2014; van der Werf, Guido/M-8260-2016; Thepaut, Jean-Noel/IWU-7629-2023; Trachte, Katja/M-7310-2015; Hu, Zeng-Zhen/B-4373-2011; Bernhard, Germar H/B-4460-2018; Bruhwiler, Lori/AAQ-8502-2020; Meier, Walter/AAI-9583-2021; van de wal, roderik/D-1705-2011; Lumpkin, Rick/C-9615-2009; Müller, Rolf/A-6669-2013; Barriopedro, David/C-1421-2008; Heikkilä, Anu M/F-1261-2017; Banzon, Viva/D-5499-2014; Dutton, Geoffrey Scott/V-9977-2019; Leuliette, Eric/D-1527-2010; Rajeevan, Madhavan Nair/ABG-8604-2021; Rosenlof, Karen H/B-5652-2008; Sweet, William V/D-4310-2019; Wang, JunHong/HKE-0286-2023; Steffen, Konrad/C-6027-2013; Brown, Laura C/F-5932-2011; Rabe, Benjamin/G-2999-2011; Luo, Jing-Jia/B-2481-2008; Steinbrecht, Wolfgang/G-6113-2010; Wang, Muyin/K-4006-2014; Keyes, Dennis/AAZ-9285-2021; Duguay, Claude R/G-5682-2011; Rex, Markus/A-6054-2009; Vautard, Robert/ABF-9489-2020; THEPAUT, Jean-Noel/AAK-7546-2020; Sensoy, Serhat/AGI-2242-2022; Wang, Menghua/F-5631-2010; Alves, Lincoln M/G-8894-2015; Santee, MIchelle/R-5762-2019; Myhre, Cathrine L Lund/M-4508-2014; Miller, Laury/B-8305-2011; Garzoli, Silvia L/A-3556-2010; montzka, stephen/V-6162-2019; Box, Jason/H-5770-2013; Key, Jeffrey R./AAB-7248-2020; Stolarski, Richard S/B-8499-2013; Loeb, Norman/ABC-7817-2021; Lin, I-I/J-4695-2013; Müller, Rolf/ABA-8213-2021; McBride, Charlotte/GSI-4733-2022; Menendez, Melisa/L-4600-2014; Thompson, Philip R/H-4509-2013; Ho, shu-peng/E-5199-2019; Garzoli, Silvia/JCP-1471-2023; Shakhova, Natalia Evgenievna/H-6691-2016; Reagan/ABE-6875-2020; Hidalgo, Hugo G./I-7170-2019; Trigo, Ricardo/Q-8391-2019; Lakkala, Kaisa/AAN-4342-2020; Hall, Bradley/HZH-3492-2023; Hobbs, Will/P-8094-2019; Blunden, Jessica/G-1309-2012; Grooß, Jens-Uwe/A-7315-2013; Wong, Takmeng/AHD-3210-2022; de Jeu, Richard/AAE-6922-2019; Wong, Takmeng/AHD-3691-2022; Thorne, Peter/R-6823-2017; Famiglietti, James/G-7383-2017; Tedesco, Marco/F-7986-2015; Bromwich, David H/C-9225-2016; Franz, Bryan A/D-6284-2012; van der Werf, Guido/JXY-9197-2024; Kaiser, Johannes W./GOP-0832-2022; McVicar, Tim R/D-8614-2011; Bulygina, Olga/H-1251-2016; Feely, Richard A./ABI-5740-2020; Frith, Stacey/HMD-9437-2023; Luo, Jing-Jia/T-9612-2019; Semiletov, Igor/CAJ-4412-2022; Liu, Yi/M-7169-2015; Drozdov, Dmitry S/N-4264-2018; Willis, Josh/AGY-7817-2022; Wilson, Robert Christopher/JBJ-2758-2023; Johnson, Gregory C/I-6559-2012; Frajka-Williams, Eleanor/H-2415-2011; Noetzli, Jeannette/ABA-4132-2020; Dorigo, Wouter A/C-7794-2014; HURST, DALE/AAC-9948-2022; Yu, Lisan/AIB-2264-2022; Frolov, Ivan/L-2908-2018; Wagner, Wolfgang/AAC-5507-2019; Arndt, Derek S/J-3022-2013; Goldenberg, Stanley/C-5965-2014; Hook, Simon J/D-5920-2016; Box, Jason E/AAE-1654-2019; Antoine, David/C-3817-2013; Weber, Mark/F-1409-2011; Marengo, Jose A/J-9382-2012; Schmid, Claudia/D-5875-2013; Zhao, Lin/M-9536-2018; Siegel, David A/C-5587-2008; Wang, Chunzai/C-9712-2009; Ciais, Philippe/A-6840-2011; Heim, Richard R./H-9667-2017; Gouveia, Celia/E-5159-2010; Folland, Chris K/I-2524-2013; Trigo, Ricardo M/B-7044-2008; Yueh, Simon/AAV-3920-2021; SHIMADA, Koji/O-1913-2014; Fioletov, Vitali/AAM-1044-2020; Semiletov, Igor P/B-3616-2013; Gouveia, C./AFK-5900-2022; Muhle, Jens/GPX-3244-2022; Dlugokencky, Edward/AAN-8746-2020; wilber, anne/F-6270-2011; Schreck, Carl/B-8711-2011; Roderick, Michael/C-9621-2009; Langholtz, Matthew/B-9416-2012; Heidinger, Andrew/F-5591-2010; Privette, Jeffrey/G-7807-2011; Baringer, Molly/D-2277-2012; Berry, David/C-1268-2011; Knaff, John/F-5599-2010; Meinen, Christopher/G-1902-2012; Ackerman, Steven/G-1640-2011; Rodell, Matthew/E-4946-2012; Yamamoto-Kawai, Michiyo/F-7611-2013; Bates, John/D-1012-2009; Goni, Gustavo/D-2017-2012; Newman, Paul A./D-6208-2012</t>
  </si>
  <si>
    <t>Camargo, Suzana J./0000-0002-0802-5160; Grooß, Jens-Uwe/0000-0002-9485-866X; Smith, Thomas M./0000-0001-7469-7849; Bernhard, Germar/0000-0002-1264-0756; Hurst, Dale/0000-0002-6315-2322; Trachte, Katja/0000-0003-4269-9668; Hu, Zeng-Zhen/0000-0002-8485-3400; Bruhwiler, Lori/0000-0002-3554-9250; van de wal, roderik/0000-0003-2543-3892; Lumpkin, Rick/0000-0002-6690-1704; Barriopedro, David/0000-0001-6476-944X; Dutton, Geoffrey Scott/0000-0001-7777-9268; Leuliette, Eric/0000-0002-3425-4039; Rajeevan, Madhavan Nair/0000-0002-3000-2459; Rosenlof, Karen H/0000-0002-0903-8270; Brown, Laura C/0000-0002-3173-8433; Rabe, Benjamin/0000-0001-5794-9856; Luo, Jing-Jia/0000-0003-2181-0638; Wang, Muyin/0000-0001-5233-4588; Rex, Markus/0000-0001-7847-8221; Sensoy, Serhat/0000-0002-6150-6035; Wang, Menghua/0000-0001-7019-3125; Myhre, Cathrine L Lund/0000-0003-3587-5926; Miller, Laury/0000-0003-3095-5804; montzka, stephen/0000-0002-9396-0400; Box, Jason/0000-0003-0052-8705; Lin, I-I/0000-0002-8364-8106; Müller, Rolf/0000-0002-5024-9977; McBride, Charlotte/0000-0001-9557-7520; Thompson, Philip R/0000-0002-0875-4208; Ho, shu-peng/0000-0002-3010-8544; Reagan/0000-0002-0021-6210; Hidalgo, Hugo G./0000-0003-4638-0742; Trigo, Ricardo/0000-0002-4183-9852; Lakkala, Kaisa/0000-0003-2840-1132; Hall, Bradley/0000-0002-2451-8416; Hobbs, Will/0000-0002-2061-0899; Grooß, Jens-Uwe/0000-0002-9485-866X; Thorne, Peter/0000-0003-0485-9798; Famiglietti, James/0000-0002-6053-5379; Kaiser, Johannes W./0000-0003-3696-9123; McVicar, Tim R/0000-0002-0877-8285; Frith, Stacey/0000-0001-6894-0574; Luo, Jing-Jia/0000-0003-2181-0638; Wilson, Robert Christopher/0000-0002-9668-4691; Johnson, Gregory C/0000-0002-8023-4020; Frajka-Williams, Eleanor/0000-0001-8773-7838; Noetzli, Jeannette/0000-0001-9188-6318; HURST, DALE/0000-0002-6315-2322; Yu, Lisan/0000-0003-4157-9154; Frolov, Ivan/0000-0002-6586-354X; Wagner, Wolfgang/0000-0001-7704-6857; Arndt, Derek S/0000-0001-7698-6740; Goldenberg, Stanley/0000-0001-6730-5819; Box, Jason E/0000-0003-0052-8705; Antoine, David/0000-0002-9082-2395; Zhao, Lin/0000-0003-0245-8413; Wang, Chunzai/0000-0002-7611-0308; Ciais, Philippe/0000-0001-8560-4943; Gouveia, Celia/0000-0002-3147-5696; Folland, Chris K/0000-0002-3143-5918; Fioletov, Vitali/0000-0002-2731-5956; Gouveia, C./0000-0002-3147-5696; Muhle, Jens/0000-0001-9776-3642; Dlugokencky, Edward/0000-0003-0612-6985; Schreck, Carl/0000-0001-9331-5754; Roderick, Michael/0000-0002-3630-7739; Langholtz, Matthew/0000-0002-8153-7154; Heidinger, Andrew/0000-0001-7631-109X; Privette, Jeffrey/0000-0001-8267-9894; Baringer, Molly/0000-0002-8503-5194; Berry, David/0000-0002-3862-3479; Knaff, John/0000-0003-0427-1409; Lammers, Richard/0000-0002-7980-5834; Meinen, Christopher/0000-0002-8846-6002; Ackerman, Steven/0000-0002-4476-0269; Rodell, Matthew/0000-0003-0106-7437; Yamamoto-Kawai, Michiyo/0000-0002-1035-2179; Bates, John/0000-0002-8124-0406; Goni, Gustavo/0000-0001-7093-3170; Duguay, Claude/0000-0002-1044-5850; Newman, Paul A./0000-0003-1139-2508</t>
  </si>
  <si>
    <t>Directorate For Geosciences; Office of Polar Programs (OPP) [0856268] Funding Source: National Science Foundation; Grants-in-Aid for Scientific Research [23681002] Funding Source: KAKEN; Natural Environment Research Council [dml010002, noc010012, NE/J023345/1] Funding Source: researchfish; NERC [NE/J023345/1, dml010002] Funding Source: UKRI</t>
  </si>
  <si>
    <t>Directorate For Geosciences; Office of Polar Programs (OPP)(National Science Foundation (NSF)NSF - Directorate for Geosciences (GEO));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</si>
  <si>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S1</t>
  </si>
  <si>
    <t>S263</t>
  </si>
  <si>
    <t>10.1175/2012BAMSStateoftheClimate.1</t>
  </si>
  <si>
    <t>979GT</t>
  </si>
  <si>
    <t>Green Accepted, Green Submitted, Bronze, Green Published</t>
  </si>
  <si>
    <t>WOS:000306806200001</t>
  </si>
  <si>
    <t>Hunter, J</t>
  </si>
  <si>
    <t>Hunter, John</t>
  </si>
  <si>
    <t>A simple technique for estimating an allowance for uncertain sea-level rise</t>
  </si>
  <si>
    <t>CLIMATIC CHANGE</t>
  </si>
  <si>
    <t>Projections of climate change are inherently uncertain, leading to considerable debate over suitable allowances for future changes such as sea-level rise (an 'allowance' is, in this context, the amount by which something, such as the height of coastal infrastructure, needs to be altered to cope with climate change). Words such as 'plausible' and 'high-end' abound, with little objective or statistically valid support. It is firstly shown that, in cases in which extreme events are modified by an uncertain change in the average (e.g. flooding caused by a rise in mean sea level), it is preferable to base future allowances on estimates of the expected frequency of exceedances rather than on the probability of at least one exceedance. A simple method of determining a future sea-level rise allowance is then derived, based on the projected rise in mean sea level and its uncertainty, and on the variability of present tides and storm surges ('storm tides'). The method preserves the expected frequency of flooding events under a given projection of sea-level rise. It is assumed that the statistics of storm tides relative to mean sea level are unchanged. The method is demonstrated using the GESLA (Global Extreme Sea-Level Analysis) data set of roughly hourly sea levels, covering 198 sites over much of the globe. Two possible projections of sea-level rise are assumed for the 21st century: one based on the Third and Fourth Assessment Reports of the Intergovernmental Panel on Climate Change and a larger one based on research since the Fourth Assessment Report.</t>
  </si>
  <si>
    <t>Antarctic Climate &amp; Ecosyst Cooperat Res Ctr, Hobart, Tas 7001, Australia</t>
  </si>
  <si>
    <t>Antarctic Climate &amp; Ecosystems Cooperative Research Centre (ACE CRC)</t>
  </si>
  <si>
    <t>Hunter, J (corresponding author), Antarctic Climate &amp; Ecosyst Cooperat Res Ctr, Private Bag 80, Hobart, Tas 7001, Australia.</t>
  </si>
  <si>
    <t>john.hunter@utas.edu.au</t>
  </si>
  <si>
    <t>Australian Government's Cooperative Research Centres through the Antarctic Climate &amp; Ecosystems Cooperative Research Centre</t>
  </si>
  <si>
    <t>Australian Government's Cooperative Research Centres through the Antarctic Climate &amp; Ecosystems Cooperative Research Centre(Australian GovernmentDepartment of Industry, Innovation and ScienceCooperative Research Centres (CRC) Programme)</t>
  </si>
  <si>
    <t>This paper was supported by the Australian Government's Cooperative Research Centres Programme through the Antarctic Climate &amp; Ecosystems Cooperative Research Centre. Sea-level data were supplied by European Sea-Level Service, Global Sea Level Observing System (GLOSS) Delayed Mode Centre, Helpdesk Water (Netherlands), Instituto Espanol de Oceanographia (Spain), Istituto Talassografico di Trieste (Italy), Marine Environmental Data Service (Canada), National Oceanography Centre Liverpool (UK), National Tidal Centre (Bureau of Meteorology, Australia), Norwegian Mapping Authority, Service Hydroographique et Oceanographique de la Marine (France), Swedish Meteorological and Hydrological Institute and University of Hawaii Sea Level Centre (USA).</t>
  </si>
  <si>
    <t>0165-0009</t>
  </si>
  <si>
    <t>1573-1480</t>
  </si>
  <si>
    <t>Clim. Change</t>
  </si>
  <si>
    <t>10.1007/s10584-011-0332-1</t>
  </si>
  <si>
    <t>958BR</t>
  </si>
  <si>
    <t>WOS:000305211500009</t>
  </si>
  <si>
    <t>Murphy, EJ; Hofmann, EE</t>
  </si>
  <si>
    <t>Murphy, Eugene J.; Hofmann, Eileen E.</t>
  </si>
  <si>
    <t>End-to-end in Southern Ocean ecosystems</t>
  </si>
  <si>
    <t>CURRENT OPINION IN ENVIRONMENTAL SUSTAINABILITY</t>
  </si>
  <si>
    <t>ANTARCTIC MARINE ECOSYSTEM; CLIMATE-CHANGE; MANAGING FISHERIES; IRON FERTILIZATION; LAZAREV SEA; FOOD WEBS; KRILL; CONSERVATION; VARIABILITY; IMPLEMENTATION</t>
  </si>
  <si>
    <t>Southern Ocean ecosystems matter for us all because they are important in Earth System processes and contribute to food security; they are also undergoing some of the most rapid changes being seen anywhere on the planet. The changes are not uniform, with warming in some regions and cooling in others, and the ecological effects being observed in these areas also vary. These changes need to be interpreted in the context of historical changes generated by harvesting of marine mammals, fish and Antarctic krill at various times over the last two centuries. To examine the relative importance of the factors that determine ecosystem structure and functioning requires integrated analyses of whole ecosystem operation from 'end-to-end' (microbes to whales and from small (&lt;10 km) to circumpolar scales). We present a perspective that highlights the urgent need for concerted action, and that analyses of Southern Ocean ecosystems have relevance for analyses of ecosystems across the global ocean.</t>
  </si>
  <si>
    <t>[Murphy, Eugene J.] British Antarctic Survey, Cambridge CB3 0ET, England; [Hofmann, Eileen E.] Old Dominion Univ, Ctr Coastal Phys Oceanog, Norfolk, VA USA</t>
  </si>
  <si>
    <t>UK Research &amp; Innovation (UKRI); Natural Environment Research Council (NERC); NERC British Antarctic Survey; Old Dominion University</t>
  </si>
  <si>
    <t>murphy, eugene/GZL-1620-2022</t>
  </si>
  <si>
    <t>British Antarctic Survey (BAS, Natural Environment Research Council); US National Science Foundation [OCE-0814584]; NERC [bas0100025] Funding Source: UKRI; Natural Environment Research Council [bas0100025] Funding Source: researchfish; Directorate For Geosciences; Division Of Ocean Sciences [0814584] Funding Source: National Science Foundation</t>
  </si>
  <si>
    <t>British Antarctic Survey (BAS, Natural Environment Research Council); US National Science Foundation(National Science Foundation (NSF)); NERC(UK Research &amp; Innovation (UKRI)Natural Environment Research Council (NERC)); Natural Environment Research Council(UK Research &amp; Innovation (UKRI)Natural Environment Research Council (NERC)); Directorate For Geosciences; Division Of Ocean Sciences(National Science Foundation (NSF)NSF - Directorate for Geosciences (GEO))</t>
  </si>
  <si>
    <t>We thank our colleagues in BAS, ODU and the international community for many discussions on these topics and we are also grateful for the comments of Dr. Andrew Constable and an anonymous reviewer on an earlier version of this paper. Support for E Murphy was provided by the British Antarctic Survey (BAS, Natural Environment Research Council) and the paper is a contribution to the BAS Polar Science for Planet Earth Ecosystems Programme. Support for E Hofmann was provided by US National Science Foundation grant number OCE-0814584. The paper is also a contribution to the IGBP-IMBER ICED programme.</t>
  </si>
  <si>
    <t>1877-3435</t>
  </si>
  <si>
    <t>1877-3443</t>
  </si>
  <si>
    <t>CURR OPIN ENV SUST</t>
  </si>
  <si>
    <t>Curr. Opin. Environ. Sustain.</t>
  </si>
  <si>
    <t>10.1016/j.cosust.2012.05.005</t>
  </si>
  <si>
    <t>Green &amp; Sustainable Science &amp; Technology; Environmental Sciences</t>
  </si>
  <si>
    <t>Science &amp; Technology - Other Topics; Environmental Sciences &amp; Ecology</t>
  </si>
  <si>
    <t>987LR</t>
  </si>
  <si>
    <t>WOS:000307419000003</t>
  </si>
  <si>
    <t>Mendes, CRB; de Souza, MS; Garcia, VMT; Leal, MC; Brotas, V; Garcia, CAE</t>
  </si>
  <si>
    <t>Borges Mendes, Carlos Rafael; de Souza, Marcio Silva; Tavano Garcia, Virginia Maria; Leal, Miguel Costa; Brotas, Vanda; Eiras Garcia, Carlos Alberto</t>
  </si>
  <si>
    <t>Dynamics of phytoplankton communities during late summer around the tip of the Antarctic Peninsula</t>
  </si>
  <si>
    <t>Antarctic Peninsula; Phytoplankton; Pigments; HPLC; CHEMTAX</t>
  </si>
  <si>
    <t>MARGINAL ICE-ZONE; SOUTHERN-OCEAN; PHAEOCYSTIS-ANTARCTICA; CLASS ABUNDANCES; CHEMTAX ANALYSIS; CLIMATE-CHANGE; MARINE-PHYTOPLANKTON; NUTRIENT UTILIZATION; HPLC MEASUREMENTS; AUSTRAL SUMMER</t>
  </si>
  <si>
    <t>The composition and distribution of phytoplankton assemblages around the tip of the Antarctic Peninsula were studied during two summer cruises (February/March 2008 and 2009). Water samples were collected for HPLC/CHEMTAX pigment and microscopic analysis. A great spatial variability in chlorophyll a (Chl a) was observed in the study area: highest levels in the vicinity of the James Ross Island (exceeding 7 mg m(-3) in 2009), intermediate values (0.5 to 2 mg m(-3)) in the Bransfield Strait, and low concentrations in the Weddell Sea and Drake Passage (below 0.5 mg m(-3)). Phytoplankton assemblages were generally dominated by diatoms, especially at coastal stations with high Chl a concentration, where diatom contribution was above 90% of total Chl a. Nanoflagellates, such as cryptophytes and/or Phaeocystis antarctica, replaced diatoms in open-ocean areas (e.g., Weddell Sea). Many species of peridinin-lacking autotrophic dinoflagellates (e.g., Gymnodinium spp.) were also important to total Chl a biomass at well-stratified stations of Bransfield Strait. Generally, water column structure was the most important environmental factor determining phytoplankton communities' biomass and distribution. The HPLC pigment data also allowed the assessment of different physiological responses of phytoplankton to ambient light variation. The present study provides new insights about the dynamics of phytoplankton in an undersampled region of the Southern Ocean highly susceptible to global climate change. (C) 2012 Elsevier Ltd. All rights reserved.</t>
  </si>
  <si>
    <t>[Borges Mendes, Carlos Rafael; Brotas, Vanda] Univ Lisbon, Ctr Oceanog, Fac Ciencias, P-1749016 Lisbon, Portugal; [Borges Mendes, Carlos Rafael; de Souza, Marcio Silva; Tavano Garcia, Virginia Maria; Eiras Garcia, Carlos Alberto] Univ Fed Rio Grande FURG, Inst Oceanog, BR-96201900 Rio Grande, RS, Brazil; [Leal, Miguel Costa] Univ Aveiro, Dept Biol, P-3810193 Aveiro, Portugal; [Leal, Miguel Costa] Univ Aveiro, CESAM, P-3810193 Aveiro, Portugal; [Brotas, Vanda] Plymouth Marine Lab, Plymouth PL1 3DH, Devon, England</t>
  </si>
  <si>
    <t>Universidade de Lisboa; Universidade Federal do Rio Grande; Universidade de Aveiro; Universidade de Aveiro; Plymouth Marine Laboratory</t>
  </si>
  <si>
    <t>Mendes, CRB (corresponding author), Univ Lisbon, Ctr Oceanog, Fac Ciencias, P-1749016 Lisbon, Portugal.</t>
  </si>
  <si>
    <t>rmendes@fc.ul.pt</t>
  </si>
  <si>
    <t>Mendes, Carlos/AAD-6504-2021; de Souza, Márcio Silva/AAR-5757-2021; Garcia, Carlos A. E./K-7382-2012; Mendes, Carlos/GVU-7596-2022; Mendes, Carlos/I-1520-2012; Tavano, Virginia/C-5241-2013; Brotas, Vanda/A-2410-2012; Leal, Miguel/C-8611-2009</t>
  </si>
  <si>
    <t>de Souza, Márcio Silva/0000-0003-1572-9307; Mendes, Carlos/0000-0001-6875-8860; Mendes, Carlos/0000-0001-6875-8860; Tavano, Virginia/0000-0003-0039-8111; Brotas, Vanda/0000-0001-8612-4167; Leal, Miguel/0000-0003-0672-6251</t>
  </si>
  <si>
    <t>CNPq (National Council for Research and Development); FCT [SFRH/BD/36336/2007, SFRH/BD/63783/2009]; CAPES (Brazil); CNPq; NERC [pml010007] Funding Source: UKRI; Natural Environment Research Council [pml010007] Funding Source: researchfish; Fundação para a Ciência e a Tecnologia [SFRH/BD/36336/2007] Funding Source: FCT</t>
  </si>
  <si>
    <t>CNPq (National Council for Research and Development)(Conselho Nacional de Desenvolvimento Cientifico e Tecnologico (CNPQ)); FCT(Fundacao para a Ciencia e a Tecnologia (FCT)); CAPES (Brazil)(Coordenacao de Aperfeicoamento de Pessoal de Nivel Superior (CAPES)); CNPq(Conselho Nacional de Desenvolvimento Cientifico e Tecnologico (CNPQ)); NERC(UK Research &amp; Innovation (UKRI)Natural Environment Research Council (NERC)); Natural Environment Research Council(UK Research &amp; Innovation (UKRI)Natural Environment Research Council (NERC)); Fundação para a Ciência e a Tecnologia(Fundacao para a Ciencia e a Tecnologia (FCT))</t>
  </si>
  <si>
    <t>This study was conducted within the activities of the SOS-CLIMATE (Southern Ocean Studies for Understanding Climate Changes Issues) project. This is a multidisciplinary program as part of the GOAL (Group of High Latitude Oceanography) activities in the Brazilian Antarctic Program, coordinated by SECIRM. Financial support was provided by CNPq (National Council for Research and Development).; The authors thank the crew of the Brazilian Navy RV Ary Rongel and several investigators participating in the cruises for their valuable help during the collection of samples. We are grateful to Simon Wright, from the Australian Antarctic Division, for providing CHEMTAX v.1.95 and to Megan Thompson, for manuscript revision and helpful comments. C.R. Mendes and M.C. Leal were funded by a PhD grant from FCT (SFRH/BD/36336/2007 and SFRH/BD/63783/2009, respectively). A PhD fellowship from CAPES (Brazil) was granted to M.S.de Souza. V.M. Garcia and C.A. Garcia are granted with science fellowships from CNPq. We are thankful for the constructive criticism of three anonymous reviewers, which helped to improve the manuscript.</t>
  </si>
  <si>
    <t>10.1016/j.dsr.2012.03.002</t>
  </si>
  <si>
    <t>966UM</t>
  </si>
  <si>
    <t>WOS:000305862900001</t>
  </si>
  <si>
    <t>Terauds, A; Chown, SL; Morgan, F; Peat, HJ; Watts, DJ; Keys, H; Convey, P; Bergstrom, DM</t>
  </si>
  <si>
    <t>Terauds, Aleks; Chown, Steven L.; Morgan, Fraser; Peat, Helen J.; Watts, David J.; Keys, Harry; Convey, Peter; Bergstrom, Dana M.</t>
  </si>
  <si>
    <t>Conservation biogeography of the Antarctic</t>
  </si>
  <si>
    <t>DIVERSITY AND DISTRIBUTIONS</t>
  </si>
  <si>
    <t>Antarctic biodiversity; biogeographical zones; conservation planning; ice-free Antarctica; spatial ecology; sub-Antarctic biogeography</t>
  </si>
  <si>
    <t>SOUTHERN-OCEAN ISLANDS; ECOLOGICAL BIOGEOGRAPHY; BOTHROMETOPUS-HUNTLEYI; GENETIC DIVERSITY; CLIMATE-CHANGE; NEW-ZEALAND; BIODIVERSITY; TERRESTRIAL; HISTORY; DISPERSAL</t>
  </si>
  <si>
    <t>Aim To present a synthesis of past biogeographic analyses and a new approach based on spatially explicit biodiversity information for the Antarctic region to identify biologically distinct areas in need of representation in a protected area network. Location Antarctica and the sub-Antarctic. Methods We reviewed and summarized published biogeographic studies of the Antarctic. We then developed a biogeographic classification for terrestrial conservation planning in Antarctica by combining the most comprehensive source of Antarctic biodiversity data available with three spatial frameworks: (1) a 200-km grid, (2) a set of areas based on physical parameters known as the environmental domains of Antarctica and (3) expert-defined bioregions. We used these frameworks, or combinations thereof, together with multivariate techniques to identify biologically distinct areas. Results Early studies of continental Antarctica typically described broad bioregions, with the Antarctic Peninsula usually identified as biologically distinct from continental Antarctica; later studies suggested a more complex biogeography. Increasing complexity also characterizes the sub-Antarctic and marine realms, with differences among studies often attributable to the focal taxa. Using the most comprehensive terrestrial data available and by combining the groups formed by the environmental domains and expert-defined bioregions, we were able to identify 15 biologically distinct, ice-free, Antarctic Conservation Biogeographic Regions (ACBRs), encompassing the continent and close lying islands. Main conclusions Ice-free terrestrial Antarctica comprises several distinct bioregions that are not fully represented in the current Antarctic Specially Protected Area network. Biosecurity measures between these ACBRs should also be developed to prevent biotic homogenization in the region.</t>
  </si>
  <si>
    <t>[Terauds, Aleks; Watts, David J.; Bergstrom, Dana M.] Australian Antarctic Div, Dept Sustainabil Environm Water Populat &amp; Communi, Kingston, Tas 7050, Australia; [Terauds, Aleks; Chown, Steven L.; Peat, Helen J.] Univ Stellenbosch, Dept Bot &amp; Zool, Ctr Invas Biol, ZA-7602 Matieland, South Africa; [Morgan, Fraser] Landcare Res New Zealand, Auckland 1142, New Zealand; [Convey, Peter] British Antarctic Survey, Nat Environm Res Council, Cambridge CB3 0ET, England; [Keys, Harry] Dept Conservat, Turangi 3335, New Zealand</t>
  </si>
  <si>
    <t>Australian Antarctic Division; Stellenbosch University; UK Research &amp; Innovation (UKRI); Natural Environment Research Council (NERC); NERC British Antarctic Survey</t>
  </si>
  <si>
    <t>Terauds, A (corresponding author), Australian Antarctic Div, Dept Sustainabil Environm Water Populat &amp; Communi, Channel Highway, Kingston, Tas 7050, Australia.</t>
  </si>
  <si>
    <t>Aleks.Terauds@gmail.com</t>
  </si>
  <si>
    <t>Bergstrom, Dana/AAC-2837-2022; Chown, Steven/ABD-7646-2021; Convey, Peter/AAV-5728-2020; Peat, Helen J/E-9666-2015; Terauds, Aleks/A-4991-2010; Chown, Steven/H-3347-2011</t>
  </si>
  <si>
    <t>Bergstrom, Dana/0000-0001-8484-8954; Convey, Peter/0000-0001-8497-9903; Terauds, Aleks/0000-0001-7804-6648; Peat, Helen/0000-0003-2017-8597; Morgan, Fraser/0000-0002-7964-3361; Chown, Steven/0000-0001-6069-5105; Watts, David/0000-0002-0373-1971</t>
  </si>
  <si>
    <t>Scientific Committee on Antarctic Research; NERC [bas0100025] Funding Source: UKRI; Natural Environment Research Council [bas0100025] Funding Source: researchfish</t>
  </si>
  <si>
    <t>Scientific Committee on Antarctic Research; NERC(UK Research &amp; Innovation (UKRI)Natural Environment Research Council (NERC)); Natural Environment Research Council(UK Research &amp; Innovation (UKRI)Natural Environment Research Council (NERC))</t>
  </si>
  <si>
    <t>The Australian Antarctic Data Centre (AADC) provided spatial layers of ice-free Antarctica and the expert-defined bioregions and facilitated access to the ABD. Tore Pedersen constructed the expert-defined bioregions shapefile. This work would not have been possible without contributions by scientists and organizations to the ABD. Landcare Research New Zealand provided the raw physical data used in the environmental domains analyses and the environmental domains spatial layer. R-code used in the generalized dissimilarity modelling was obtained from Australian Museum Biomaps (http://www.biomaps.net.au/gdm/). Ben Raymond provided statistical advice. The Scientific Committee on Antarctic Research provided support, and this paper contributes to SCAR's 'Evolution and Biodiversity in Antarctica' research programme.</t>
  </si>
  <si>
    <t>1366-9516</t>
  </si>
  <si>
    <t>1472-4642</t>
  </si>
  <si>
    <t>DIVERS DISTRIB</t>
  </si>
  <si>
    <t>Divers. Distrib.</t>
  </si>
  <si>
    <t>10.1111/j.1472-4642.2012.00925.x</t>
  </si>
  <si>
    <t>953VQ</t>
  </si>
  <si>
    <t>WOS:000304901700008</t>
  </si>
  <si>
    <t>Mukhopadhyay, S; Ackert, RP; Pope, AE; Pollard, D; DeConto, RM</t>
  </si>
  <si>
    <t>Mukhopadhyay, Sujoy; Ackert, Robert P., Jr.; Pope, Allen E.; Pollard, David; DeConto, Robert M.</t>
  </si>
  <si>
    <t>Miocene to recent ice elevation variations from the interior of the West Antarctic ice sheet: Constraints from geologic observations, cosmogenic nuclides and ice sheet modeling</t>
  </si>
  <si>
    <t>WAIS; Pliocene; Ne-21; Be-10; exposure dating; ice sheet model</t>
  </si>
  <si>
    <t>SURFACE EXPOSURE AGES; BE-10; THICKNESS; GLACIER; HISTORY; AL-26; RATES; LAND</t>
  </si>
  <si>
    <t>Observations of long-term West Antarctic Ice Sheet (WAIS) behavior can be used to test and constrain dynamic ice sheet models. Long-term observational constraints are however, rare. Here we present the first constraints on long-term (Miocene-Holocene) WAIS elevation from the interior of the ice sheet near the WAIS divide. We use geologic observations and measurements of cosmogenic Ne-21 and Be-10 in bedrock surfaces to constrain WAIS elevation variations to &lt; 160 m above the present-day ice levels since 7 Ma, and &lt; 110 m above present-day ice levels since 5.4 Ma. The cosmogenic nuclide data indicate that bedrock surfaces 35 m above the present-day ice levels had near continuous exposure over the past 3.5 Ma, requiring average interior WAIS elevations to have been similar to, or lower than present, since the beginning of the Pliocene warm period. We use a continental ice sheet model to simulate the history of ice cover at our sampling sites and thereby compute the expected concentration of the cosmogenic nuclides. The ice sheet model indicates that during the past 5 Ma interior WAIS elevations of &gt; 65 m above present-day ice levels at the Ohio Range occur only rarely during brief ice sheet highstands, consistent with the observed cosmogenic nuclide data. Furthermore, the model's prediction that highstand elevations have increased on average since the Pliocene is in good agreement with the cosmogenic nuclide data that indicate the highest ice elevation over the past 5 Ma was reached during the highstand at 11 ka. Since the simulated cosmogenic nuclide concentrations derived from the model's ice elevation history are in good agreement with our measurements, we suggest that the model's prediction of more frequent collapsed-WAIS states and smaller WAIS volumes during the Pliocene are also correct. (C) 2012 Elsevier B.V. All rights reserved.</t>
  </si>
  <si>
    <t>[Mukhopadhyay, Sujoy; Ackert, Robert P., Jr.; Pope, Allen E.] Harvard Univ, Dept Earth &amp; Planetary Sci, Cambridge, MA 02138 USA; [Pope, Allen E.] Univ Cambridge, Scott Polar Res Inst, Cambridge CB2 1ER, England; [Pollard, David] Penn State Univ, Earth &amp; Environm Syst Inst, University Pk, PA 16802 USA; [DeConto, Robert M.] Univ Massachusetts, Dept Geosci, Amherst, MA 01003 USA</t>
  </si>
  <si>
    <t>Harvard University; University of Cambridge; Pennsylvania Commonwealth System of Higher Education (PCSHE); Pennsylvania State University; Pennsylvania State University - University Park; University of Massachusetts System; University of Massachusetts Amherst</t>
  </si>
  <si>
    <t>Mukhopadhyay, S (corresponding author), Harvard Univ, Dept Earth &amp; Planetary Sci, 20 Oxford St, Cambridge, MA 02138 USA.</t>
  </si>
  <si>
    <t>sujoy@eps.harvard.edu</t>
  </si>
  <si>
    <t>US National Foundation [ANT-0338271, ATM-0513402/0513421, ANT-034248, ANT-0424589]; Directorate For Geosciences; Division Of Ocean Sciences [1202632] Funding Source: National Science Foundation</t>
  </si>
  <si>
    <t>US National Foundation; Directorate For Geosciences; Division Of Ocean Sciences(National Science Foundation (NSF)NSF - Directorate for Geosciences (GEO))</t>
  </si>
  <si>
    <t>Logistical support for the fieldwork was provided by Raytheon Polar services, Air National Guard, and Ken Borak Air. SM and RPA specially acknowledge the help and support from Peter Braddock and Aaron Putnam during the fieldwork in the Ohio Range. This work was funded by US National Foundation grants ANT-0338271, ATM-0513402/0513421, ANT-034248, and ANT-0424589. We thank Bernard Marty and an anonymous reviewer for comments that helped to improve the manuscript.</t>
  </si>
  <si>
    <t>10.1016/j.epsl.2012.05.015</t>
  </si>
  <si>
    <t>987QI</t>
  </si>
  <si>
    <t>WOS:000307431800025</t>
  </si>
  <si>
    <t>Hindell, MA; Bradshaw, CJA; Brook, BW; Fordham, DA; Kerry, K; Hull, C; McMahon, CR</t>
  </si>
  <si>
    <t>Hindell, Mark A.; Bradshaw, Corey J. A.; Brook, Barry W.; Fordham, Damien A.; Kerry, Knowles; Hull, Cindy; McMahon, Clive R.</t>
  </si>
  <si>
    <t>Long-term breeding phenology shift in royal penguins</t>
  </si>
  <si>
    <t>ECOLOGY AND EVOLUTION</t>
  </si>
  <si>
    <t>Antarctica; egg laying date; global warming; reproduction; seabirds</t>
  </si>
  <si>
    <t>RECENT CLIMATE-CHANGE; SEA-ICE EXTENT; OCEAN CLIMATE; REPRODUCTIVE SUCCESS; ANTARCTIC PENINSULA; MACQUARIE ISLAND; EUDYPTULA-MINOR; ADELIE PENGUINS; SOUTHERN-OCEAN; LAYING DATE</t>
  </si>
  <si>
    <t>The Earth's climate is undergoing rapid warming, unprecedented in recent times, which is driving shifts in the distribution and phenology of many plants and animals. Quantifying changes in breeding phenology is important for understanding how populations respond to these changes. While data on shifts in phenology are common for Northern Hemisphere species (especially birds), there is a dearth of evidence from the Southern Hemisphere, and even fewer data available from the marine environment. Surface air temperatures at Macquarie Island have increased by 0.62 degrees C during the 30-year study period (0.21 degrees C decade(-1)) and royal penguins (Eudyptes schlegeli) commenced egg laying on average three days earlier in the 1990s than during the 1960s. This contrasts with other studies of Southern Ocean seabirds; five of nine species are now breeding on average 2.1 days later than during the 1950s. Despite the different direction of these trends, they can be explained by a single underlying mechanism: resource availability. There was a negative relationship between the Southern Annular Mode (SAM) and median laying date of royal penguins, such that low-productivity (low SAM) years delayed laying date. This accords with the observations of other seabird species from the Antarctic, where later laying dates were associated with lower sea ice and lower spring productivity. The unifying factor underpinning phenological trends in eastern Antarctica is therefore resource availability; as food becomes scarcer, birds breed later. These changes are not uniform across the region, however, with resource increases in the subantarctic and decreases in eastern Antarctica.</t>
  </si>
  <si>
    <t>[Hindell, Mark A.; McMahon, Clive R.] Univ Tasmania, Inst Marine &amp; Antarctic Studies, Hobart, Tas 7001, Australia; [Bradshaw, Corey J. A.; Brook, Barry W.; Fordham, Damien A.] Univ Adelaide, Sch Earth &amp; Environm Sci, Adelaide, SA 5005, Australia; [Bradshaw, Corey J. A.; Brook, Barry W.; Fordham, Damien A.] Univ Adelaide, Inst Environm, Adelaide, SA 5005, Australia; [Bradshaw, Corey J. A.] S Australian Res &amp; Dev Inst, Henley Beach, SA 5022, Australia; [Kerry, Knowles] Australian Antarctic Div, Kingston, Tas 7050, Australia; [Hull, Cindy] Univ Tasmania, Dept Zool, Hobart, Tas 7001, Australia; [McMahon, Clive R.] Charles Darwin Univ, Res Inst Environm &amp; Livelihoods, Darwin, NT 0909, Australia</t>
  </si>
  <si>
    <t>University of Tasmania; University of Adelaide; University of Adelaide; Australian Antarctic Division; University of Tasmania; Charles Darwin University</t>
  </si>
  <si>
    <t>Hindell, MA (corresponding author), Univ Tasmania, Inst Marine &amp; Antarctic Studies, Private Bag 129, Hobart, Tas 7001, Australia.</t>
  </si>
  <si>
    <t>mark.hindell@utas.edu.au</t>
  </si>
  <si>
    <t>McMahon, Clive R/D-5713-2013; Hindell, Mark A/K-1131-2013; Hindell, Mark A/C-8368-2013; Brook, Barry W./G-2686-2011; Bradshaw, Corey J. A./A-1311-2008; Fordham, Damien/E-9255-2013</t>
  </si>
  <si>
    <t>McMahon, Clive R/0000-0001-5241-8917; Brook, Barry W./0000-0002-2491-1517; Bradshaw, Corey J. A./0000-0002-5328-7741; Fordham, Damien/0000-0003-2137-5592; Hindell, Mark/0000-0002-7823-7185</t>
  </si>
  <si>
    <t>Australian Antarctic Science [2748]</t>
  </si>
  <si>
    <t>Australian Antarctic Science</t>
  </si>
  <si>
    <t>The study was funded by an Australian Antarctic Science Grants Scheme grant (2748) awarded to C. J. A. B., B. W. B., C. R. M., and M. A. H.</t>
  </si>
  <si>
    <t>2045-7758</t>
  </si>
  <si>
    <t>ECOL EVOL</t>
  </si>
  <si>
    <t>Ecol. Evol.</t>
  </si>
  <si>
    <t>10.1002/ece3.281</t>
  </si>
  <si>
    <t>055WK</t>
  </si>
  <si>
    <t>gold, Green Published, Green Accepted</t>
  </si>
  <si>
    <t>WOS:000312448400020</t>
  </si>
  <si>
    <t>Jurelevicius, D; Cotta, SR; Peixoto, R; Rosado, AS; Seldin, L</t>
  </si>
  <si>
    <t>Jurelevicius, Diogo; Cotta, Simone Raposo; Peixoto, Raquel; Rosado, Alexandre Soares; Seldin, Lucy</t>
  </si>
  <si>
    <t>Distribution of alkane-degrading bacterial communities in soils from King George Island, Maritime Antarctic</t>
  </si>
  <si>
    <t>EUROPEAN JOURNAL OF SOIL BIOLOGY</t>
  </si>
  <si>
    <t>Maritime Antarctic; Alkane-degrading bacteria; Alkane monooxygenase; Bioremediation</t>
  </si>
  <si>
    <t>DIESEL FUEL; GENES; BIOREMEDIATION; CONTAMINATION; DEGRADATION; DIVERSITY; BIOSTIMULATION; HYDROXYLASES; ASSEMBLAGES</t>
  </si>
  <si>
    <t>The structure of alkane-degrading bacterial communities, which are present in both the hydrocarbon-polluted and pristine soils of King George Island in Maritime Antarctic, was studied using molecular methods. Polymerase Chain Reaction (PCR) amplifications of the alkane monooxygenase AlkB-coding genes, followed by Restriction Fragment Length Polymorphism (PCR-RFLP) and Denaturing Gradient Gel Electrophoresis (PCR-DGGE) analyses, revealed the widespread presence and complex diversity of alkane-utilizing bacteria in these soils. The resulting dendrograms and Canonical Correspondence Analyses (CCA) of PCR-RFLP and PCR-DGGE patterns showed that the characteristics of the different soils, such as physicochemical properties, soil type and/or hydrocarbon contamination levels, affect the distribution of alkane-degrading bacteria. Sequencing of 20 DGGE bands revealed the presence in Antarctic soils of alkane monooxygenases with low similarity (61-91%) compared to those previously described in Gram-positive bacteria, such as Mycobacterium, Gordonia, Rhodococcus and Aeromicrobium. The high diversity of alkB genes in the soils of King George Island suggests the potential for oil pollutant degradation. (C) 2012 Elsevier Masson SAS. All rights reserved.</t>
  </si>
  <si>
    <t>[Seldin, Lucy] Univ Fed Rio de Janeiro, Dept Microbiol Geral, Lab Genet Microbiana, IMPPG,Ctr Ciencias Saude,Ilha Fundao, BR-21941590 Rio De Janeiro, Brazil; [Peixoto, Raquel; Rosado, Alexandre Soares] Univ Fed Rio de Janeiro, Inst Microbiol Prof Paulo de Goes, Lab Ecol Mol Microbiana, BR-21941590 Rio De Janeiro, Brazil</t>
  </si>
  <si>
    <t>Universidade Federal do Rio de Janeiro; Universidade Federal do Rio de Janeiro</t>
  </si>
  <si>
    <t>Seldin, L (corresponding author), Univ Fed Rio de Janeiro, Dept Microbiol Geral, Lab Genet Microbiana, IMPPG,Ctr Ciencias Saude,Ilha Fundao, Bloco 1, BR-21941590 Rio De Janeiro, Brazil.</t>
  </si>
  <si>
    <t>lseldin@micro.ufrj.br</t>
  </si>
  <si>
    <t>Jurelevicius, Diogo A/I-8235-2014; Seldin, Lucy/S-2530-2019; Seldin, Lucy/H-9310-2012; Raposo Cotta, Simone/L-2157-2013; Peixoto, Raquel/V-2554-2019; Rosado, Alexandre Soares/G-1955-2012</t>
  </si>
  <si>
    <t>Seldin, Lucy/0000-0002-4992-6395; Seldin, Lucy/0000-0002-4992-6395; Raposo Cotta, Simone/0000-0001-9498-1070; Rosado, Alexandre Soares/0000-0001-5135-1394; Peixoto, Raquel/0000-0002-9536-3132</t>
  </si>
  <si>
    <t>National Research Council of Brazil (CNPq); CAPES; FAPERJ; Brazilian Antarctic Program, PROANTAR, as part of the IPY Activity [403, 520194/2006-3]</t>
  </si>
  <si>
    <t>National Research Council of Brazil (CNPq)(Conselho Nacional de Desenvolvimento Cientifico e Tecnologico (CNPQ)); CAPES(Coordenacao de Aperfeicoamento de Pessoal de Nivel Superior (CAPES)); FAPERJ(Fundacao Carlos Chagas Filho de Amparo a Pesquisa do Estado do Rio De Janeiro (FAPERJ)); Brazilian Antarctic Program, PROANTAR, as part of the IPY Activity</t>
  </si>
  <si>
    <t>This study was supported by grants from the National Research Council of Brazil (CNPq), CAPES, FAPERJ and received financial and logistic support from the Brazilian Antarctic Program, PROANTAR, as part of the IPY Activity no. 403 'MIDIAPI Microbial Diversity of Terrestrial and Maritime ecosystems in Antarctic Peninsula' (520194/2006-3).</t>
  </si>
  <si>
    <t>1164-5563</t>
  </si>
  <si>
    <t>1778-3615</t>
  </si>
  <si>
    <t>EUR J SOIL BIOL</t>
  </si>
  <si>
    <t>Eur. J. Soil Biol.</t>
  </si>
  <si>
    <t>10.1016/j.ejsobi.2012.03.006</t>
  </si>
  <si>
    <t>Ecology; Soil Science</t>
  </si>
  <si>
    <t>Environmental Sciences &amp; Ecology; Agriculture</t>
  </si>
  <si>
    <t>963CN</t>
  </si>
  <si>
    <t>WOS:000305597800006</t>
  </si>
  <si>
    <t>Tojo, M; Van West, P; Hoshino, T; Kida, K; Fujii, H; Hakoda, A; Kawaguchi, Y; Mühlhauser, HA; Van den Berg, AH; Küpper, FC; Herrero, ML; Klemsdal, SS; Tronsmo, AM; Kanda, H</t>
  </si>
  <si>
    <t>Tojo, Motoaki; Van West, Pieter; Hoshino, Tamotsu; Kida, Kenichi; Fujii, Hirokazu; Hakoda, Akiho; Kawaguchi, Yuki; Muehlhauser, Hermann A.; Van den Berg, Albert H.; Kuepper, Frithjof C.; Herrero, Maria L.; Klemsdal, Sonja S.; Tronsmo, Anne Marte; Kanda, Hiroshi</t>
  </si>
  <si>
    <t>Pythium polare, a new heterothallic oomycete causing brown discolouration of Sanionia uncinata in the Arctic and Antarctic</t>
  </si>
  <si>
    <t>FUNGAL BIOLOGY</t>
  </si>
  <si>
    <t>Bipolar distribution; Moss; Oomycete; Plant pathogen; Pythium polare; Sanionia uncinata</t>
  </si>
  <si>
    <t>SPITSBERGEN; REGION; ISLAND; MOSS</t>
  </si>
  <si>
    <t>Pythium polare sp. nov. is a new heterothallic oomycete species isolated from fresh water and moss from various locations in both the Arctic and Antarctic. This water mould is able to infect stems and leaves of Sanionia moss (Sanionia uncinata). Pythium polare causes brown discolouration in in vitro inoculation tests at 5 degrees C after 5 weeks of inoculation. It is characterized by globose sporangia with various lengths of discharge tubes releasing zoo-spores and aplerotic oospores with usually one to five antheridia. The sexual structures are only produced in a dual culture of antheridial and oogonial isolates. Phylogenetic analysis, based on ITS sequencing, places all isolated strains of P. polare in a unique new clade, hence it is considered a novel species. Pythium canariense and Pythium violae are the most closely related species of P. polare based both on morphology and the phylogenetic analysis. (C) 2012 The British Mycological Society. Published by Elsevier Ltd. All rights reserved.</t>
  </si>
  <si>
    <t>[Tojo, Motoaki; Kida, Kenichi; Fujii, Hirokazu; Hakoda, Akiho; Kawaguchi, Yuki] Osaka Prefecture Univ, Grad Sch Life &amp; Environm Sci, Sakai, Osaka 5998531, Japan; [Van West, Pieter; Van den Berg, Albert H.] Univ Aberdeen, Inst Med Sci, Aberdeen Oomycete Lab, Aberdeen AB25 2ZD, Scotland; [Hoshino, Tamotsu] Natl Inst Adv Ind Sci &amp; Technol, Res Inst Genome Based Biofactory, Sapporo, Hokkaido, Japan; [Muehlhauser, Hermann A.] Cent Univ Chile, Santiago, Chile; [Kuepper, Frithjof C.] Scottish Assoc Marine Sci, Oban PA37 1QA, Argyll, Scotland; [Herrero, Maria L.; Klemsdal, Sonja S.; Tronsmo, Anne Marte] Norwegian Univ Life Sci, Dept Plant &amp; Entomol Sci, As, Norway; [Kanda, Hiroshi] Natl Inst Polar Res, Dept Biol, Tokyo, Japan</t>
  </si>
  <si>
    <t>Osaka Metropolitan University; University of Aberdeen; National Institute of Advanced Industrial Science &amp; Technology (AIST); Universidad Central de Chile; UHI Millennium Institute; Norwegian University of Life Sciences; Research Organization of Information &amp; Systems (ROIS); National Institute of Polar Research (NIPR) - Japan</t>
  </si>
  <si>
    <t>Hoshino, Tamotsu/F-3357-2017; HOSHINO, Tamotsu/R-2959-2019</t>
  </si>
  <si>
    <t>Kuepper, Frithjof/0000-0003-1273-7109; van West, Pieter/0000-0002-0767-6017</t>
  </si>
  <si>
    <t>Japan Society for the Promotion of Science [19510033, 23510032, 23247012]; Natural Environment Research Council (NERC) via the SOFI initiative [NE/F012705/1]; University of Aberdeen; Total Foundation; NERC [dml011002] Funding Source: UKRI; Natural Environment Research Council [dml011002] Funding Source: researchfish; Grants-in-Aid for Scientific Research [23510032, 19510033, 23247012] Funding Source: KAKEN</t>
  </si>
  <si>
    <t>Japan Society for the Promotion of Science(Ministry of Education, Culture, Sports, Science and Technology, Japan (MEXT)Japan Society for the Promotion of Science); Natural Environment Research Council (NERC) via the SOFI initiative(UK Research &amp; Innovation (UKRI)Natural Environment Research Council (NERC)); University of Aberdeen; Total Foundation(Total SA);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</si>
  <si>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This study was supported from the Japan Society for the Promotion of Science by the grant-in-aid for scientific research Nos. 19510033, 23510032, and 23247012 (MT) the Natural Environment Research Council (NERC) via the SOFI initiative (award NE/F012705/1) (PvW), the University of Aberdeen (HvdB) and the Total Foundation (PvW, FCK).</t>
  </si>
  <si>
    <t>1878-6146</t>
  </si>
  <si>
    <t>1878-6162</t>
  </si>
  <si>
    <t>FUNGAL BIOL-UK</t>
  </si>
  <si>
    <t>Fungal Biol.</t>
  </si>
  <si>
    <t>10.1016/j.funbio.2012.04.005</t>
  </si>
  <si>
    <t>979LY</t>
  </si>
  <si>
    <t>WOS:000306822700003</t>
  </si>
  <si>
    <t>Chong, CW; Pearce, DA; Convey, P; Yew, WC; Tan, IKP</t>
  </si>
  <si>
    <t>Chong, C. W.; Pearce, D. A.; Convey, P.; Yew, W. C.; Tan, I. K. P.</t>
  </si>
  <si>
    <t>Patterns in the distribution of soil bacterial 16S rRNA gene sequences from different regions of Antarctica</t>
  </si>
  <si>
    <t>Biogeography; Antarctic soil bacteria; Taxonomic distribution; 16S rRNA gene</t>
  </si>
  <si>
    <t>ROSS SEA REGION; MICROBIAL DIVERSITY; COMMUNITY STRUCTURE; PROKARYOTIC DIVERSITY; LATITUDINAL GRADIENT; CASEY-STATION; VICTORIA LAND; DRY VALLEYS; BIODIVERSITY; BIOGEOGRAPHY</t>
  </si>
  <si>
    <t>Since the advent of 16S rRNA gene-based molecular analysis, an increasing amount of work has been conducted on the Antarctic soil bacterial community. The majority of such studies suggest that the Antarctic soil environment may harbour a greater diversity of bacteria than was previously thought, and indeed that a proportion of the bacterial species found might be unique to the Antarctic. However, few have looked at the distribution of soil sequence types from different biogeographic regions of the continent. Here, we assess the taxonomic distribution of soil bacteria from different regions and latitudes in Antarctica by integrating 16S rRNA gene sequence information from 13 independent studies that, together, obtained samples from 35 locations ranging from 51 degrees S to 78 degrees S. The majority of these formed a transect across the continent, representing most of the ice-free regions of the Antarctic Peninsula and Scott Sector. Using detailed phylogenetic analysis, we found that most of the Antarctic soil environments contained a narrow range of bacterial species when compared to the overall number of sequences available. Further, patterns in the taxonomic distribution of Antarctic soil bacterial communities were significantly correlated to both the underlying soil parameters and geographic (regional) origins. (C) 2012 Elsevier B.V. All rights reserved.</t>
  </si>
  <si>
    <t>[Chong, C. W.; Tan, I. K. P.] Univ Malaya, Natl Antarctic Res Ctr, Kuala Lumpur 50603, Malaysia; [Pearce, D. A.; Convey, P.] British Antarctic Survey, NERC, Cambridge CB3 0ET, England; [Yew, W. C.; Tan, I. K. P.] Univ Malaya, Fac Sci, Inst Biol Sci, Kuala Lumpur 50603, Malaysia</t>
  </si>
  <si>
    <t>Universiti Malaya; UK Research &amp; Innovation (UKRI); Natural Environment Research Council (NERC); NERC British Antarctic Survey; Universiti Malaya</t>
  </si>
  <si>
    <t>Chong, CW (corresponding author), Univ Malaya, Natl Antarctic Res Ctr, Kuala Lumpur 50603, Malaysia.</t>
  </si>
  <si>
    <t>cchhoonngg81@yahoo.com</t>
  </si>
  <si>
    <t>Tan, Irene Kit Ping/B-8661-2010; Convey, Peter/AAV-5728-2020; Chong, Chun Wie/ABG-7676-2020</t>
  </si>
  <si>
    <t>Tan, Irene Kit Ping/0000-0001-9601-5810; Convey, Peter/0000-0001-8497-9903; Chong, Chun Wie/0000-0002-6881-8883; Pearce, David/0000-0001-5292-4596</t>
  </si>
  <si>
    <t>National Antarctic Research Center, University of Malaya; NERC [bas0100025] Funding Source: UKRI; Natural Environment Research Council [bas0100025] Funding Source: researchfish</t>
  </si>
  <si>
    <t>National Antarctic Research Center, University of Malaya; NERC(UK Research &amp; Innovation (UKRI)Natural Environment Research Council (NERC)); Natural Environment Research Council(UK Research &amp; Innovation (UKRI)Natural Environment Research Council (NERC))</t>
  </si>
  <si>
    <t>The authors would like to acknowledge Dr. Katrin Zwirglmaier for advice on the ARB software. We thank two anonymous reviewers for constructive and helpful comments. This work is supported by the National Antarctic Research Center, University of Malaya, and also contributes to the British Antarctic Survey's 'Polar Science for Planet Earth' and the Scientific Committee on Antarctic Research's 'Evolution and Biodiversity in Antarctica' research programmes.</t>
  </si>
  <si>
    <t>10.1016/j.geoderma.2012.02.017</t>
  </si>
  <si>
    <t>941JC</t>
  </si>
  <si>
    <t>WOS:000303958500006</t>
  </si>
  <si>
    <t>Bradshaw, JD; Vaughan, APM; Millar, IL; Flowerdew, MJ; Trouw, RAJ; Fanning, CM; Whitehouse, MJ</t>
  </si>
  <si>
    <t>Bradshaw, John D.; Vaughan, Alan P. M.; Millar, Ian L.; Flowerdew, Michael J.; Trouw, Rudolph A. J.; Fanning, C. Mark; Whitehouse, Martin J.</t>
  </si>
  <si>
    <t>Permo-Carboniferous conglomerates in the Trinity Peninsula Group at View Point, Antarctic Peninsula: sedimentology, geochronology and isotope evidence for provenance and tectonic setting in Gondwana</t>
  </si>
  <si>
    <t>geochronology; Pacific margin; sedimentation; glaciation; zircon; Hf</t>
  </si>
  <si>
    <t>SOUTH ORKNEY ISLANDS; U-PB GEOCHRONOLOGY; HF-ISOTOPE; PACIFIC MARGIN; METAMORPHIC COMPLEXES; TORLESSE TERRANE; ZIRCON AGES; NEW-ZEALAND; ROCKS; EVOLUTION</t>
  </si>
  <si>
    <t>Field observations from the Trinity Peninsula Group at View Point on the Antarctic Peninsula indicate that thick, southward-younging and overturned clastic sedimentary rocks, comprising unusually coarse conglomeratic lenses within a succession of fine-grained sandstone-mudstone couplets, are the deposits of debris and turbidity flows on or at the foot of a submarine slope. Three detrital zircons from the sandstone-mudstone couplets date deposition at 302 +/- 3 Ma, at or shortly after the Carboniferous-Permian boundary. Conglomerates predominantly consist of quartzite and granite and contain boulders exceeding 500 mm in diameter. Zircons from granitoid clasts and a silicic volcanic clast yield U-Pb ages of 466 +/- 3 Ma, 373 +/- 5 Ma and 487 +/- 4 Ma, respectively and have corresponding average epsilon Hf-t values between +0.3 and +7.6. A quartzite clast, conglomerate matrix and sandstone interbedded with the conglomerate units have broadly similar detrital zircon age distributions and Hf isotope compositions. The clast and detrital zircon ages match well with sources within Patagonia; however, the age of one granite clast and the epsilon Hf characteristics of some detrital zircons point to a lesser South Africa or Ellsworth Mountain-like contribution, and the quartzite and granite-dominated composition of the conglomerates is similar to upper Palaeozoic diamictites in the Ellsworth Mountains. Unlike detrital zircons, large conglomerate clasts limit possible transport distance, and suggest sedimentation took place on or near the edge of continental crust. Comparison with other upper Palaeozoic to Mesozoic sediments in the Antarctic Peninsula and Patagonia, including detrital zircon composition and the style of deformation, suggests deposition of the Trinity Peninsula Group in an upper plate basin on an active margin, rather than a subduction-related accretionary setting, with slow extension and rifting punctuated by short periods of compression.</t>
  </si>
  <si>
    <t>[Bradshaw, John D.] Univ Canterbury, Dept Geol Sci, Christchurch 8140, New Zealand; [Vaughan, Alan P. M.; Flowerdew, Michael J.] British Antarctic Survey, Cambridge CB3 0ET, England; [Millar, Ian L.] British Geol Survey, Kingsley Dunham Ctr, NIGL, Keyworth NG12 5GG, Notts, England; [Trouw, Rudolph A. J.] Univ Fed Rio de Janeiro, Dept Geol, BR-21946916 Rio De Janeiro, Brazil; [Fanning, C. Mark] Australian Natl Univ, Res Sch Earth Sci, PRISE, Canberra, ACT 0201, Australia; [Whitehouse, Martin J.] Swedish Museum Nat Hist, S-10405 Stockholm, Sweden</t>
  </si>
  <si>
    <t>University of Canterbury; UK Research &amp; Innovation (UKRI); Natural Environment Research Council (NERC); NERC British Antarctic Survey; UK Research &amp; Innovation (UKRI); Natural Environment Research Council (NERC); NERC British Geological Survey; Universidade Federal do Rio de Janeiro; Australian National University; Swedish Museum of Natural History</t>
  </si>
  <si>
    <t>Bradshaw, JD (corresponding author), Univ Canterbury, Dept Geol Sci, PB 4800, Christchurch 8140, New Zealand.</t>
  </si>
  <si>
    <t>john.bradshaw@canterbury.ac.nz</t>
  </si>
  <si>
    <t>Millar, Ian L/F-1541-2010; Vaughan, Alan PM/B-7829-2010; Whitehouse, Martin/E-1425-2013; Fanning, Christopher Mark/I-6449-2016</t>
  </si>
  <si>
    <t>Vervoort, Jeff/0000-0002-1138-4527; Flowerdew, Michael/0000-0002-9710-2593; Whitehouse, Martin/0000-0003-2227-577X; Fanning, Christopher Mark/0000-0003-3331-3145</t>
  </si>
  <si>
    <t>Natural Environment Research Council [bas0100026, nigl010001] Funding Source: researchfish; NERC [bas0100026, nigl010001] Funding Source: UKRI</t>
  </si>
  <si>
    <t>1469-5081</t>
  </si>
  <si>
    <t>10.1017/S001675681100080X</t>
  </si>
  <si>
    <t>952XK</t>
  </si>
  <si>
    <t>WOS:000304828900005</t>
  </si>
  <si>
    <t>Weigelt, E; Uenzelmann-Neben, G; Gohl, K; Larter, RD</t>
  </si>
  <si>
    <t>Weigelt, Estella; Uenzelmann-Neben, Gabriele; Gohl, Karsten; Larter, Robert D.</t>
  </si>
  <si>
    <t>Did massive glacial dewatering modify sedimentary structures on the Amundsen Sea Embayment shelf, West Antarctica?</t>
  </si>
  <si>
    <t>West Antarctic Ice Sheet; Amundsen Sea; seismic reflection; reflection-poor; dewatering; mud-diapir</t>
  </si>
  <si>
    <t>PINE ISLAND BAY; BOTTOM SIMULATING REFLECTOR; GULF-OF-MEXICO; ICE-SHEET; BELLINGSHAUSEN SEA; SEISMIC EXPRESSION; CONTINENTAL-MARGIN; BIOGENIC SILICA; SLOPE; RETREAT</t>
  </si>
  <si>
    <t>Multichannel seismic reflection lines collected in the western Amundsen Sea Embayment (ASE) provide an insight into the sedimentary cover on the shelf, which documents glacial processes. Numerous columnar, reflection-poor structures penetrating the sedimentary sequences on the middle shelf form the focus of this study. The features range between 50 and 500 m in width, and from a few metres up to 500 m in height. The columns originate and end at different depths, but do not seem to penetrate to the seafloor. They show well-defined vertical boundaries, and reflection signals can be identified below them. Hence, we exclude gas-bearing chimneys. Based on the general seismic reflection characteristics we suggest that the columns originate from dewatering processes which occur close to glaciated areas where fluids are pressed out of rapidly loaded sediments. Likely several mud-diapirs rise from water-rich mud layers within a mixed sedimentary succession and penetrate overlying denser and coarse-grained sediment strata. The presence of fluid-escape veins indicates a glacial origin and overprinting of the older sedimentary sequences on the ASE. The locations of the structures indicate that grounded ice sheets reached at least onto the middle shelf during former glacial periods. (C) 2012 Elsevier B.V. All rights reserved.</t>
  </si>
  <si>
    <t>[Weigelt, Estella; Uenzelmann-Neben, Gabriele; Gohl, Karsten] Alfred Wegener Inst Polar &amp; Marine Res, D-27515 Bremerhaven, Germany; [Larter, Robert D.] British Antarctic Survey, Cambridge CB3 0ET, England</t>
  </si>
  <si>
    <t>Helmholtz Association; Alfred Wegener Institute, Helmholtz Centre for Polar &amp; Marine Research; UK Research &amp; Innovation (UKRI); Natural Environment Research Council (NERC); NERC British Antarctic Survey</t>
  </si>
  <si>
    <t>Weigelt, E (corresponding author), Alfred Wegener Inst Polar &amp; Marine Res, Postfach 120161, D-27515 Bremerhaven, Germany.</t>
  </si>
  <si>
    <t>estella.weigelt@awi.de</t>
  </si>
  <si>
    <t>Uenzelmann-Neben, Gabriele/AAI-8618-2020</t>
  </si>
  <si>
    <t>Uenzelmann-Neben, Gabriele/0000-0002-0115-5923; Larter, Robert/0000-0002-8414-7389; Gohl, Karsten/0000-0002-9558-2116</t>
  </si>
  <si>
    <t>The Deutsche Forschungsgemeinschaft (DFG) [Go724/9]; Natural Environment Research Council [bas0100027] Funding Source: researchfish; NERC [bas0100027] Funding Source: UKRI</t>
  </si>
  <si>
    <t>The Deutsche Forschungsgemeinschaft (DFG)(German Research Foundation (DFG)); Natural Environment Research Council(UK Research &amp; Innovation (UKRI)Natural Environment Research Council (NERC)); NERC(UK Research &amp; Innovation (UKRI)Natural Environment Research Council (NERC))</t>
  </si>
  <si>
    <t>We are grateful for the excellent support of Captain Pahl and his crew of RV Polarstern cruise ANT-XXIII/4. We thank G. Kuhn for providing para-sound data, and J.B. Anderson and J. Wellner for providing single-channel seismic lines. F. Niessen helped with discussions on water loaded sediments and mud diapirs on glacial shelves. We thank three anonymous reviewers for their constructive comments and helpful suggestions. The Deutsche Forschungsgemeinschaft (DFG) provided funds for this research under contract number Go724/9. This is a contribution to the AWI research program PACES Topic 3 Workpackage 2.</t>
  </si>
  <si>
    <t>10.1016/j.gloplacha.2012.04.006</t>
  </si>
  <si>
    <t>982GM</t>
  </si>
  <si>
    <t>WOS:000307031000002</t>
  </si>
  <si>
    <t>Saunders, KM; Kamenik, C; Hodgson, DA; Hunziker, S; Siffert, L; Fischer, D; Fujak, M; Gibson, JAE; Grosjean, M</t>
  </si>
  <si>
    <t>Saunders, K. M.; Kamenik, C.; Hodgson, D. A.; Hunziker, S.; Siffert, L.; Fischer, D.; Fujak, M.; Gibson, J. A. E.; Grosjean, M.</t>
  </si>
  <si>
    <t>Late Holocene changes in precipitation in northwest Tasmania and their potential links to shifts in the Southern Hemisphere westerly winds</t>
  </si>
  <si>
    <t>Lake sediments; Climate change; Australia; Reflectance spectroscopy; Westerly winds</t>
  </si>
  <si>
    <t>TEMPERATURE RECONSTRUCTION; RAINFALL VARIABILITY; CLIMATE VARIABILITY; VARVED SEDIMENTS; LAKE-SEDIMENTS; CHILE; PALEOCLIMATE; RECORD; CALIBRATION; VEGETATION</t>
  </si>
  <si>
    <t>Accurate projections of future climate changes in regions susceptible to drought depend on a good understanding of past climate changes and the processes driving them. In the absence of longer term instrumental data, paleoclimate data are needed. In this study we develop a precipitation reconstruction for Rebecca lagoon (41 degrees 11'S, 144 degrees 41'E), northwest Tasmania. First, the relationship between scanning reflectance spectroscopy measurements of sediment cores in the visible spectrum (380-730 nm) and instrumental precipitation record (1912-2009) was used to develop a model to reconstruct precipitation back in time. Results showed that the ratio of reflectance between 660 and 670 nm ( i.e., reflectance at 660 nm/reflectance at 670 nm; a measure of pigment diagenesis) was significantly related to annual precipitation. A calibration model was developed (R = -0.56, P-auto&lt;0.001, RMSEP = 43.0 mm yr(-1), 5 year triangular filtered data, calibration period 1912-2009). Second, this calibration-in-time model was used to reconstruct late Holocene precipitation changes over the last similar to 3000 years. This showed relatively dry conditions from ca. 3100-2800 cal yr BP, wet conditions from ca. 2800-2400 cal yr BP, dry conditions from ca. 2400-2000 calyr BP, and variable conditions after this. Relatively wet conditions occurred from ca. 500 cal yr BP to the late AD 1800 s (ca. 50 cal. yr BP). The precipitation reconstruction indicates that conditions were relatively dry for the 20th century compared to the last similar to 3000 years. In particular, the dry period measured in recent decades is one of the most intense in at least the last 500 years. As precipitation in this region is primarily driven by the Southern Hemisphere westerly winds, these changes are discussed in terms of shifts in westerly wind strength and/or position. (C) 2012 Elsevier B.V. All rights reserved.</t>
  </si>
  <si>
    <t>[Saunders, K. M.; Kamenik, C.; Hunziker, S.; Siffert, L.; Fischer, D.; Grosjean, M.] Univ Bern, Inst Geog, CH-3012 Bern, Switzerland; [Saunders, K. M.; Kamenik, C.; Hunziker, S.; Siffert, L.; Fischer, D.; Grosjean, M.] Univ Bern, Oeschger Ctr Climate Change Res, CH-3012 Bern, Switzerland; [Saunders, K. M.; Gibson, J. A. E.] Univ Tasmania, Inst Marine &amp; Antarctic Studies, Hobart, Tas 7000, Australia; [Hodgson, D. A.] British Antarctic Survey, NERC, Cambridge CB3 0ET, England; [Fujak, M.] EAWAG, CH-8600 Dubendorf, Switzerland</t>
  </si>
  <si>
    <t>University of Bern; University of Bern; University of Tasmania; UK Research &amp; Innovation (UKRI); Natural Environment Research Council (NERC); NERC British Antarctic Survey; Swiss Federal Institutes of Technology Domain; Swiss Federal Institute of Aquatic Science &amp; Technology (EAWAG)</t>
  </si>
  <si>
    <t>Saunders, KM (corresponding author), Univ Bern, Inst Geog, Erlachstr 9a,Trakt 3, CH-3012 Bern, Switzerland.</t>
  </si>
  <si>
    <t>krystyna.saunders@giub.unibe.ch</t>
  </si>
  <si>
    <t>Hunziker, Stefan/G-5696-2019; Saunders, Krystyna/G-1368-2019</t>
  </si>
  <si>
    <t>Hunziker, Stefan/0000-0001-6900-5684; Saunders, Krystyna/0000-0002-6800-2630</t>
  </si>
  <si>
    <t>Marie Curie International Incoming Fellowship [TASCLIM PIIF-GA-2009-237001]; NERC [bas0100024] Funding Source: UKRI; Natural Environment Research Council [bas0100024] Funding Source: researchfish</t>
  </si>
  <si>
    <t>Marie Curie International Incoming Fellowship(European Union (EU)); NERC(UK Research &amp; Innovation (UKRI)Natural Environment Research Council (NERC)); Natural Environment Research Council(UK Research &amp; Innovation (UKRI)Natural Environment Research Council (NERC))</t>
  </si>
  <si>
    <t>This study was funded by a Marie Curie International Incoming Fellowship (TASCLIM PIIF-GA-2009-237001) awarded to K. Saunders. We would like to thank Tim Trevaskis and Anthony O'Hern for field assistance; Robb Clifton for field equipment; Michael Grose for supplying the CSIRO AWAP meteorological data; Julie Elbert for supplying the precipitation reconstruction for Lago Plomo in Fig. 5; Rixt de Jong, Louise Newman and Joelle Gergis for discussions; Andrew Wakefield for geological assistance; Lucien von Gunten and Jennifer Harrison for 210Pb advice; and Katarzyna Dziegielewska for proof reading the manuscript. This paper contributes to the Past Global Changes (PAGES) Australasia2k network.</t>
  </si>
  <si>
    <t>10.1016/j.gloplacha.2012.04.005</t>
  </si>
  <si>
    <t>WOS:000307031000009</t>
  </si>
  <si>
    <t>Fietz, S; Huguet, C; Bendle, J; Escala, M; Gallacher, C; Herfort, L; Jamieson, R; Martínez-Garcia, A; McClymont, EL; Peck, VL; Prahl, FG; Rossi, S; Rueda, G; Sanson-Barrera, A; Rosell-Melé, A</t>
  </si>
  <si>
    <t>Fietz, Susanne; Huguet, Carme; Bendle, James; Escala, Marina; Gallacher, Christopher; Herfort, Lydie; Jamieson, Robert; Martinez-Garcia, Alfredo; McClymont, Erin L.; Peck, Vicky L.; Prahl, Fredrick G.; Rossi, Sergio; Rueda, Gemma; Sanson-Barrera, Anna; Rosell-Mele, Antoni</t>
  </si>
  <si>
    <t>Co-variation of crenarchaeol and branched GDGTs in globally-distributed marine and freshwater sedimentary archives</t>
  </si>
  <si>
    <t>Archaea; branched GDGTs; crenarchaeol; in situ production; isoprenoid GDGTs; lakes; oceans</t>
  </si>
  <si>
    <t>ISOPRENOID TETRAETHER LIPIDS; TERRESTRIAL ORGANIC-MATTER; LAKE BAIKAL; MEMBRANE-LIPIDS; SELECTIVE PRESERVATION; ENVIRONMENTAL CONTROLS; SURFACE SEDIMENTS; CLIMATE-CHANGE; ARCTIC-OCEAN; BIT INDEX</t>
  </si>
  <si>
    <t>Two major types of glycerol dialkyl glycerol tetraethers (GDGTs) are commonly used in paleoecological and paleoclimatological reconstructions: isoprenoidal and branched GDGTs. In aquatic environments, it was originally assumed that isoprenoidal GDGTs, especially crenarchaeol, derive mainly from aquatic Thaumarchaeota, while branched GDGTs are an allochthonous input derived from soil Bacteria. Recently, direct co-variation of crenarchaeol and branched GDGTs has been described in two marine sedimentary records, and this observation suggests that in situ production of branched GDGTs is possible at least in some aquatic environments. After investigating 30 published and unpublished data sets from downcore and surface sediments as well as sediment traps from 19 distinct regions around the world, we found a widespread significant correlation between concentrations of branched GDCTs and crenarchaeol (p&lt;0.01; r(2) = 0.57-0.99), even when normalized against TOC, where available. These data sets include freshwater and marine environments with varying distances from the shore, varying redox conditions and different terrestrial matter input pathways. Our findings from this large-scale data set suggest that a common or mixed source for both GDGT types is actually commonplace in lacustrine and marine settings. (C) 2012 Elsevier B.V. All rights reserved.</t>
  </si>
  <si>
    <t>[Fietz, Susanne; Huguet, Carme; Escala, Marina; Martinez-Garcia, Alfredo; Rossi, Sergio; Rueda, Gemma; Sanson-Barrera, Anna; Rosell-Mele, Antoni] UAB, ICTA, Cerdanyola Del Valles 08193, Catalonia, Spain; [Bendle, James; Gallacher, Christopher; Jamieson, Robert] Univ Glasgow, Glasgow Mol Organ Geochem Lab, Glasgow G12 8QQ, Lanark, Scotland; [Herfort, Lydie] Royal Netherlands Inst Sea Res NIOZ, Dept Marine Organ Biogeochem, NL-1790 Den Burg, Netherlands; [McClymont, Erin L.] Newcastle Univ, Sch Geog Polit &amp; Sociol, Newcastle Upon Tyne NE1 7RU, Tyne &amp; Wear, England; [Peck, Vicky L.] British Antarctic Survey, Cambridge CB3 0ET, England; [Prahl, Fredrick G.] Oregon State Univ, Coll Ocean &amp; Atmospher Sci, Corvallis, OR 97331 USA; [Rosell-Mele, Antoni] Passeig Lluis Co, ICREA, Barcelona 08010, Catalonia, Spain</t>
  </si>
  <si>
    <t>Autonomous University of Barcelona; University of Glasgow; Utrecht University; Royal Netherlands Institute for Sea Research (NIOZ); Newcastle University - UK; UK Research &amp; Innovation (UKRI); Natural Environment Research Council (NERC); NERC British Antarctic Survey; Oregon State University; ICREA</t>
  </si>
  <si>
    <t>Fietz, S (corresponding author), UAB, ICTA, Campus UAB, Cerdanyola Del Valles 08193, Catalonia, Spain.</t>
  </si>
  <si>
    <t>susanne.fietz@uab.cat; Carme.Huguet@uab.cat; james.bendle@ges.gla.ac.uk; marina.escala@zhaw.ch; Christopher.gallacher@glasgow.ac.uk; herfortl@ebs.ogi.edu; alfredo.martinez-garcia@erdw.ethz.ch; erin.mcclymont@durham.ac.uk; vlp@bas.ac.uk; fprahl@coas.oregonstate.edu; Sergio.Rossi@uab.cat; gemma.rueda@uab.cat; Anna.Barrera@uab.cat; antoni.rosell@uab.cat</t>
  </si>
  <si>
    <t>McClymont, Erin L/K-2153-2012; McClymont, Erin/AAX-3567-2020; Martinez-Garcia, Alfredo/A-6244-2010; Rosell-Melé, Antoni/B-3433-2013; Huguet, Carme/C-6918-2013; McClymont, Erin/AAX-3657-2020; Fietz, Susanne/A-8695-2012</t>
  </si>
  <si>
    <t>McClymont, Erin L/0000-0003-1562-8768; McClymont, Erin/0000-0003-1562-8768; Martinez-Garcia, Alfredo/0000-0002-7206-5079; Rosell-Melé, Antoni/0000-0002-5513-2647; McClymont, Erin/0000-0003-1562-8768; Fietz, Susanne/0000-0003-0896-8385; Bendle, James/0000-0002-6826-8658; Rossi, Sergio/0000-0003-4402-3418; Jamieson, Robert/0000-0001-6385-3930; Huguet, Carme/0000-0001-8025-2010</t>
  </si>
  <si>
    <t>Deutsche Forschungsgemeinschaft (DFG) [FI 1466/1-1]; Spanish Ministerio de Ciencia e Innovacion (MICINN); National Science Foundation; Beatriu de Pinos [2006 BP-B1 00069]; Ramon y Cajal Contracts [RyC-2007-01327]; European Commission Marie Curie-IOF [235626]; MICINN [CTM2009-12214, CGL2008-03288-E, CGL2010-15000]; ICREA Funding Source: Custom; NERC [NE/E00119X/1, bas0100024] Funding Source: UKRI; Natural Environment Research Council [bas0100024, NE/E00119X/1, NE/C508934/1] Funding Source: researchfish</t>
  </si>
  <si>
    <t>Deutsche Forschungsgemeinschaft (DFG)(German Research Foundation (DFG)); Spanish Ministerio de Ciencia e Innovacion (MICINN)(Spanish Government); National Science Foundation(National Science Foundation (NSF)); Beatriu de Pinos; Ramon y Cajal Contracts(Spanish Government); European Commission Marie Curie-IOF; MICINN(Spanish Government); ICREA(ICREA); NERC(UK Research &amp; Innovation (UKRI)Natural Environment Research Council (NERC)); Natural Environment Research Council(UK Research &amp; Innovation (UKRI)Natural Environment Research Council (NERC))</t>
  </si>
  <si>
    <t>S.F. thanks the Deutsche Forschungsgemeinschaft (DFG) for a Postdoctoral Fellowship (FI 1466/1-1). S.F. and C.H. thank the Spanish Ministerio de Ciencia e Innovacion (MICINN) for Juan de la Cierva fellowships. M.E. thanks the Generalitat de Catalunya. J.B. thanks the Natural Environment Research Council (NE/C508934/1), the Ocean Drilling Programme (IODP), The Carnegie Trust for the Universities of Scotland, and the Projects 'Millennium' and IMAGES. ELM. thanks Natural Environment Research Council (NE/E00119X/1) and the IMAGES programme. A.M.G. and G.R. thank the MICINN (AP2004-7151 and AP2008-00801). F.P. acknowledges support from the National Science Foundation sponsored Center for Coastal Margin Observation and Prediction. S.R. was co-financed with Beatriu de Pinos (2006 BP-B1 00069) and Ramon y Cajal Contracts (RyC-2007-01327). A.R.M. acknowledges support from the European Commission Marie Curie-IOF (235626). Support for this work was furthermore provided by the MICINN as research funds (CTM2009-12214, CGL2008-03288-E, CGL2010-15000). In addition the authors thank the reviewers and the editor for their time and constructive comments.</t>
  </si>
  <si>
    <t>10.1016/j.gloplacha.2012.05.020</t>
  </si>
  <si>
    <t>WOS:000307031000026</t>
  </si>
  <si>
    <t>Goodall-Copestake, WP; Tarling, GA; Murphy, EJ</t>
  </si>
  <si>
    <t>Goodall-Copestake, W. P.; Tarling, G. A.; Murphy, E. J.</t>
  </si>
  <si>
    <t>On the comparison of population-level estimates of haplotype and nucleotide diversity: a case study using the gene cox1 in animals</t>
  </si>
  <si>
    <t>HEREDITY</t>
  </si>
  <si>
    <t>COI; conservation genetics; data archiving; mitochondrial DNA; population genetics; sample size</t>
  </si>
  <si>
    <t>MITOCHONDRIAL-DNA; MARINE GASTROPOD; PHYLOGEOGRAPHY; CONNECTIVITY; ATLANTIC; AMPLIFICATION; POLYMORPHISM; CRUSTACEA; PACIFIC; OCEAN</t>
  </si>
  <si>
    <t>Estimates of genetic diversity represent a valuable resource for biodiversity assessments and are increasingly used to guide conservation and management programs. The most commonly reported estimates of DNA sequence diversity in animal populations are haplotype diversity (h) and nucleotide diversity (pi) for the mitochondrial gene cytochrome c oxidase subunit I (cox1). However, several issues relevant to the comparison of h and pi within and between studies remain to be assessed. We used population-level cox1 data from peer-reviewed publications to quantify the extent to which data sets can be re-assembled, to provide a standardized summary of h and pi estimates, to explore the relationship between these metrics and to assess their sensitivity to under-sampling. Only 19 out of 42 selected publications had archived data that could be unambiguously re-assembled; this comprised 127 population-level data sets (n &gt;= 15) from 23 animal species. Estimates of h and pi were calculated using a 456-base region of cox1 that was common to all the data sets (median h=0.70130, median pi=0.00356). Non-linear regression methods and Bayesian information criterion analysis revealed that the most parsimonious model describing the relationship between the estimates of h and pi was pi=0.0081 h(2). Deviations from this model can be used to detect outliers due to biological processes or methodological issues. Subsampling analyses indicated that samples of n&gt;5 were sufficient to discriminate extremes of high from low population-level cox1 diversity, but samples of n &gt;= 25 are recommended for greater accuracy. Heredity (2012) 109, 50-56; doi:10.1038/hdy.2012.12; published online 21 March 2012</t>
  </si>
  <si>
    <t>[Goodall-Copestake, W. P.; Tarling, G. A.; Murphy, E. J.] British Antarctic Survey, Nat Environm Res Council, Div Biol Sci, Cambridge CB3 0ET, England</t>
  </si>
  <si>
    <t>Goodall-Copestake, WP (corresponding author), British Antarctic Survey, Nat Environm Res Council, Div Biol Sci, Madingley Rd, Cambridge CB3 0ET, England.</t>
  </si>
  <si>
    <t>wgco@bas.ac.uk</t>
  </si>
  <si>
    <t>murphy, eugene/GZL-1620-2022; Goodall-Copestake, William P/C-1061-2011; Goodall-Copestake, William/CAF-6866-2022</t>
  </si>
  <si>
    <t>Goodall-Copestake, Will/0000-0003-3586-9091</t>
  </si>
  <si>
    <t>Natural Environment Research Council; Natural Environment Research Council [bas0100025] Funding Source: researchfish; NERC [bas0100025] Funding Source: UKRI</t>
  </si>
  <si>
    <t>We thank the scientists responsible for generating the DNA sequence accessions used in this study, authors responding to queries about their data, Silvia Perez-Espona for fruitful discussions and three anonymous referees for their comments on the manuscript. We carried out this work as part of the Ecosystems group within British Antarctic Survey Polar Science for Planet Earth Programme funded by the Natural Environment Research Council.</t>
  </si>
  <si>
    <t>0018-067X</t>
  </si>
  <si>
    <t>Heredity</t>
  </si>
  <si>
    <t>10.1038/hdy.2012.12</t>
  </si>
  <si>
    <t>960CX</t>
  </si>
  <si>
    <t>WOS:000305366700008</t>
  </si>
  <si>
    <t>Saunders, RA; O'Donnell, C; Korneliussen, RJ; Fässler, SMM; Clarke, MW; Egan, A; Reid, D</t>
  </si>
  <si>
    <t>Saunders, Ryan A.; O'Donnell, Ciaran; Korneliussen, Rolf J.; Fassler, Sascha M. M.; Clarke, Maurice W.; Egan, Afra; Reid, Dave</t>
  </si>
  <si>
    <t>Utility of 18-kHz acoustic data for abundance estimation of Atlantic herring (Clupea harengus)</t>
  </si>
  <si>
    <t>acoustic survey; Atlantic herring; Celtic Sea; 18-kHz backscatter; 120-kHz backscatter; stock assessment</t>
  </si>
  <si>
    <t>TARGET-STRENGTH; HIGH-FREQUENCIES; FISH; IDENTIFICATION; OCEANOGRAPHY; SWIMBLADDER; MACKEREL; KRILL</t>
  </si>
  <si>
    <t>Current acoustic survey protocols for Atlantic herring (Clupea harengus) abundance estimation are principally dependent upon 38-kHz backscatter data. This can constitute a substantial problem for robust stock assessment when 38-kHz data are compromised. Research vessels now typically collect multifrequency data during acoustic surveys, which could be used to remediate such situations. Here, we investigate the utility of using 18-and 120-kHz data for herring abundance estimation when the standard 38-kHz approach is not possible. Estimates of herring abundance/biomass in the Celtic Sea (2007-2010) were calculated at 18, 38, and 120 kHz using the standard 38-kHz target-strength (TS) model and geometrically equivalent TS models at 18 and 120 kHz. These estimates were compared to assess the level of coherence between the three frequencies, and 18-kHz-derived estimates were subsequently input into standard 38-kHz-based population models to evaluate the impact on the assessment. Results showed that estimates of herring abundance/ biomass from 18 and 38 kHz acoustic integration varied by only 0.3-5.4%, and acoustically derived numbers-at-age estimates were not significantly (p. 0.05) different from 1: 1. Estimates at 120 kHz were also robust. Furthermore, 18-kHz-derived estimates did not significantly change the assessment model output, indicating that 18-kHz data can be used for herring stock assessment purposes.</t>
  </si>
  <si>
    <t>[Saunders, Ryan A.] British Antarctic Survey, Cambridge CB3 OET, England; [O'Donnell, Ciaran; Clarke, Maurice W.; Egan, Afra; Reid, Dave] Inst Marine, Galway, Ireland; [Korneliussen, Rolf J.] Inst Marine Res, N-5817 Bergen, Norway; [Fassler, Sascha M. M.] Wageningen Inst Marine Resources &amp; Ecosyst Studie, NL-1970 AB Ijmuiden, Netherlands</t>
  </si>
  <si>
    <t>UK Research &amp; Innovation (UKRI); Natural Environment Research Council (NERC); NERC British Antarctic Survey; Marine Institute Ireland; Institute of Marine Research - Norway; Wageningen University &amp; Research</t>
  </si>
  <si>
    <t>Saunders, RA (corresponding author), British Antarctic Survey, Madingley Rd, Cambridge CB3 OET, England.</t>
  </si>
  <si>
    <t>ryaund@bas.ac.uk</t>
  </si>
  <si>
    <t>Fässler, Sascha MM/C-8949-2009; Reid, David/ABC-5916-2021</t>
  </si>
  <si>
    <t>Reid, Dave/0000-0002-8494-0918</t>
  </si>
  <si>
    <t>10.1093/icesjms/fss059</t>
  </si>
  <si>
    <t>Green Accepted, Green Published, Bronze</t>
  </si>
  <si>
    <t>WOS:000305461200018</t>
  </si>
  <si>
    <t>Årthun, M; Eldevik, T; Smedsrud, LH; Skagseth, O; Ingvaldsen, RB</t>
  </si>
  <si>
    <t>Arthun, M.; Eldevik, T.; Smedsrud, L. H.; Skagseth, O.; Ingvaldsen, R. B.</t>
  </si>
  <si>
    <t>Quantifying the Influence of Atlantic Heat on Barents Sea Ice Variability and Retreat</t>
  </si>
  <si>
    <t>ARCTIC-OCEAN; INTERANNUAL VARIABILITY; TIME-SERIES; TEMPERATURE; TRANSPORT; FLUXES; EXTENT; CIRCULATION; ATMOSPHERE; GREENLAND</t>
  </si>
  <si>
    <t>The recent Arctic winter sea ice retreat is most pronounced in the Barents Sea. Using available observations of the Atlantic inflow to the Barents Sea and results from a regional ice ocean model the authors assess and quantify the role of inflowing heat anomalies on sea ice variability. The interannual variability and longer-term decrease in sea ice area reflect the variability of the Atlantic inflow, both in observations and model simulations. During the last decade (1998-2008) the reduction in annual (July June) sea ice area was 218 x 10(3) km(2), or close to 50%. This reduction has occurred concurrent with an increase in observed Atlantic heat transport due to both strengthening and warming of the inflow. Modeled interannual variations in sea ice area between 1948 and 2007 are associated with anomalous heat transport (r = -0.63) with a 70 x 10(3) km(2) decrease per 10 TW input of heat. Based on the simulated ocean heat budget it is found that the heat transport into the western Barents Sea sets the boundary of the ice-free Atlantic domain and, hence, the sea ice extent. The regional heat content and heat loss to the atmosphere scale with the area of open ocean as a consequence. Recent sea ice loss is thus largely caused by an increasing Atlantification of the Barents Sea.</t>
  </si>
  <si>
    <t>[Arthun, M.; Eldevik, T.] Univ Bergen, Inst Geophys, Bergen, Norway; [Arthun, M.; Eldevik, T.; Smedsrud, L. H.; Skagseth, O.; Ingvaldsen, R. B.] Bjerknes Ctr Climate Res, Bergen, Norway; [Smedsrud, L. H.] Uni Res AS, Bergen, Norway; [Skagseth, O.; Ingvaldsen, R. B.] Inst Marine Res, N-5024 Bergen, Norway</t>
  </si>
  <si>
    <t>University of Bergen; Bjerknes Centre for Climate Research; University of Bergen; Institute of Marine Research - Norway</t>
  </si>
  <si>
    <t>Årthun, M (corresponding author), British Antarctic Survey, Madingley Rd, Cambridge CB3 0ET, England.</t>
  </si>
  <si>
    <t>Eldevik, Tor/O-2062-2015</t>
  </si>
  <si>
    <t>Eldevik, Tor/0000-0001-5837-6965; Smedsrud, Lars H./0000-0001-7391-0740; Arthun, Marius/0000-0003-4500-1691</t>
  </si>
  <si>
    <t>Research Council of Norway; Centre for Climate Dynamics at the Bjerknes Centre</t>
  </si>
  <si>
    <t>Research Council of Norway(Research Council of Norway); Centre for Climate Dynamics at the Bjerknes Centre</t>
  </si>
  <si>
    <t>This research was supported by the Research Council of Norway through the project IPY-BIAC and by the Centre for Climate Dynamics at the Bjerknes Centre. We thank two anonymous reviewers for constructive suggestions that improved the manuscript, and Corinna Schrum for modelling assistance.</t>
  </si>
  <si>
    <t>10.1175/JCLI-D-11-00466.1</t>
  </si>
  <si>
    <t>969GN</t>
  </si>
  <si>
    <t>WOS:000306043800020</t>
  </si>
  <si>
    <t>Klocker, A; Ferrari, R; LaCasce, JH; Merrifield, ST</t>
  </si>
  <si>
    <t>Klocker, Andreas; Ferrari, Raffaele; LaCasce, Joseph H.; Merrifield, Sophia T.</t>
  </si>
  <si>
    <t>Reconciling float-based and tracer-based estimates of lateral diffusivities</t>
  </si>
  <si>
    <t>ANTARCTIC CIRCUMPOLAR CURRENT; RELATIVE DISPERSION; NORTH-ATLANTIC; GENERAL-CIRCULATION; SURFACE DRIFTERS; EDDY DIFFUSIVITY; OCEAN; STATISTICS; TRANSPORT; SUPPRESSION</t>
  </si>
  <si>
    <t>Lateral diffusivities are computed from synthetic particles and tracers advected by a velocity field derived from sea-surface height measurements from the South Pacific, in a region west of Drake Passage. Three different estimates are compared: (1) the tracer-based effective diffusivity of Nakamura (1996), (2) the growth of the second moment of a cloud of tracer and (3) the single-and two-particle Lagrangian diffusivities. The effective diffusivity measures the cross-stream component of eddy mixing, so this article focuses on the meridional diffusivities for the others, as the mean flow (the ACC) is zonally oriented in the region. After an initial transient of a few weeks, the effective diffusivity agrees well with the meridional diffusivity estimated both from the tracer cloud and from the particles. This proves that particle- and tracer-based estimates of eddy diffusivities are equivalent, despite recent claims to the contrary. Convergence among the three estimates requires that the Lagrangian diffusivities be estimated using their asymptotic values, not their maximum values. The former are generally much lower than the latter in the presence of a mean flow. Sampling the long-time asymptotic behavior of Lagrangian diffusivities requires very large numbers of floats in field campaigns. For example, it is shown that hundreds of floats would be necessary to estimate the vertical and horizontal variations in eddy diffusivity in a sector of the Pacific Southern Ocean.</t>
  </si>
  <si>
    <t>[Klocker, Andreas; Ferrari, Raffaele; Merrifield, Sophia T.] MIT, Dept Earth Atmospher &amp; Planetary Sci, Cambridge, MA 02139 USA; [LaCasce, Joseph H.] Univ Oslo, Dept Geosci, N-0316 Oslo, Norway</t>
  </si>
  <si>
    <t>Klocker, A (corresponding author), MIT, Dept Earth Atmospher &amp; Planetary Sci, Cambridge, MA 02139 USA.</t>
  </si>
  <si>
    <t>NSF [OCE-0825376, OCE-0849233]; Division Of Ocean Sciences; Directorate For Geosciences [0825376] Funding Source: National Science Foundation; Office of Advanced Cyberinfrastructure (OAC); Direct For Computer &amp; Info Scie &amp; Enginr [0904338] Funding Source: National Science Foundation</t>
  </si>
  <si>
    <t>NSF(National Science Foundation (NSF)); Division Of Ocean Sciences; Directorate For Geosciences(National Science Foundation (NSF)NSF - Directorate for Geosciences (GEO)); Office of Advanced Cyberinfrastructure (OAC); Direct For Computer &amp; Info Scie &amp; Enginr(National Science Foundation (NSF)NSF - Directorate for Computer &amp; Information Science &amp; Engineering (CISE))</t>
  </si>
  <si>
    <t>This work was done as part of the Diapycnal and Isopycnal Mixing Experiment in the Southern Ocean (DIMES). We wish to acknowledge the generous support of NSF through awards OCE-0825376 (RF and AK) and OCE-0849233 (SM). We thank one anonymous reviewer and Noboru Nakamura for their constructive comments on the first draft. We also wish to thank all the DIMES principal investigators for many useful discussions and suggestions.</t>
  </si>
  <si>
    <t>10.1357/002224012805262743</t>
  </si>
  <si>
    <t>V34AC</t>
  </si>
  <si>
    <t>WOS:000209058300001</t>
  </si>
  <si>
    <t>Riley, T. R.; Flowerdew, M. J.; Whitehouse, M. J.</t>
  </si>
  <si>
    <t>U-Pb ion-microprobe zircon geochronology from the basement inliers of eastern Graham Land, Antarctic Peninsula</t>
  </si>
  <si>
    <t>TRINITY PENINSULA; SIERRAS PAMPEANAS; SOUTH ORKNEY; PALMER LAND; HF ISOTOPE; AGE; COMPLEX; PROVENANCE; CHRONOLOGY; MAGMATISM</t>
  </si>
  <si>
    <t>New geological mapping combined with U-Pb ion microprobe zircon geochronology on the isolated but locally extensive exposures of crystalline basement inliers of eastern Graham Land has greatly improved our understanding of the region's early crustal evolution and has allowed a more thorough evaluation of Patagonia-Antarctic Peninsula connections prior to Gondwana break-up. At Eden Glacier, diorite gneisses yield Early Ordovician protolith ages of 487 + 3 and 485 + 3 Ma and represent the oldest in situ rocks recorded on the Antarctic Peninsula, and indicate a significant spatial extension of Famatinian-age magmatism of Patagonia. Zircon overgrowths in the Early Ordovician protoliths and granitic leucosomes developed within them record two phases of Permian metamorphism at c. 275 and c. 257 Ma, coincident in part with diorite plutonism of the area at 272 +/- 2 Ma. At Adie Inlet, granitic leucosomes from paragneiss have been dated at 276 +/- 3 Ma, and these are in turn cut by 257 +/- 3 Ma xenolith-rich diorite gneiss. The diorite intruded during a second phase of deformation, which folded the paragneiss leucosomes into tight folds. This whole assembly is cut by intensely brecciated megacrystic granodiorite, which yielded a 259 +/- 3 Ma age. South of Cabinet Inlet a very different sequence of events is evident, with Triassic magmatism at c. 236 Ma extensive along the Joerg Peninsula. Migmatitic leucosomes are dated at c. 224 Ma and magmatism and deformation events apparently continued to c. 209 Ma at Cape Casey. Our data indicate that the Devonian and Carboniferous magmatism at Target Hill, considered to represent the 'classic' basement complex of the Antarctic Peninsula, is not representative regionally. The Target Hill crustal block contains a major break along Cabinet Inlet; to the north, Ordovician and Permian protoliths were variably migmatized during two episodes of Permian deformation and metamorphism, whereas to the south, Triassic protoliths and Triassic metamorphism are encountered.</t>
  </si>
  <si>
    <t>[Riley, T. R.; Flowerdew, M. J.] British Antarctic Survey, Cambridge CB3 0ET, England; [Whitehouse, M. J.] Swedish Museum Nat Hist, SE-10405 Stockholm, Sweden</t>
  </si>
  <si>
    <t>Riley, TR (corresponding author), British Antarctic Survey, Madingley Rd, Cambridge CB3 0ET, England.</t>
  </si>
  <si>
    <t>trr@bas.ac.uk</t>
  </si>
  <si>
    <t>Whitehouse, Martin/E-1425-2013</t>
  </si>
  <si>
    <t>Whitehouse, Martin/0000-0003-2227-577X; Riley, Teal/0000-0002-3333-5021; Flowerdew, Michael/0000-0002-9710-2593</t>
  </si>
  <si>
    <t>Natural Environmental Research Council; research funding agency of Denmark; research funding agency of Iceland; research funding agency of Norway; research funding agency of Sweden; Geological Survey of Finland; Swedish Museum of Natural History; NERC [bas0100026] Funding Source: UKRI; Natural Environment Research Council [bas0100026] Funding Source: researchfish</t>
  </si>
  <si>
    <t>Natural Environmental Research Council(UK Research &amp; Innovation (UKRI)Natural Environment Research Council (NERC)); research funding agency of Denmark; research funding agency of Iceland; research funding agency of Norway; research funding agency of Sweden; Geological Survey of Finland; Swedish Museum of Natural History;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</si>
  <si>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funded by the Natural Environmental Research Council. A. Clark, D. Routledge, J. Wake and the air operations staff at Rothera Base are thanked for their field support. This paper has been improved as a result of the helpful comments of D. Barbeau, Q. Crowley and C. Storey. K. Linden and L. Ilyinsky are thanked for their assistance at the NORDSIM facility. The NORDSIM facility is operated under an agreement between the research funding agencies of Denmark, Iceland, Norway and Sweden, the Geological Survey of Finland and the Swedish Museum of Natural History. This is NORDSIM contribution number 307.</t>
  </si>
  <si>
    <t>10.1144/0016-76492011-142</t>
  </si>
  <si>
    <t>004GW</t>
  </si>
  <si>
    <t>WOS:000308670200003</t>
  </si>
  <si>
    <t>Ceia, FR; Phillips, RA; Ramos, JA; Cherel, Y; Vieira, RP; Richard, P; Xavier, JC</t>
  </si>
  <si>
    <t>Ceia, Filipe R.; Phillips, Richard A.; Ramos, Jaime A.; Cherel, Yves; Vieira, Rui P.; Richard, Pierre; Xavier, Jose C.</t>
  </si>
  <si>
    <t>Short- and long-term consistency in the foraging niche of wandering albatrosses</t>
  </si>
  <si>
    <t>STABLE-ISOTOPE ANALYSIS; INDIVIDUAL SPECIALIZATION; MOVEMENT PATTERNS; SEASONAL-CHANGES; MARINE PREDATOR; DIET; NITROGEN; ECOLOGY; CARBON; BLOOD</t>
  </si>
  <si>
    <t>The wandering albatross (Diomedea exulans) is regarded as a generalist predator, but can it be consistent in its foraging niche at an individual level? This study tested short- and long-term consistency in the foraging niche in terms of habitat use, trophic level and, by inference, prey selection. Fieldwork was carried out at Bird Island, South Georgia, in May-October 2009, during the chick-rearing period. Blood (plasma and cells) and feathers for stable isotope analyses (delta C-13 and delta N-15) were sampled from 35 adults on their return from a foraging trip during which they carried stomach temperature, activity and global positioning system loggers. Results suggest short-term consistency in foraging niche in relation to both oceanic water mass and trophic level, and long-term consistency in use of habitat. Consistent differences between individuals partly reflected sex-specific habitat preferences. The proportion of consistent individuals (i.e., with a narrow foraging niche) was estimated at c. 40 % for short-term habitat and trophic level (prey) preferences and 29 % for longer-term habitat preference, suggesting this is an important characteristic of this population and potentially of pelagic seabirds in general. Foraging consistency was not related to body condition or level of breeding experience; instead, it may reduce intraspecific competition.</t>
  </si>
  <si>
    <t>[Ceia, Filipe R.; Ramos, Jaime A.; Vieira, Rui P.; Xavier, Jose C.] Univ Coimbra, Dept Life Sci, Fac Sci &amp; Technol, IMAR CMA Inst Marine Res, P-3004517 Coimbra, Portugal; [Phillips, Richard A.; Xavier, Jose C.] British Antarctic Survey, Nat Environm Res Council, Cambridge CB3 0ET, England; [Cherel, Yves] CNRS, Ctr Etud Biol Chize, UPR 1934, F-79360 Villiers En Bois, France; [Richard, Pierre] Univ La Rochelle, Lab Littoral Environm &amp; Soc, UMR 6250, CNRS, F-17000 La Rochelle, France</t>
  </si>
  <si>
    <t>Universidade de Coimbra; UK Research &amp; Innovation (UKRI); Natural Environment Research Council (NERC); NERC British Antarctic Survey; Centre National de la Recherche Scientifique (CNRS); Centre National de la Recherche Scientifique (CNRS); La Rochelle Universite</t>
  </si>
  <si>
    <t>Ceia, FR (corresponding author), Univ Coimbra, Dept Life Sci, Fac Sci &amp; Technol, IMAR CMA Inst Marine Res, P-3004517 Coimbra, Portugal.</t>
  </si>
  <si>
    <t>ceiafilipe@zoo.uc.pt</t>
  </si>
  <si>
    <t>Ceia, Filipe R./A-2196-2012; Xavier, José/KFB-6739-2024; Vieira, Rui Pedro/G-1738-2012; Ramos, Jaime A./B-6616-2018; Vieira, Rui/R-6881-2019; Richard, Pierre/N-6482-2014</t>
  </si>
  <si>
    <t>Ceia, Filipe R./0000-0002-5470-5183; Vieira, Rui Pedro/0000-0001-8491-2565; Ramos, Jaime A./0000-0002-9533-987X; /0000-0002-9621-6660; Richard, Pierre/0000-0002-0393-9967</t>
  </si>
  <si>
    <t>Foundation for Science and Technology (Portugal) [PTDC/BIA-BDE/64539/2006, SFRH/BD/64558/2009]; Centre d'Etudes Biologiques de Chize (France); British Antarctic Survey (UK); NERC [bas0100025] Funding Source: UKRI; Natural Environment Research Council [bas0100025] Funding Source: researchfish; Fundação para a Ciência e a Tecnologia [SFRH/BD/64558/2009, PTDC/BIA-BDE/64539/2006] Funding Source: FCT</t>
  </si>
  <si>
    <t>Foundation for Science and Technology (Portugal)(Fundacao para a Ciencia e a Tecnologia (FCT)); Centre d'Etudes Biologiques de Chize (France); British Antarctic Survey (UK); NERC(UK Research &amp; Innovation (UKRI)Natural Environment Research Council (NERC)); Natural Environment Research Council(UK Research &amp; Innovation (UKRI)Natural Environment Research Council (NERC)); Fundação para a Ciência e a Tecnologia(Fundacao para a Ciencia e a Tecnologia (FCT))</t>
  </si>
  <si>
    <t>This research was co-sponsored by the Foundation for Science and Technology (Portugal) through several grants (PTDC/BIA-BDE/64539/2006; SFRH/BD/64558/2009), Centre d'Etudes Biologiques de Chize (France) and the British Antarctic Survey (UK). We thank Derren Fox, Ewan Edwards and Stacey Adlard for help in the field and G. Guillou for running stable isotope samples.</t>
  </si>
  <si>
    <t>10.1007/s00227-012-1946-1</t>
  </si>
  <si>
    <t>962FW</t>
  </si>
  <si>
    <t>WOS:000305528400017</t>
  </si>
  <si>
    <t>Field, IC; Harcourt, RG; Boehme, L; de Bruyn, PJN; Charrassin, JB; McMahon, CR; Bester, MN; Fedak, MA; Hindell, MA</t>
  </si>
  <si>
    <t>Field, Iain C.; Harcourt, Robert G.; Boehme, Lars; de Bruyn, P. J. Nico; Charrassin, Jean-Benoit; McMahon, Clive R.; Bester, Marthan N.; Fedak, Mike A.; Hindell, Mark A.</t>
  </si>
  <si>
    <t>Refining instrument attachment on phocid seals</t>
  </si>
  <si>
    <t>NORTHERN ELEPHANT SEALS; BEHAVIOR; DEVICES; SUMMER; FUR</t>
  </si>
  <si>
    <t>[Field, Iain C.; Harcourt, Robert G.] Macquarie Univ, Grad Sch Environm, Sydney, NSW 2109, Australia; [Boehme, Lars; Fedak, Mike A.] Univ St Andrews, Scottish Oceans Inst, NERC Sea Mammal Res Unit, St Andrews KY16 8LB, Fife, Scotland; [de Bruyn, P. J. Nico; Bester, Marthan N.] Univ Pretoria, Mammal Res Inst, Dept Zool &amp; Entomol, ZA-0028 Hatfield, South Africa; [Charrassin, Jean-Benoit] Museum Natl Hist Nat, Dept Milieux &amp; Peuplements Aquat, Lab Oceanog &amp; Climat Experimentat &amp; Approches Num, F-75231 Paris 05, France; [McMahon, Clive R.] Charles Darwin Univ, Inst Adv Studies, Sch Environm Res, Darwin, NT 0909, Australia; [Hindell, Mark A.] Univ Tasmania, Inst Marine &amp; Antarctic Studies, Hobart, Tas 7001, Australia</t>
  </si>
  <si>
    <t>Macquarie University; University of St Andrews; University of Pretoria; Sorbonne Universite; Museum National d'Histoire Naturelle (MNHN); Charles Darwin University; University of Tasmania</t>
  </si>
  <si>
    <t>Field, IC (corresponding author), Macquarie Univ, Grad Sch Environm, Sydney, NSW 2109, Australia.</t>
  </si>
  <si>
    <t>iain.field@mq.edu.au</t>
  </si>
  <si>
    <t>de Bruyn, P. J. Nico/E-4176-2010; McMahon, Clive R/D-5713-2013; Bester, Marthán N/E-5387-2010; Hindell, Mark A/K-1131-2013; Hindell, Mark A/C-8368-2013; Field, Iain C/D-3934-2009; Boehme, Lars/B-6567-2009; Fedak, Michael/B-3987-2009</t>
  </si>
  <si>
    <t>de Bruyn, P. J. Nico/0000-0002-9114-9569; McMahon, Clive R/0000-0001-5241-8917; Boehme, Lars/0000-0003-3513-6816; Hindell, Mark/0000-0002-7823-7185; Harcourt, Robert/0000-0003-4666-2934; Fedak, Michael/0000-0002-9569-1128</t>
  </si>
  <si>
    <t>Macquarie University; Seaworld Research and Rescue Foundation; Natural Environment Research Council (NERC) [NE/E018289/1, NER/D/S/2002/00426]; Department of Science and Technology, through the National Research Foundation (NRF); NERC [NE/E018289/1] Funding Source: UKRI; Natural Environment Research Council [smru10001, NE/E018289/1] Funding Source: researchfish</t>
  </si>
  <si>
    <t>Macquarie University; Seaworld Research and Rescue Foundation; Natural Environment Research Council (NERC)(UK Research &amp; Innovation (UKRI)Natural Environment Research Council (NERC)); Department of Science and Technology, through the National Research Foundation (NRF)(Department of Science &amp; Technology (India)); NERC(UK Research &amp; Innovation (UKRI)Natural Environment Research Council (NERC)); Natural Environment Research Council(UK Research &amp; Innovation (UKRI)Natural Environment Research Council (NERC))</t>
  </si>
  <si>
    <t>We thank all the field research teams for their resighting efforts. Fieldwork in Antarctica was conducted with support and permission from the Australian Antarctic Division, the University of Tasmania, the Environmental Assessment and Review Panel of Antarctica New Zealand, Department of Conservation, New Zealand, the Animal Ethics Committee of the University of Waikato, and funded by Macquarie University and Seaworld Research and Rescue Foundation. Research on South Georgia was funded by the Natural Environment Research Council (NERC) grants NE/E018289/1 and NER/D/S/2002/00426. Logistical support and research permits for work at Marion Island were provided by the South African Department of Environmental Affairs within the South African National Antarctic Program and ethics clearance provided by the Animal Use and Care Committee (AUCC 040827-024) of the Faculty of Veterinary Science, University of Pretoria. The Department of Science and Technology, through the National Research Foundation (NRF) provided financial support.</t>
  </si>
  <si>
    <t>E325</t>
  </si>
  <si>
    <t>E332</t>
  </si>
  <si>
    <t>10.1111/j.1748-7692.2011.00519.x</t>
  </si>
  <si>
    <t>968FQ</t>
  </si>
  <si>
    <t>WOS:000305963100008</t>
  </si>
  <si>
    <t>Rengefors, K; Logares, R; Laybourn-Parry, J</t>
  </si>
  <si>
    <t>Rengefors, K.; Logares, R.; Laybourn-Parry, J.</t>
  </si>
  <si>
    <t>Polar lakes may act as ecological islands to aquatic protists</t>
  </si>
  <si>
    <t>Antarctica; biogeography; dinoflagellates; genetic diversity; population genetics; protists</t>
  </si>
  <si>
    <t>POPULATION GENETIC-STRUCTURE; ANTARCTIC SALINE LAKES; VESTFOLD HILLS; LIFE-CYCLE; DINOFLAGELLATE; DIVERSITY; SELECTION; AFLP; DNA; BACILLARIOPHYCEAE</t>
  </si>
  <si>
    <t>A fundamental question in ecology is whether microorganisms follow the same patterns as multicellular organisms when it comes to population structure and levels of genetic diversity. Enormous population sizes, predominately asexual reproduction and presumably high dispersal because of small body size could have profound implications on their genetic diversity and population structure. Here, we have analysed the population genetic structure in a lake-dwelling microbial eukaryote (dinoflagellate) and tested the hypothesis that there is population genetic differentiation among nearby lake subpopulations. This dinoflagellate occurs in the marine-derived saline lakes of the Vestfold Hills, Antarctica, which are ice-covered most of the year. Clonal strains were isolated from four different lakes and were genotyped using amplified fragment length polymorphism (AFLP). Our results show high genetic differentiation among lake populations despite their close geographic proximity (&lt;9 km). Moreover, genotype diversity was high within populations. Gene flow in this system is clearly limited, either because of physical or biological barriers. Our results discard the null hypothesis that there is free gene flow among protist lake populations. Instead, limnetic protist populations may differentiate genetically, and lakes act as ecological islands even on the microbial scale.</t>
  </si>
  <si>
    <t>[Rengefors, K.] Lund Univ, Dept Biol, SE-22362 Lund, Sweden; [Logares, R.] ICM CSIC, CMIMA, Inst Marine Sci, ES-08003 Barcelona, Spain; [Laybourn-Parry, J.] Univ Bristol, Sch Geog Sci, Bristol Glaciol Ctr, Bristol BS8 1SS, Avon, England</t>
  </si>
  <si>
    <t>Lund University; Consejo Superior de Investigaciones Cientificas (CSIC); CSIC - Centro Mediterraneo de Investigaciones Marinas y Ambientales (CMIMA); CSIC - Instituto de Ciencias del Mar (ICM); University of Bristol</t>
  </si>
  <si>
    <t>Rengefors, K (corresponding author), Lund Univ, Dept Biol, Ecol Bldg, SE-22362 Lund, Sweden.</t>
  </si>
  <si>
    <t>karin.rengefors@biol.lu.se</t>
  </si>
  <si>
    <t>Logares, Ramiro/AAI-2306-2019; Rengefors, Karin/K-5873-2019; Logares, Ramiro/D-5920-2011</t>
  </si>
  <si>
    <t>Logares, Ramiro/0000-0002-8213-0604; Rengefors, Karin/0000-0001-6297-9734</t>
  </si>
  <si>
    <t>Swedish Research Council [90532401]; Australian Antarctic Research Assessment Committee [AREC 3022]; Marie Curie Intra-European Fellowship [PIEF-GA-2009-235365]</t>
  </si>
  <si>
    <t>Swedish Research Council(Swedish Research Council); Australian Antarctic Research Assessment Committee; Marie Curie Intra-European Fellowship(European Union (EU))</t>
  </si>
  <si>
    <t>This project was supported by the Swedish Research Council Grant 90532401 to K. R. and an Australian Antarctic Research Assessment Committee grant (AREC 3022). R. L. was financially supported by a Marie Curie Intra-European Fellowship grant PIEF-GA-2009-235365. We thank Marie Svensson and Nathan Walworth for help in the laboratory and Bengt Hansson and Torbjorn Sall for discussions regarding population genetic analyses. Logistic support in Antarctica was provided by the Australian Antarctic Division. We thank all the AAD staff in Kingston, onboard the research vessel Aurora Australis and in Davis Station, Antarctica, in particular Andrew Davidson, Trevor Bailey and Debbie Lang. The Plankton Ecology Group at the Aquatic Ecology Unit, Lund University, is thanked for valuable input on the manuscript.</t>
  </si>
  <si>
    <t>1365-294X</t>
  </si>
  <si>
    <t>10.1111/j.1365-294X.2012.05596.x</t>
  </si>
  <si>
    <t>962XH</t>
  </si>
  <si>
    <t>WOS:000305582200010</t>
  </si>
  <si>
    <t>Amaral, AR; Jackson, JA; Möller, LM; Beheregaray, LB; Coelho, MM</t>
  </si>
  <si>
    <t>Amaral, Ana R.; Jackson, Jennifer A.; Moeller, Luciana M.; Beheregaray, Luciano B.; Manuela Coelho, M.</t>
  </si>
  <si>
    <t>Species tree of a recent radiation: The subfamily Delphininae (Cetacea, Mammalia)</t>
  </si>
  <si>
    <t>Delphinidae; Incomplete linsage sorting; Hybridization; Rapid radiation; Speciation; Species tree</t>
  </si>
  <si>
    <t>GENE TREES; PHYLOGENETIC-RELATIONSHIPS; BAYESIAN-INFERENCE; MODEL SELECTION; RAPID RADIATION; HAPLOTYPE RECONSTRUCTION; MOLECULAR SYSTEMATICS; COALESCENT METHODS; TAXONOMIC STATUS; SEQUENCE DATA</t>
  </si>
  <si>
    <t>Lineages undergoing rapid radiations provide exceptional opportunities for studying speciation and adaptation, but also represent a challenge for molecular systematics because retention of ancestral polymorphisms and the occurrence of hybridization can obscure relationships among lineages. Dolphins in the subfamily Delphininae are one such case. Non-monophyly, rapid speciation events, and discordance between morphological and molecular characters have made the inference of phylogenetic relationships within this subfamily very difficult. Here we approach this problem by applying multiple methods intended to estimate species trees using a multi-gene dataset for the Delphininae (Sousa, Sotalia, Stenella, Tursiops, Delphinus and Lagenodelphis). Incongruent gene trees obtained indicate that incomplete lineage sorting and possibly hybridization are confounding the inference of species history in this group. Nonetheless, using coalescent-based methods, we have been able to extract an underlying species-tree signal from divergent histories of independent genes. This is the first time a molecular study provides support for such relationships. This study further illustrates how methods of species-tree inference can be very sensitive both to the characteristics of the dataset and the evolutionary processes affecting the evolution of the group under study. (c) 2012 Elsevier Inc. All rights reserved.</t>
  </si>
  <si>
    <t>[Amaral, Ana R.] Univ Lisbon, Fac Ciencias, Dept Biol Anim, Ctr Biol Ambiental, P-1749016 Lisbon, Portugal; [Amaral, Ana R.; Beheregaray, Luciano B.] Macquarie Univ, Dept Biol Sci, Sydney, NSW 2109, Australia; [Jackson, Jennifer A.] British Antarctic Survey, Cambridge CB3 0ET, England; [Moeller, Luciana M.; Beheregaray, Luciano B.] Flinders Univ S Australia, Sch Biol Sci, Adelaide, SA 5001, Australia</t>
  </si>
  <si>
    <t>Universidade de Lisboa; Macquarie University; UK Research &amp; Innovation (UKRI); Natural Environment Research Council (NERC); NERC British Antarctic Survey; Flinders University South Australia</t>
  </si>
  <si>
    <t>Amaral, AR (corresponding author), Univ Lisbon, Fac Ciencias, Dept Biol Anim, Ctr Biol Ambiental, P-1749016 Lisbon, Portugal.</t>
  </si>
  <si>
    <t>aramaral@fc.ul.pt</t>
  </si>
  <si>
    <t>Beheregaray, Luciano/A-8621-2008; Möller, Luciana M/A-6030-2008; Beheregaray, Luciano/AAY-6384-2021; Jackson, Jennifer A/E-7997-2013; Amaral, Ana Rita/ABG-4271-2021; Amaral, Ana/D-1060-2010; Coelho, Maria/B-8672-2009</t>
  </si>
  <si>
    <t>Beheregaray, Luciano/0000-0003-0944-3003; Beheregaray, Luciano/0000-0003-0944-3003; Amaral, Ana Rita/0000-0002-0595-0086; Amaral, Ana/0000-0002-0595-0086; Coelho, Maria/0000-0003-3288-1693; Moller, Luciana/0000-0002-7293-5847; Jackson, Jennifer/0000-0003-4158-1924</t>
  </si>
  <si>
    <t>Macquarie University; Fundacao para a Ciencia e Tecnologia (Portugal); Microsoft Corporation; NERC [bas0100026] Funding Source: UKRI; Natural Environment Research Council [bas0100026] Funding Source: researchfish</t>
  </si>
  <si>
    <t>Macquarie University; Fundacao para a Ciencia e Tecnologia (Portugal)(Fundacao para a Ciencia e a Tecnologia (FCT)); Microsoft Corporation(Microsoft); NERC(UK Research &amp; Innovation (UKRI)Natural Environment Research Council (NERC)); Natural Environment Research Council(UK Research &amp; Innovation (UKRI)Natural Environment Research Council (NERC))</t>
  </si>
  <si>
    <t>The authors would like to thank Kelly Robertson, the Southwest Fisheries Science Center Marine Mammal and Turtle Molecular Research Sample Collection (SWFSC), Thomas Jefferson and Marine Sequeira (ICNB) for providing tissue samples. We also thank W.F. Perrin, E. Jockusch, and two anonymous reviewers for comments on the manuscript. Funding was provided by Macquarie University and by Fundacao para a Ciencia e Tecnologia (Portugal) trough a grant to A.R. Amaral. Part of this work was carried out by using the resources of the Computational Biology Service Unit from Cornell University, which is partially funded by Microsoft Corporation.</t>
  </si>
  <si>
    <t>10.1016/j.ympev.2012.04.004</t>
  </si>
  <si>
    <t>955QI</t>
  </si>
  <si>
    <t>WOS:000305035600022</t>
  </si>
  <si>
    <t>Brown, MV; Lauro, FM; DeMaere, MZ; Muir, L; Wilkins, D; Thomas, T; Riddle, MJ; Fuhrman, JA; Andrews-Pfannkoch, C; Hoffman, JM; McQuaid, JB; Allen, A; Rintoul, SR; Cavicchioli, R</t>
  </si>
  <si>
    <t>Brown, Mark V.; Lauro, Federico M.; DeMaere, Matthew Z.; Muir, Les; Wilkins, David; Thomas, Torsten; Riddle, Martin J.; Fuhrman, Jed A.; Andrews-Pfannkoch, Cynthia; Hoffman, Jeffrey M.; McQuaid, Jeffrey B.; Allen, Andrew; Rintoul, Stephen R.; Cavicchioli, Ricardo</t>
  </si>
  <si>
    <t>Global biogeography of SAR11 marine bacteria</t>
  </si>
  <si>
    <t>MOLECULAR SYSTEMS BIOLOGY</t>
  </si>
  <si>
    <t>adaptive radiation; Antarctica; metagenome; Pelagibacter; phylotype distribution</t>
  </si>
  <si>
    <t>ATLANTIC TIME-SERIES; METHANOCOCCOIDES-BURTONII; PSYCHROPHILIC ARCHAEON; GENOME SEQUENCE; BACTERIOPLANKTON; GROWTH; COLD; MICRODIVERSITY; TEMPERATURE; DIVERSITY</t>
  </si>
  <si>
    <t>The ubiquitous SAR11 bacterial clade is the most abundant type of organism in the world's oceans, but the reasons for its success are not fully elucidated. We analysed 128 surface marine metagenomes, including 37 new Antarctic metagenomes. The large size of the data set enabled internal transcribed spacer (ITS) regions to be obtained from the Southern polar region, enabling the first global characterization of the distribution of SAR11, from waters spanning temperatures - 2 to 30 degrees C. Our data show a stable co-occurrence of phylotypes within both 'tropical' (&gt;20 degrees C) and 'polar' (&lt;10 degrees C) biomes, highlighting ecological niche differentiation between major SAR11 subgroups. All phylotypes display transitions in abundance that are strongly correlated with temperature and latitude. By assembling SAR11 genomes from Antarctic metagenome data, we identified specific genes, biases in gene functions and signatures of positive selection in the genomes of the polar SAR11-genomic signatures of adaptive radiation. Our data demonstrate the importance of adaptive radiation in the organism's ability to proliferate throughout the world's oceans, and describe genomic traits characteristic of different phylotypes in specific marine biomes. Molecular Systems Biology 8: 595; published online 17 July 2012; doi:10.1038/msb.2012.28 Subject Categories: cellular metabolism; microbiology &amp; pathogens</t>
  </si>
  <si>
    <t>[Brown, Mark V.; Lauro, Federico M.; DeMaere, Matthew Z.; Wilkins, David; Thomas, Torsten; Cavicchioli, Ricardo] Univ New S Wales, Sch Biotechnol &amp; Biomol Sci, Sydney, NSW 2052, Australia; [Brown, Mark V.] Univ New S Wales, Evolut &amp; Ecol Res Ctr, Sydney, NSW, Australia; [Rintoul, Stephen R.] CSIRO Marine &amp; Atmospher Res, Ctr Australian Weather &amp; Climate Res, Hobart, Tas, Australia; [Thomas, Torsten] Univ New S Wales, Ctr Marine Bioinnovat, Sydney, NSW, Australia; [Riddle, Martin J.] Australian Antarct Div, Kingston, Tas, Australia; [Fuhrman, Jed A.] Univ So Calif, Dept Biol Sci, Wrigley Inst Environm Studies, Los Angeles, CA 90089 USA; [Andrews-Pfannkoch, Cynthia; Hoffman, Jeffrey M.; McQuaid, Jeffrey B.; Allen, Andrew] J Craig Venter Inst, Rockville, MD USA; [Rintoul, Stephen R.] Antarct Climate &amp; Ecosyst Cooperat Res Ctr, Hobart, Tas, Australia</t>
  </si>
  <si>
    <t>University of New South Wales Sydney; University of New South Wales Sydney; Commonwealth Scientific &amp; Industrial Research Organisation (CSIRO); University of New South Wales Sydney; Australian Antarctic Division; University of Southern California; J. Craig Venter Institute</t>
  </si>
  <si>
    <t>Cavicchioli, R (corresponding author), Univ New S Wales, Sch Biotechnol &amp; Biomol Sci, Sydney, NSW 2052, Australia.</t>
  </si>
  <si>
    <t>r.cavicchioli@unsw.edu.au</t>
  </si>
  <si>
    <t>DeMaere, Matthew Zachariah/D-9002-2012; Allen, Andrew E/C-4896-2012; Lauro, Federico/X-2420-2019; Fuhrman, Jed A/C-6461-2013; Rintoul, Stephen R/A-1471-2012; Cavicchioli, Ricardo/D-4341-2013</t>
  </si>
  <si>
    <t>DeMaere, Matthew Zachariah/0000-0002-7601-5108; Allen, Andrew E/0000-0001-5911-6081; Lauro, Federico/0000-0002-8373-1014; Fuhrman, Jed A/0000-0002-2361-1985; Rintoul, Stephen R/0000-0002-7055-9876; Wilkins, David/0000-0002-3385-8981; Cavicchioli, Ricardo/0000-0001-8989-6402; McQuaid, Jeff/0000-0002-2646-9283; Thomas, Torsten/0000-0001-9557-3001</t>
  </si>
  <si>
    <t>Australian Research Council; Australian Antarctic Division; Gordon and Betty Moore Foundation</t>
  </si>
  <si>
    <t>Australian Research Council(Australian Research Council); Australian Antarctic Division; Gordon and Betty Moore Foundation(Gordon and Betty Moore Foundation)</t>
  </si>
  <si>
    <t>We acknowledge technical support for computing infrastructure and software development from Intersect, and in particular assistance from Joachim Mai, and acknowledge Matthew Lewis from the JCVI for his assistance with DNA sequencing. This work was supported by the Australian Research Council and the Australian Antarctic Division. Funding for sequencing was provided by the Gordon and Betty Moore Foundation to the JCVI.</t>
  </si>
  <si>
    <t>1744-4292</t>
  </si>
  <si>
    <t>MOL SYST BIOL</t>
  </si>
  <si>
    <t>Mol. Syst. Biol.</t>
  </si>
  <si>
    <t>10.1038/msb.2012.28</t>
  </si>
  <si>
    <t>984FF</t>
  </si>
  <si>
    <t>WOS:000307174800005</t>
  </si>
  <si>
    <t>Gleckler, PJ; Santer, BD; Domingues, CM; Pierce, DW; Barnett, TP; Church, JA; Taylor, KE; AchutaRao, KM; Boyer, TP; Ishii, M; Caldwell, PM</t>
  </si>
  <si>
    <t>Gleckler, P. J.; Santer, B. D.; Domingues, C. M.; Pierce, D. W.; Barnett, T. P.; Church, J. A.; Taylor, K. E.; AchutaRao, K. M.; Boyer, T. P.; Ishii, M.; Caldwell, P. M.</t>
  </si>
  <si>
    <t>Human-induced global ocean warming on multidecadal timescales</t>
  </si>
  <si>
    <t>SEA-LEVEL CHANGES; HEAT-CONTENT; WORLDS OCEANS; TEMPERATURE; VARIABILITY</t>
  </si>
  <si>
    <t>Large-scale increases in upper-ocean temperatures are evident in observational records(1). Several studies have used well-established detection and attribution methods to demonstrate that the observed basin-scale temperature changes are consistent with model responses to anthropogenic forcing and inconsistent with model-based estimates of natural variability(2-5). These studies relied on a single observational data set and employed results from only one or two models. Recent identification of systematic instrumental biases(6) in expendable bathythermograph data has led to improved estimates of ocean temperature variability and trends(7-9) and provide motivation to revisit earlier detection and attribution studies. We examine the causes of ocean warming using these improved observational estimates, together with results from a large multimodel archive of externally forced and unforced simulations. The time evolution of upper ocean temperature changes in the newer observational estimates is similar to that of the multimodel average of simulations that include the effects of volcanic eruptions. Our detection and attribution analysis systematically examines the sensitivity of results to a variety of model and data-processing choices. When global mean changes are included, we consistently obtain a positive identification (at the 1% significance level) of an anthropogenic fingerprint in observed upper-ocean temperature changes, thereby substantially strengthening existing detection and attribution evidence.</t>
  </si>
  <si>
    <t>[Gleckler, P. J.; Santer, B. D.; Taylor, K. E.; Caldwell, P. M.] Lawrence Livermore Natl Lab, Program Climate Model Diag &amp; Intercomparison, Livermore, CA 94550 USA; [Domingues, C. M.] Antarctic &amp; Climate Ecosyst Cooperat Res Ctr, Hobart, Tas, Australia; [Domingues, C. M.; Church, J. A.] CSIRO Marine &amp; Atmospher Res, Ctr Australian Weather &amp; Climate Res, Hobart, Tas 7001, Australia; [Domingues, C. M.; Church, J. A.] CSIRO Marine &amp; Atmospher Res, Wealth Oceans Flagship, Hobart, Tas 7001, Australia; [Pierce, D. W.; Barnett, T. P.] Univ Calif San Diego, Scripps Inst Oceanog, Climate Res Div, La Jolla, CA 92093 USA; [AchutaRao, K. M.] Indian Inst Technol, Delhi 110016, India; [Boyer, T. P.] NOAA, Natl Oceanog Data Ctr, Silver Spring, MD 20910 USA; [Ishii, M.] Meteorol Res Inst, Climate Res Dept, Tsukuba, Ibaraki 3050052, Japan</t>
  </si>
  <si>
    <t>United States Department of Energy (DOE); Lawrence Livermore National Laboratory; Antarctic Climate &amp; Ecosystems Cooperative Research Centre (ACE CRC); Commonwealth Scientific &amp; Industrial Research Organisation (CSIRO); Commonwealth Scientific &amp; Industrial Research Organisation (CSIRO); University of California System; University of California San Diego; Scripps Institution of Oceanography; Indian Institute of Technology System (IIT System); Indian Institute of Technology (IIT) - Delhi; National Oceanic Atmospheric Admin (NOAA) - USA; Meteorological Research Institute - Japan</t>
  </si>
  <si>
    <t>Gleckler, PJ (corresponding author), Lawrence Livermore Natl Lab, Program Climate Model Diag &amp; Intercomparison, Mail Code L-103,7000 E Ave, Livermore, CA 94550 USA.</t>
  </si>
  <si>
    <t>gleckler1@llnl.gov</t>
  </si>
  <si>
    <t>Santer, Benjamin D/F-9781-2011; Domingues, Catia M./A-2901-2015; Gleckler, Peter/H-4762-2012; Caldwell, Peter M/K-1899-2014; Santer, Ben/ABA-1099-2021; Church, John A/A-1541-2012; Taylor, Karl E./F-7290-2011</t>
  </si>
  <si>
    <t>Domingues, Catia M./0000-0001-5100-4595; Church, John A/0000-0002-7037-8194; Caldwell, Peter/0000-0001-8604-0844; Taylor, Karl E./0000-0002-6491-2135</t>
  </si>
  <si>
    <t>Office of Science, US Department of Energy; US Department of Energy [DE-AC52-07NA27344]; CSIRO Office of the Chief Executive Postdoctoral Fellowship; Australian Climate Change Science Program; Australian Academy of Science; US Department of Energy's International ad hoc Detection and Attribution Group (IDAG)</t>
  </si>
  <si>
    <t>Office of Science, US Department of Energy(United States Department of Energy (DOE)); US Department of Energy(United States Department of Energy (DOE)); CSIRO Office of the Chief Executive Postdoctoral Fellowship; Australian Climate Change Science Program; Australian Academy of Science; US Department of Energy's International ad hoc Detection and Attribution Group (IDAG)(United States Department of Energy (DOE))</t>
  </si>
  <si>
    <t>We acknowledge the climate model development groups for providing their simulation output for analysis, PCMDi for collecting and archiving this data and the World Climate Research Programme's Working Group on Coupled Modelling for organizing the model data analysis activity. The CMIP3 multimodel data set is supported by the Office of Science, US Department of Energy. Work at Lawrence Livermore National Laboratory (by P.J.G., P.M.C., B.D.S. and K.E.T.) was carried out under the auspices of the US Department of Energy under contract DE-AC52-07NA27344. C.M.D. was partly financially supported by a CSIRO Office of the Chief Executive Postdoctoral Fellowship, the Australian Climate Change Science Program and the Australian Academy of Science (Scientific Visit to North America Program). D.W.P. was partially funded by the US Department of Energy's International ad hoc Detection and Attribution Group (IDAG).</t>
  </si>
  <si>
    <t>10.1038/NCLIMATE1553</t>
  </si>
  <si>
    <t>972AS</t>
  </si>
  <si>
    <t>WOS:000306249500017</t>
  </si>
  <si>
    <t>Diez, MJ; Pérez-Barros, P; Romero, MC; Scioscia, G; Tapella, F; Cabreira, AG; Madirolas, A; Rey, AR; Lovrich, GA</t>
  </si>
  <si>
    <t>Diez, Mariano J.; Perez-Barros, Patricia; Carolina Romero, M.; Scioscia, Gabriela; Tapella, Federico; Cabreira, Ariel G.; Madirolas, Adrian; Raya Rey, Andrea; Lovrich, Gustavo A.</t>
  </si>
  <si>
    <t>Pelagic swarms and beach strandings of the squat lobster Munida gregaria (Anomura: Munididae) in the Beagle Channel, Tierra del Fuego</t>
  </si>
  <si>
    <t>Krill; Shoals; Sub-Antarctic; Distribution; Hydroacoustic</t>
  </si>
  <si>
    <t>CRAB PLEURONCODES-PLANIPES; SAN JORGE GULF; BAJA-CALIFORNIA; FABRICIUS DECAPODA; SUBRUGOSA DECAPODA; BAHIA-MAGDALENA; WEST-COAST; GALATHEIDAE; CRUSTACEA; ABUNDANCE</t>
  </si>
  <si>
    <t>The present article is the first formal record of pelagic swarms and beach strandings of the squat lobster Munida gregaria in the Beagle Channel, southern South America. To describe size composition and natural diet of beach strandings and swarms, samples from strandings were taken in April 2007, March 2008 and March 2010. Samples from swarms were taken in May 2007 and April 2010. Also, during November 2008 and January 2009, two acoustic surveys were carried out to describe both, horizontal distribution and school metrics of swarms. Pelagic swarms and beach strandings were composed of 100% individuals of the morph gregaria of M. gregaria. Mean size of males and females in both, beach strandings and swarms, were similar. The diet of pelagic M. gregaria was composed mainly of crustaceans, unicellular algae and small macroalgae, sediment and particulate organic matter. Swarms of pelagic Munida took the shape of extended layers of varying density and height. Their positions in the water column were also variable: swarms were found at different depths, from the subsurface layer to near the sea bottom. Occasionally, some large swarms occupied most of the water column. In the Beagle Channel, SW winds during spring tides could be a forcing factor for M. gregaria strandings. The absence of shoaling animals in the Beagle Channel between 1997 and 2002 and the recent occurrence of swarms are coincident with their appearance in other locations in Patagonia. In consequence, we hypothesize that the factor influencing the formation of swarms must be acting at a regional scale.</t>
  </si>
  <si>
    <t>[Diez, Mariano J.; Carolina Romero, M.; Scioscia, Gabriela; Tapella, Federico; Raya Rey, Andrea; Lovrich, Gustavo A.] Ctr Austral Invest Cient CADIC CONICET, Ushuaia, Tierra Del Fueg, Argentina; [Diez, Mariano J.; Perez-Barros, Patricia; Carolina Romero, M.; Scioscia, Gabriela; Tapella, Federico; Raya Rey, Andrea; Lovrich, Gustavo A.] Consejo Nacl Invest Cient &amp; Tecn CONICET, Buenos Aires, DF, Argentina; [Perez-Barros, Patricia] Univ Buenos Aires, Fac Ciencias Exactas &amp; Nat, Dept Ecol Genet &amp; Evoluc, Buenos Aires, DF, Argentina; [Cabreira, Ariel G.; Madirolas, Adrian] Inst Nacl Invest &amp; Desarrollo Pesquero INIDEP, Mar Del Plata, Buenos Aires, Argentina</t>
  </si>
  <si>
    <t>Consejo Nacional de Investigaciones Cientificas y Tecnicas (CONICET); Consejo Nacional de Investigaciones Cientificas y Tecnicas (CONICET); University of Buenos Aires; Consejo Nacional de Investigaciones Cientificas y Tecnicas (CONICET); National Fisheries Research &amp; Development Institute (INIDEP)</t>
  </si>
  <si>
    <t>Diez, MJ (corresponding author), Ctr Austral Invest Cient CADIC CONICET, Houssay 200,V9410CAB, Ushuaia, Tierra Del Fueg, Argentina.</t>
  </si>
  <si>
    <t>marianodiez@cadic-conicet.gob.ar</t>
  </si>
  <si>
    <t>Raya Rey, Andrea/0000-0003-0127-6650; Lovrich, Gustavo/0000-0001-8424-6566</t>
  </si>
  <si>
    <t>Agencia Nacional de Promocion Cientifica y Tecnologica [PICT 34146, PICT-Bicentenario 10-1123]; Wildlife Conservation Society; CONICET, Argentina</t>
  </si>
  <si>
    <t>Agencia Nacional de Promocion Cientifica y Tecnologica(ANPCyTSpanish Government); Wildlife Conservation Society; CONICET, Argentina(Consejo Nacional de Investigaciones Cientificas y Tecnicas (CONICET))</t>
  </si>
  <si>
    <t>We are grateful to O. Florentin, M. P. Sotelano, R. Saenz Samaniego, M. Perez and M. Gowland for field and laboratory assistance. M. Gutierrez and two anonymous reviewers provided useful suggestions for manuscript improvement. This study was funded by the Agencia Nacional de Promocion Cientifica y Tecnologica (PICT 34146; PICT-Bicentenario 10-1123) and Wildlife Conservation Society granted to ACM Schiavini. MJD and GS have postdoctoral and doctoral fellowships, respectively, from CONICET, Argentina.</t>
  </si>
  <si>
    <t>10.1007/s00300-011-1144-5</t>
  </si>
  <si>
    <t>950BJ</t>
  </si>
  <si>
    <t>WOS:000304623600001</t>
  </si>
  <si>
    <t>Ericson, JA; Ho, MA; Miskelly, A; King, CK; Virtue, P; Tilbrook, B; Byrne, M</t>
  </si>
  <si>
    <t>Ericson, J. A.; Ho, M. A.; Miskelly, A.; King, C. K.; Virtue, P.; Tilbrook, B.; Byrne, M.</t>
  </si>
  <si>
    <t>Combined effects of two ocean change stressors, warming and acidification, on fertilization and early development of the Antarctic echinoid Sterechinus neumayeri</t>
  </si>
  <si>
    <t>Ocean acidification; Ocean warming; Antarctica; Echinoderm; Early life history</t>
  </si>
  <si>
    <t>REDUCED SEAWATER PH; SEA-URCHIN; CLIMATE-CHANGE; SOUTHERN-OCEAN; TEMPERATURE; EMBRYOS; SPERM; ECHINODERMATA; SENSITIVITY; IMPACT</t>
  </si>
  <si>
    <t>The effects of concurrent ocean warming and acidification on Antarctic marine benthos warrant investigation as little is known about potential synergies between these climate change stressors. We examined the interactive effects of warming and acidification on fertilization and embryonic development of the ecologically important sea urchin Sterechinus neumayeri reared from fertilization in elevated temperature (+1.5A degrees C and 3A degrees C) and decreased pH (-0.3 and -0.5 pH units) treatments. Fertilization using gametes from multiple males and females, to represent populations of spawners, was resilient to acidification at ambient temperature (0A degrees C). At elevated temperatures, there was a negative interactive effect of temperature and pH on percentage of fertilization (11% reduction at 3A degrees C). For cleavage stage embryos, there was a significant, but small reduction (6%) in the percentage of normal embryos at pH 7.5. For blastulae, a 10-11% decrease in normal development occurred in the +3A degrees C treatments across all pH levels. Our results highlight the importance of considering the impacts of both temperature and pH in assessing the life history response of S. neumayeri in a changing polar ocean. While fertilization and development to the blastula stage were robust to levels of temperature and pH change predicted over coming decades, deleterious interactive effects were evident between these stressors at levels projected to occur by 2100 and beyond.</t>
  </si>
  <si>
    <t>[Ericson, J. A.; Ho, M. A.; Miskelly, A.; Byrne, M.] Univ Sydney, Sch Med Sci, Sydney, NSW 2006, Australia; [Ericson, J. A.] Univ Otago, Dunedin, New Zealand; [King, C. K.] Australian Antarctic Div, Kingston, Tas, Australia; [Virtue, P.] Univ Tasmania, Inst Marine &amp; Antarctic Studies, Hobart, Tas, Australia; [Tilbrook, B.] Ctr Australian Weather &amp; Climate Res, Hobart, Tas, Australia; [Tilbrook, B.] Antarctic Climate &amp; Ecosyst Cooperat Res Ctr, Hobart, Tas, Australia; [Byrne, M.] Univ Sydney, Sch Biol Sci, Sydney, NSW 2006, Australia</t>
  </si>
  <si>
    <t>University of Sydney; University of Otago; Australian Antarctic Division; University of Tasmania; Commonwealth Scientific &amp; Industrial Research Organisation (CSIRO); Antarctic Climate &amp; Ecosystems Cooperative Research Centre (ACE CRC); University of Sydney</t>
  </si>
  <si>
    <t>Ericson, JA (corresponding author), Univ Sydney, Sch Med Sci, Sydney, NSW 2006, Australia.</t>
  </si>
  <si>
    <t>jess.ericson@otagoalumni.ac.nz</t>
  </si>
  <si>
    <t>Byrne, Maria/K-6355-2016; Ericson, Jessica/B-1696-2016; King, Catherine K/G-7059-2017; Tilbrook, Bronte/W-4007-2019; Ericson, Jessica/AAP-1976-2020</t>
  </si>
  <si>
    <t>Byrne, Maria/0000-0002-8902-9808; Ericson, Jessica/0000-0001-5220-8493; King, Catherine K/0000-0003-3356-0381; Tilbrook, Bronte/0000-0001-9385-3827; Ericson, Jessica/0000-0001-5220-8493; Virtue, Patti/0000-0002-9870-1256</t>
  </si>
  <si>
    <t>Australian Antarctic Division (AAD)</t>
  </si>
  <si>
    <t>This work was supported by a grant from the Australian Antarctic Division (AAD). Thanks to AAD staff and students who provided assistance and logistical support including Rob King, Steve Whiteside, John van den Hoff, Andrew Bryant, Clive Strauss, Charmaine Alford, Kathryn Brown, Lara Marcus, Sarah Payne, Bianca Sfiligoj, Claire Wallis, Debbie Lang, Jane Wasley, Dougie Gray, and Leigh Hornsby.</t>
  </si>
  <si>
    <t>10.1007/s00300-011-1150-7</t>
  </si>
  <si>
    <t>WOS:000304623600006</t>
  </si>
  <si>
    <t>Fore, I; Kristjánsson, JE; Kolstad, EW; Bracegirdle, TJ; Saetra, O; Rosting, B</t>
  </si>
  <si>
    <t>Fore, Ivan; Kristjansson, Jon Egill; Kolstad, Erik W.; Bracegirdle, Thomas J.; Saetra, Oyvind; Rosting, Bjorn</t>
  </si>
  <si>
    <t>A 'hurricane-like' polar low fuelled by sensible heat flux: high-resolution numerical simulations</t>
  </si>
  <si>
    <t>QUARTERLY JOURNAL OF THE ROYAL METEOROLOGICAL SOCIETY</t>
  </si>
  <si>
    <t>polar lows; numerical experiments; air-sea interactions; upper-level forcing</t>
  </si>
  <si>
    <t>PART I; MODEL; SEA; CLIMATOLOGY; CONVECTION; SYSTEM; LAYER; CISK</t>
  </si>
  <si>
    <t>An unusually deep (961 hPa) hurricane-like polar low over the Barents Sea during 1821 December 2002 is studied by a series of fine-mesh (3 km) experiments using the Weather Research and Forecasting (WRF) model. The simulated polar low was similar to hurricanes and similar previous case-studies in that it had a clear, calm and warm eye structure surrounded by moist convection organized in spiral cloud bands, and the highest surface wind speeds were found in the eye wall. The proximity to the sea ice and the high surface wind speeds (about 25 m s-1) during the deepening stage triggered extremely high surface sensible and latent heat fluxes at the eye wall of about 1200 and 400 W m-2, respectively. As the polar low moved eastward and weakened, maximum surface sensible and latent heat fluxes dropped to about 600 and 300 W m-2, respectively. Two types of sensitivity experiments were designed to analyse the physical properties of the polar low. Firstly, physical processes such as condensational heating and sensible and/or latent heat fluxes were switched offon throughout the simulation. In the second type, these processes were turned offon after the polar low had reached its peak intensity, which minimized the deformation of the polar-low environment, making it suitable to study the direct effect of physical processes on the mature vortex. The experiments suggest that the deepening stage of the polar low was dominated by baroclinic growth and that upper-level potential vorticity forcing contributed throughout its life cycle. After the deepening stage, the baroclinicity vanished and the polar low was fuelled by surface sensible heat fluxes while latent heat fluxes played a minor role. Condensational heating was not essential for the energetics of the polar low. Surprisingly, in experiments where condensational heating was turned off throughout the simulation, the polar low intensified. Copyright (c) 2012 Royal Meteorological Society</t>
  </si>
  <si>
    <t>[Fore, Ivan; Kristjansson, Jon Egill] Univ Oslo, Dept Geosci, N-0316 Oslo, Norway; [Kolstad, Erik W.] Uni Res ASBergen, Bergen, Norway; [Kolstad, Erik W.] Bjerknes Ctr Climate Res, Bergen, Norway; [Bracegirdle, Thomas J.] British Antarctic Survey, Cambridge CB3 0ET, England; [Saetra, Oyvind; Rosting, Bjorn] Norwegian Meteorol Inst, Oslo, Norway</t>
  </si>
  <si>
    <t>University of Oslo; Bjerknes Centre for Climate Research; UK Research &amp; Innovation (UKRI); Natural Environment Research Council (NERC); NERC British Antarctic Survey; Norwegian Meteorological Institute</t>
  </si>
  <si>
    <t>Fore, I (corresponding author), Univ Oslo, Dept Geosci, POB 1047 Blindern, N-0316 Oslo, Norway.</t>
  </si>
  <si>
    <t>ifore@geo.uio.no</t>
  </si>
  <si>
    <t>Bracegirdle, Tom/AAD-6060-2020; Kolstad, Erik/A-2311-2015; Kolstad, Erik Olsøybakk/GYJ-6310-2022</t>
  </si>
  <si>
    <t>Kolstad, Erik/0000-0001-5394-9541; Bracegirdle, Thomas/0000-0002-8868-4739</t>
  </si>
  <si>
    <t>Norwegian Research Council [175992]; NERC [bas0100023] Funding Source: UKRI; Natural Environment Research Council [bas0100023] Funding Source: researchfish</t>
  </si>
  <si>
    <t>Norwegian Research Council(Research Council of Norway); NERC(UK Research &amp; Innovation (UKRI)Natural Environment Research Council (NERC)); Natural Environment Research Council(UK Research &amp; Innovation (UKRI)Natural Environment Research Council (NERC))</t>
  </si>
  <si>
    <t>This study has received support from the Norwegian Research Council through the project 'THORPEX-IPY: Improved forecasting of adverse weather in the Arctic - present and future' (grant no. 175992). The authors are grateful to WRF-help and Greg Thompson at NCAR for support on configurations of sensitivity experiments and the set-up of the WRF model. In particular, the authors wish to thank Gunnar Wollan and Simen Gaure for support on implementation of WRF at the University of Oslo. The first author wishes particularly to thank Bjorn Egil Nygard and Oyvind Hodnebrog for support with Matlab and WRF, and special thanks go to Gunnar Noer at the Norwegian Meteorological Institute for valuable discussion. To all my colleagues at MetOs, thanks for your motivating support and discussions.</t>
  </si>
  <si>
    <t>0035-9009</t>
  </si>
  <si>
    <t>1477-870X</t>
  </si>
  <si>
    <t>Q J ROY METEOR SOC</t>
  </si>
  <si>
    <t>Q. J. R. Meteorol. Soc.</t>
  </si>
  <si>
    <t>A</t>
  </si>
  <si>
    <t>10.1002/qj.1876</t>
  </si>
  <si>
    <t>979YH</t>
  </si>
  <si>
    <t>WOS:000306859800014</t>
  </si>
  <si>
    <t>Lee, JI; Yoon, HI; Yoo, KC; Lim, HS; Lee, YI; Kim, D; Bak, YS; Itaki, T</t>
  </si>
  <si>
    <t>Lee, Jae Il; Yoon, Ho Il; Yoo, Kyu-Cheul; Lim, Hyoun Soo; Lee, Yong Il; Kim, Donghyun; Bak, Young-Suk; Itaki, Takuya</t>
  </si>
  <si>
    <t>Late Quaternary glacial-interglacial variations in sediment supply in the southern Drake Passage</t>
  </si>
  <si>
    <t>QUATERNARY RESEARCH</t>
  </si>
  <si>
    <t>Quaternary; Antarctica; Drake Passage; Sediment; Provenance; Paleoclimate; Geochemistry</t>
  </si>
  <si>
    <t>ANTARCTIC PENINSULA; TERRIGENOUS SEDIMENT; SHETLAND ARC; PROVENANCE; OCEAN; AGE; VARIABILITY; RECORD; WATER; WEST</t>
  </si>
  <si>
    <t>Geochemical characteristics of marine sediment from the southern Drake Passage were analyzed to reconstruct variations in sediment provenance and transport paths during the late Quaternary. The 5.95 m gravity core used in this study records paleoenvironmental changes during the last approximately 600 ka. Down-core variations in trace element, rare earth element, and Nd and Sr isotopic compositions reveal that sediment provenance varied according to glacial cycles. During glacial periods, detrital sediments in the southern Drake Passage were mostly derived from the nearby South Shetland Islands and shelf sediments. In contrast, interglacial sediments are composed of mixed sediments, derived from both West Antarctica and East Antarctica. The East Antarctic provenance of the interglacial sediments was inferred to be the Weddell Sea region. Sediment input from the Weddell Sea was reduced during glacial periods by extensive ice sheets and weakened current from the Weddell Sea. Sediment supply from the Weddell Sea increased during interglacial periods, especially those with higher warmth such as MIS 5, 9, and 11. This suggests that the influence of deep water from the Weddell Sea increases during interglacial periods and decreases during glacial periods, with the degree of influence increasing as interglacial intensity increases. (C) 2012 University of Washington. Published by Elsevier Inc. All rights reserved.</t>
  </si>
  <si>
    <t>[Lee, Jae Il; Yoon, Ho Il; Yoo, Kyu-Cheul; Lim, Hyoun Soo] Korea Polar Res Inst, Inchon 406840, South Korea; [Lee, Yong Il; Kim, Donghyun] Seoul Natl Univ, Sch Earth &amp; Environm Sci, Seoul 151742, South Korea; [Bak, Young-Suk] Kyungpook Natl Univ, Dept Geol, Taegu 702701, South Korea; [Itaki, Takuya] Natl Inst Adv Ind Sci &amp; Technol, Geol Survey Japan, Tsukuba, Ibaraki 3058567, Japan</t>
  </si>
  <si>
    <t>Korea Institute of Ocean Science &amp; Technology (KIOST); Korea Polar Research Institute (KOPRI); Seoul National University (SNU); Kyungpook National University; National Institute of Advanced Industrial Science &amp; Technology (AIST)</t>
  </si>
  <si>
    <t>Lee, JI (corresponding author), Korea Polar Res Inst, Songdo Technopk,12 Gaetbeol Ro, Inchon 406840, South Korea.</t>
  </si>
  <si>
    <t>leeji@kopri.re.kr</t>
  </si>
  <si>
    <t>Lim, Hyoun Soo/AAC-5499-2022; Kim, Donghyun/J-3609-2019</t>
  </si>
  <si>
    <t>Lim, Hyoun Soo/0000-0002-2489-4470; Kim, Donghyun/0000-0002-5137-2213; Itaki, Takuya/0000-0001-5232-0055; Yoo, Kyu-Cheul/0000-0002-6186-7535</t>
  </si>
  <si>
    <t>KOPRI project [PP12020]; Grants-in-Aid for Scientific Research [21740373] Funding Source: KAKEN</t>
  </si>
  <si>
    <t>KOPRI project(Korea Polar Research Institute of Marine Research Placement (KOPRI)); Grants-in-Aid for Scientific Research(Ministry of Education, Culture, Sports, Science and Technology, Japan (MEXT)Japan Society for the Promotion of ScienceGrants-in-Aid for Scientific Research (KAKENHI))</t>
  </si>
  <si>
    <t>We are grateful to the crew and scientific party of the RV Yuzhmorgeologiya for all their help during the gravity coring on board. We acknowledge the comments from anonymous reviewers. This research was supported by KOPRI project PP12020.</t>
  </si>
  <si>
    <t>0033-5894</t>
  </si>
  <si>
    <t>1096-0287</t>
  </si>
  <si>
    <t>QUATERNARY RES</t>
  </si>
  <si>
    <t>Quat. Res.</t>
  </si>
  <si>
    <t>10.1016/j.yqres.2012.03.010</t>
  </si>
  <si>
    <t>969YV</t>
  </si>
  <si>
    <t>WOS:000306096200012</t>
  </si>
  <si>
    <t>González, PM</t>
  </si>
  <si>
    <t>Mancilla Gonzalez, Pablo</t>
  </si>
  <si>
    <t>CERTAIN ANTECEDENTS OF THE CHILEAN ANTARCTIC POLICY, 1892-1917</t>
  </si>
  <si>
    <t>Antarctic Continent; Chilean Antarctic Territory; Chilean Antarctic Policy</t>
  </si>
  <si>
    <t>The present bibliographical and documentary investigation has as its objective to inform about the activities of Chileans, Britains and Argentines and the political-administrative measures of the national authorities in order to protect possible sovereign titles and rights to exploit maritmes aqnd land resources in the subarctic and antarctic sectors.</t>
  </si>
  <si>
    <t>[Mancilla Gonzalez, Pablo] Univ Playa Ancha, Valparaiso, Chile</t>
  </si>
  <si>
    <t>González, PM (corresponding author), Univ Playa Ancha, Fac Humanidades, Dept Hist, Av Playa Ancha 850, Valparaiso, Chile.</t>
  </si>
  <si>
    <t>pablomancillag@hotmail.com</t>
  </si>
  <si>
    <t>Gonzalez, Pablo Mancilla/C-1931-2016</t>
  </si>
  <si>
    <t>V36GW</t>
  </si>
  <si>
    <t>WOS:000215957700002</t>
  </si>
  <si>
    <t>Uotila, P; O'Farrell, S; Marsland, SJ; Bi, D</t>
  </si>
  <si>
    <t>Uotila, P.; O'Farrell, S.; Marsland, S. J.; Bi, D.</t>
  </si>
  <si>
    <t>A sea-ice sensitivity study with a global ocean-ice model</t>
  </si>
  <si>
    <t>Sea-ice; Modelling; Sensitivity</t>
  </si>
  <si>
    <t>HEAT-FLUX; SIMULATIONS; THICKNESS; IMPACT</t>
  </si>
  <si>
    <t>The sensitivity of the global sea-ice distribution in the Australian Climate Ocean Model (AusCOM) to a range of parameter values related to sea-ice physics was explored. The sea-ice component of AusCOM is the U.S. Los Alamos National Laboratory Sea Ice Model (CICE4.1) and the ocean component is the Modular Ocean Model developed at NOAA's Geophysical Fluid Dynamics Laboratory (GFDL MOM4p1). We aimed to determine optimal sets of parameter values to produce as realistic a global sea-ice distribution as possible. A small number of sets of optimal parameter values was selected based on the closest match between the model and observationally constrained model climatologies. New detailed information is provided on the sensitivity of the global sea-ice distribution to the parameters not studied this extensively before. The sea-ice distribution shows a similar degree of sensitivity to parameters determining ice-ocean stress, mechanical redistribution, oceanic heat and shortwave radiation. Accordingly, AusCOM can be effectively tuned to produce realistic sea ice by parameters internal to the sea-ice model. The sensitivity of ice volume is stronger than that of ice area indicating that the internal ice model parameters mostly influence the ice thickness. The sea-ice area has significantly weaker sensitivity to the sea-ice model parameters considered, particularly in winter. Then, the evolution of sea ice is dominated by external factors, such as location of land, and atmospheric and oceanic forcing. The performance of the ocean model is crucial in producing a realistic sea-ice cover, in both the Arctic and the Antarctic. Crown Copyright (C) 2012 Published by Elsevier Ltd. All rights reserved.</t>
  </si>
  <si>
    <t>[Uotila, P.; O'Farrell, S.; Marsland, S. J.; Bi, D.] CSIRO Marine &amp; Atmospher Res, Aspendale, Vic, Australia</t>
  </si>
  <si>
    <t>Commonwealth Scientific &amp; Industrial Research Organisation (CSIRO)</t>
  </si>
  <si>
    <t>Uotila, P (corresponding author), CSIRO Marine &amp; Atmospher Res, Aspendale, Vic, Australia.</t>
  </si>
  <si>
    <t>petteri.uotila@csiro.au</t>
  </si>
  <si>
    <t>Bi, Daohua/O-4508-2015; Marsland, Simon J/A-1453-2012; Uotila, Petteri/A-1703-2012</t>
  </si>
  <si>
    <t>Marsland, Simon J/0000-0002-5664-5276; Uotila, Petteri/0000-0002-2939-7561</t>
  </si>
  <si>
    <t>NCI National Facility at the ANU, Canberra, Australia</t>
  </si>
  <si>
    <t>We thank Dr. Jinlun Zhang for providing the GIOMAS data. This work was supported by the NCI National Facility at the ANU, Canberra, Australia. Two anonymous reviewers are acknowledged for their comments that improved the manuscript.</t>
  </si>
  <si>
    <t>10.1016/j.ocemod.2012.04.002</t>
  </si>
  <si>
    <t>949YD</t>
  </si>
  <si>
    <t>WOS:000304613300001</t>
  </si>
  <si>
    <t>Paterson, H; Laybourn-Parry, J</t>
  </si>
  <si>
    <t>Paterson, Harriet; Laybourn-Parry, Johanna</t>
  </si>
  <si>
    <t>Sea ice microbial dynamics over an annual ice cycle in Prydz Bay, Antarctica</t>
  </si>
  <si>
    <t>Sea ice; Bacteria; Nanoflagellates; Dinoflagellates; Ciliates; Chlorophyll a</t>
  </si>
  <si>
    <t>EASTERN WEDDELL SEA; PLATELET LAYER; COMMUNITY; BIOMASS; BACTERIVORY; MICROALGAE; GROWTH; WATER; PHOTOSYNTHESIS; CHRYSOPHYTES</t>
  </si>
  <si>
    <t>Microbial community dynamics within the fast sea ice of Prydz Bay (68A degrees S 78A degrees E) were investigated over an annual cycle at two sites (1 and 3 km offshore) between April and November 2008. There are few long-term sea ice studies, and few that cover the phase of winter darkness when autotrophic processes are curtailed. Mean chlorophyll a concentrations in the ice column ranged between 0.76 and 44.8 mu g L-1 at the 1-km site (Site 1) and 3.11-144.6 mu g L-1 at the 3-km site (Site 2). Highest chlorophyll a usually occurred at the base of the ice. Bacterial concentrations ranged between 0.30 and 2.08 x 10(8) cells L-1, heterotrophic nanoflagellates (HNAN) between 0.21 x 10(5) and 2.98 x 10(5) cells L-1 and phototrophic nanoflagellates (PNAN) 0-1.06 x 10(5) cells L-1. While HNAN occurred throughout the year, PNAN were largely absent in winter. Dinoflagellates were a conspicuous and occasionally an abundant element of the community (maximum 17,460 cells L-1), while ciliates were sparse. The bacterial community showed considerable morphological diversity with a dominance of filamentous forms. Bacterial production continued throughout the year ranging between 0 and 22.92 mu g C L-1 day(-1) throughout the ice column. Lowest rates occurred between late June and early August. The sea ice sustained an active and diverse microbial community through its annual extent. The data suggest that during winter darkness the microbial community is dominated by heterotrophic processes, sustained by a pool of dissolved organic carbon.</t>
  </si>
  <si>
    <t>[Laybourn-Parry, Johanna] Univ Bristol, Bristol Glaciol Ctr, Sch Geog Studies, Bristol BS8 1SS, Avon, England; [Paterson, Harriet] Univ Tasmania, Inst Marine &amp; Antarctic Studies, Hobart, Tas, Australia</t>
  </si>
  <si>
    <t>University of Bristol; University of Tasmania</t>
  </si>
  <si>
    <t>Laybourn-Parry, J (corresponding author), Univ Bristol, Bristol Glaciol Ctr, Sch Geog Studies, Bristol BS8 1SS, Avon, England.</t>
  </si>
  <si>
    <t>Paterson, Harriet H/F-3847-2012</t>
  </si>
  <si>
    <t>Paterson, Harriet/0000-0002-9825-3588</t>
  </si>
  <si>
    <t>University of Tasmania; Australian Antarctic Research Assessment Committee</t>
  </si>
  <si>
    <t>We are indebted to the support of the Davis expeditioners during 2008/09 for their assistance with fieldwork. This work was funded by grants from the University of Tasmania and the Australian Antarctic Research Assessment Committee.</t>
  </si>
  <si>
    <t>10.1007/s00300-011-1146-3</t>
  </si>
  <si>
    <t>WOS:000304623600003</t>
  </si>
  <si>
    <t>Saborowski, R</t>
  </si>
  <si>
    <t>Saborowski, Reinhard</t>
  </si>
  <si>
    <t>Related antipodes: a comparative study on digestive endopeptidases from Northern krill and Antarctic krill (Euphausiacea)</t>
  </si>
  <si>
    <t>Antarctic krill; Northern krill; Digestion; Proteinase; Trypsin; Chymotrypsin</t>
  </si>
  <si>
    <t>MEGANYCTIPHANES-NORVEGICA; SERINE PROTEINASES; PEPTIDE-HYDROLASES; SUPERBA; PURIFICATION; FOOD; POSTMORTEM; CRUSTACEAN; COPEPODS</t>
  </si>
  <si>
    <t>The Antarctic krill, Euphausia superba, and the Northern krill, Meganyctiphanes norvegica, are closely related species but occupy significantly different trophic and climatic environments. E. superba holds a key position as a phytoplankton grazer in the Southern Ocean. The omnivorous M. norvegica is an important member of plankton communities in the Northeast Atlantic. Both species expressed high proteolytic activities which were dominated by serine proteinases. In the stomachs of Antarctic krill, activities of total proteinase, trypsin, and chymotrypsin were significantly higher than in Northern krill. In the midgut glands, however, total proteinase and trypsin activities were similar in both species, but chymotrypsin activity was significantly higher in Antarctic krill. Moreover, Antarctic krill expressed four trypsin isoforms while only one isoform appeared in Northern krill. Chymotrypsin was present in either species as one single isoform. Antarctic krill adapted to the low and patchy distribution of food by elevated enzyme activities and the expression of trypsin isoforms with slightly different catalytic properties. Presumably, these enzymes facilitate in concerted action the efficient utilization of proteins from phytoplankton, the major food. Northern krill, in contrast, seems not to be equipped to face food limitation. It expresses a simple or basic set of digestive enzymes for utilizing abundant and easily digestible prey.</t>
  </si>
  <si>
    <t>Alfred Wegener Inst Polar &amp; Marine Res, D-27515 Bremerhaven, Germany</t>
  </si>
  <si>
    <t>Saborowski, R (corresponding author), Alfred Wegener Inst Polar &amp; Marine Res, D-27515 Bremerhaven, Germany.</t>
  </si>
  <si>
    <t>Reinhard.Saborowski@awi.de</t>
  </si>
  <si>
    <t>Saborowski, Reinhard/0000-0003-0289-6501</t>
  </si>
  <si>
    <t>10.1007/s00300-011-1147-2</t>
  </si>
  <si>
    <t>WOS:000304623600004</t>
  </si>
  <si>
    <t>Barrera-Oro, E; Eastman, JT; Moreira, E</t>
  </si>
  <si>
    <t>Barrera-Oro, Esteban; Eastman, Joseph T.; Moreira, Eugenia</t>
  </si>
  <si>
    <t>Phenotypic plasticity in the Antarctic nototheniid fish Trematomus newnesi: a guide to the identification of typical, large mouth and intermediate morphs</t>
  </si>
  <si>
    <t>Phenotypic plasticity; Notothenioidei; Ecology; McMurdo Sound; Potter Cove</t>
  </si>
  <si>
    <t>SOUTH SHETLAND ISLANDS; TERRA-NOVA BAY; POTTER COVE; BIOLOGY; BIOMASS; PISCES; DIET</t>
  </si>
  <si>
    <t>Trematomus newnesi is a common inshore species with a circum-Antarctic distribution. It provides the only known example of phenotypic plasticity in Antarctic notothenioid fish, existing as populations of typical, large mouth and intermediate morphs that can be difficult to identify. Using specimens from both Potter Cove, King George/25 de Mayo Island, and from McMurdo Sound, we found that the morphometric measurements gape width/head length (HL), upper jaw length/HL and, to a lesser extent, orbit diameter/HL reliably separated the morphs. For use in a key, we converted the ratios into the qualitative characters head shape, head width and upper jaw length relative to middle of the eye. To increase the reliability of the key, we also assessed intra-morph variability in these characters. The key is supplemented with colour photographs illustrating the distinctive features for separation of the morphs. We discovered that, in the case of the specimens from Potter Cove, each morph had a distinct pattern of colouration: typical-trunk blotched, with yellow or orange-brown predominating especially on pectoral and caudal fins; large mouth-trunk blotched, with green predominating especially in pectoral and opercular regions; and intermediate-trunk less blotched, with homogeneous dark brown-grey on trunk, pectoral and caudal fins. We also discuss the ecological implications of colour in the morphs.</t>
  </si>
  <si>
    <t>[Barrera-Oro, Esteban; Moreira, Eugenia] Inst Antartico Argentino, Buenos Aires, DF, Argentina; [Barrera-Oro, Esteban; Moreira, Eugenia] Consejo Nacl Invest Cient &amp; Tecn, RA-1033 Buenos Aires, DF, Argentina; [Barrera-Oro, Esteban] Museo Argentino Ciencias Nat Bernardino Rivadavia, Buenos Aires, DF, Argentina; [Eastman, Joseph T.] Ohio Univ, Dept Biomed Sci, Athens, OH 45701 USA</t>
  </si>
  <si>
    <t>Instituto Antartico Argentino; Consejo Nacional de Investigaciones Cientificas y Tecnicas (CONICET); Museo Argentino de Ciencias Naturales Bernardino Rivadavia (MACN); University System of Ohio; Ohio University</t>
  </si>
  <si>
    <t>Barrera-Oro, E (corresponding author), Inst Antartico Argentino, Cerrito 1248,A1010AAZ, Buenos Aires, DF, Argentina.</t>
  </si>
  <si>
    <t>ebarreraoro@dna.gov.ar</t>
  </si>
  <si>
    <t>Eastman, Joseph T./0000-0003-3868-261X; MOREIRA, EUGENIA/0000-0002-3704-1696</t>
  </si>
  <si>
    <t>US National Science Foundation [ANT 04-36190]</t>
  </si>
  <si>
    <t>We are grateful to Carlos Bellisio and Luis Vila for their collaboration in Weld activities and Sebastian Masi for their guidance in photographic procedures. The specimens from McMurdo Sound were collected and kindly given to us by Dr. Art DeVries. JTE was supported by US National Science Foundation grant ANT 04-36190. We thank the reviewers, Drs. Catherine Ozouf-Costaz and Guillaume Lecointre, for their comments on this paper.</t>
  </si>
  <si>
    <t>10.1007/s00300-011-1152-5</t>
  </si>
  <si>
    <t>WOS:000304623600008</t>
  </si>
  <si>
    <t>Damerau, M; Matschiner, M; Salzburger, W; Hanel, R</t>
  </si>
  <si>
    <t>Damerau, Malte; Matschiner, Michael; Salzburger, Walter; Hanel, Reinhold</t>
  </si>
  <si>
    <t>Comparative population genetics of seven notothenioid fish species reveals high levels of gene flow along ocean currents in the southern Scotia Arc, Antarctica</t>
  </si>
  <si>
    <t>Notothenioids; Adaptive radiation; Scotia Arc; Dispersal; Isolation-with-migration; Population genetics</t>
  </si>
  <si>
    <t>ICEFISH CHAENOCEPHALUS-ACERATUS; EARLY-LIFE HISTORY; PATAGONIAN TOOTHFISH; MACKEREL ICEFISH; MICROSATELLITE LOCI; ADAPTIVE RADIATION; LARVAL DISPERSAL; COMPUTER-PROGRAM; WEDDELL SEA; SOFTWARE</t>
  </si>
  <si>
    <t>The Antarctic fish fauna is characterized by high endemism and low species diversity with one perciform suborder, the Notothenioidei, dominating the whole species assemblage on the shelves and slopes. Notothenioids diversified in situ through adaptive radiation and show a variety of life history strategies as adults ranging from benthic to pelagic modes. Their larval development is unusually long, lasting from a few months to more than a year, and generally includes a pelagic larval stage. Therefore, the advection of eggs and larvae with ocean currents is a key factor modulating population connectivity. Here, we compare the genetic population structures and gene flow of seven ecologically distinct notothenioid species of the southern Scotia Arc based on nuclear microsatellites and mitochondrial DNA sequences (D-loop/cytochrome b). The seven species belong to the families Nototheniidae (Gobionotothen gibberifrons, Lepidonotothen squamifrons, Trematomus eulepidotus, T. newnesi) and Channichthyidae (Chaenocephalus aceratus, Champsocephalus gunnari, Chionodraco rastrospinosus). Our results show low-population differentiation and high gene flow for all investigated species independent of their adult life history strategies. In addition, gene flow is primarily in congruence with the prevailing ocean current system, highlighting the role of larval dispersal in population structuring of notothenioids.</t>
  </si>
  <si>
    <t>[Damerau, Malte; Hanel, Reinhold] Fed Res Inst Rural Areas Forestry &amp; Fisheries, Johann Heinrich von Thunen Inst, Inst Fisheries Ecol, D-22767 Hamburg, Germany; [Matschiner, Michael; Salzburger, Walter] Univ Basel, Inst Zool, CH-4051 Basel, Switzerland</t>
  </si>
  <si>
    <t>Johann Heinrich von Thunen Institute; University of Basel</t>
  </si>
  <si>
    <t>Hanel, R (corresponding author), Fed Res Inst Rural Areas Forestry &amp; Fisheries, Johann Heinrich von Thunen Inst, Inst Fisheries Ecol, Palmaille 9, D-22767 Hamburg, Germany.</t>
  </si>
  <si>
    <t>reinhold.hanel@vti.bund.de</t>
  </si>
  <si>
    <t>Hanel, Reinhold/AAO-4887-2021; Salzburger, Walter/G-1598-2011</t>
  </si>
  <si>
    <t>Salzburger, Walter/0000-0002-9988-1674</t>
  </si>
  <si>
    <t>Deutsche Forschungsgemeinschaft (DFG) [HA 4328/4]; VolkswagenStiftung</t>
  </si>
  <si>
    <t>Deutsche Forschungsgemeinschaft (DFG)(German Research Foundation (DFG)); VolkswagenStiftung(Volkswagen)</t>
  </si>
  <si>
    <t>We are grateful to Christopher D. Jones from NOAA (National Oceanic and Atmospheric Administration) and all scientists and crew members who helped with sampling and species identification during the US AMLR (United States Antarctic Marine Living Resources Program) 2009 finfish survey aboard RV Yuzhmorgeologiya. We further thank Karl-Hermann Kock from the Institute of Sea Fisheries (Hamburg) for sharing his invaluable knowledge about notothenioids and their ecology as well as all lab members who gave a helping hand, especially Brigitte Aeschbach and Sereina Rutschmann (Basel). We also thank two anonymous referees for their helpful suggestions on the manuscript. The study was funded by grant HA 4328/4 from the Deutsche Forschungsgemeinschaft (DFG-Priority Programme 1158) to RH and WS, and by a PhD scholarship of the VolkswagenStiftung to MM.</t>
  </si>
  <si>
    <t>10.1007/s00300-012-1155-x</t>
  </si>
  <si>
    <t>WOS:000304623600010</t>
  </si>
  <si>
    <t>Maas, A; Seibel, BA; Walsh, PJ</t>
  </si>
  <si>
    <t>Maas, Amy; Seibel, Brad A.; Walsh, Patrick J.</t>
  </si>
  <si>
    <t>Effects of elevated ammonia concentrations on survival, metabolic rates, and glutamine synthetase activity in the Antarctic pteropod mollusk Clione limacina antarctica</t>
  </si>
  <si>
    <t>Global change; Nitrogen pollution; Antarctica; Pelagic mollusks; O:N ratio; Ammonia LC50 values; TMAO</t>
  </si>
  <si>
    <t>OCEAN ACIDIFICATION; TOXICITY; EXPOSURE; ANIMALS; IMPACT; FISH</t>
  </si>
  <si>
    <t>Information on the effects of elevated ammonia on invertebrates in general, and polar Mollusks in particular, is scant. Questions of ammonia sensitivity are interesting for several reasons, particularly since predicted global change scenarios include increasing anthropogenic nitrogen and toxic ammonia. Furthermore, polar zooplankton species are often lipid-rich, and authors have speculated that there is a linkage between elevated levels of lipids/trimethylamine oxide and enhanced ammonia tolerance. In the present study, we sought to examine ammonia tolerance and effects of elevated exogenous ammonia on several key aspects of the physiology and biochemistry of the pteropod mollusk, Clione limacina antarctica. We determined that the 96-h LC50 value for this species is 7.465 mM total ammonia (Upper 95% CL = 8.498 mM and Lower 95% CL = 6.557 mM) or 0.51 mg/L as unionized ammonia (NH3) (at a pH of 7.756). While comparative data for mollusks are limited, this value is at the lower end of reported values for other species. When the effects of lower ammonia concentrations (0.07 mM total ammonia) on oxygen consumption and ammonia excretion rates were examined, no effects were noted. However, total ammonia levels as low as 0.1 mM (or 0.007 mg/l NH3) elevated the activity of the ammonia detoxification enzyme glutamine synthetase by approximately 1.5-fold. The values for LC50 and observable effects on biochemistry for this one species are very close to permissible marine ammonia concentrations, indicating a need to more broadly determine the sensitivity of zooplankton to potential elevated ammonia levels in polar regions.</t>
  </si>
  <si>
    <t>[Walsh, Patrick J.] Univ Ottawa, Dept Biol, Ottawa, ON K1N 6N5, Canada; [Maas, Amy; Seibel, Brad A.] Univ Rhode Isl, Dept Biol Sci, Kingston, RI 02881 USA</t>
  </si>
  <si>
    <t>University of Ottawa; University of Rhode Island</t>
  </si>
  <si>
    <t>Walsh, PJ (corresponding author), Univ Ottawa, Dept Biol, 30 Marie Curie, Ottawa, ON K1N 6N5, Canada.</t>
  </si>
  <si>
    <t>pwalsh@uottawa.ca</t>
  </si>
  <si>
    <t>Maas, Amy/AAC-1181-2022</t>
  </si>
  <si>
    <t>Maas, Amy/0000-0002-3730-2876</t>
  </si>
  <si>
    <t>US National Science Foundation [0538479]; Natural Sciences and Engineering Council of Canada; Canada Research Chair Program; Office of Integrative Activities; Office Of The Director [1004057] Funding Source: National Science Foundation</t>
  </si>
  <si>
    <t>US National Science Foundation(National Science Foundation (NSF)); Natural Sciences and Engineering Council of Canada(Natural Sciences and Engineering Research Council of Canada (NSERC)); Canada Research Chair Program(Canada Research Chairs); Office of Integrative Activities; Office Of The Director(National Science Foundation (NSF)NSF - Office of the Director (OD)NSF - Office of Integrative Activities (OIA))</t>
  </si>
  <si>
    <t>This research was supported by a US National Science Foundation grant (OPP# 0538479) to BAS and VJ Fabry, and by a Discovery Grant from the Natural Sciences and Engineering Council of Canada to PJW, who is also supported by the Canada Research Chair Program. The authors wish to thank Drs. Martin Grosell and Andrew Esbaugh of the University of Miami Rosenstiel School for advice on calculation of LC50 values.</t>
  </si>
  <si>
    <t>10.1007/s00300-012-1158-7</t>
  </si>
  <si>
    <t>WOS:000304623600015</t>
  </si>
  <si>
    <t>Dempsey, DE; Langhorne, PJ</t>
  </si>
  <si>
    <t>Dempsey, D. E.; Langhorne, P. J.</t>
  </si>
  <si>
    <t>Geometric properties of platelet ice crystals</t>
  </si>
  <si>
    <t>Platelet ice; Sea ice; Thin section; Crystal; Ice shelf; Grain boundary</t>
  </si>
  <si>
    <t>ANTARCTIC SEA-ICE; MCMURDO SOUND; IMAGE-ANALYSIS; WEDDELL SEA; MARINE ICE; GROWTH; WINTER; SALINITY; SHELF; OCEAN</t>
  </si>
  <si>
    <t>Sea ice that forms in McMurdo Sound, Antarctica, which is adjacent to the McMurdo and Ross Ice Shelves, exhibits the uncommon ice fabric, incorporated platelet ice. This ice fabric is the subject of a high resolution thin sectioning study, consisting of ten closely spaced horizontal sections bounded above and below by vertical sections. From these we investigate the crystallographic and geometric properties of the ice grains and find a relationship between c-axis orientation and the minor axis of an ellipse fitted to a crystal's grain boundary. Although accuracy is dependent upon the size and shape of the crystal, the technique provides a means of extracting crystallographic information from historical datasets for which only thin section photographs remain. Identification of common grains in multiple, 2-D sections allows us to reconstruct an approximation of the original 3-D crystal structures. These structures exhibit a variety of growth interactions, including upward directed crystal growth and intertwining crystals. We also construct hypothetical crystal grain boundaries that might be observed for a variety of vertical thin section orientations. These indicate that grain shape can depend on thin section orientation and illustrates some of the limitations of 2-D representations of 3-D crystals. Serrated grain boundaries are identified between neighboring crystals in several vertical sections. Geometric arguments and crystallographic observations lead us to propose a mechanism of layer nucleation within grain boundary grooves that occurs as supercooling exceeds a threshold value. (C) 2012 Elsevier B.V. All rights reserved.</t>
  </si>
  <si>
    <t>[Dempsey, D. E.; Langhorne, P. J.] Univ Otago, Dept Phys, Dunedin, New Zealand</t>
  </si>
  <si>
    <t>University of Otago</t>
  </si>
  <si>
    <t>Dempsey, DE (corresponding author), Univ Auckland, Dept Engn Sci, Auckland Mail Ctr, Private Bag 92019, Auckland 1, New Zealand.</t>
  </si>
  <si>
    <t>d.dempsey@auckland.ac.nz; patricia.langhorne@otago.ac.nz</t>
  </si>
  <si>
    <t>Langhorne, Pat/C-3539-2018; Dempsey, David/B-9115-2015</t>
  </si>
  <si>
    <t>Langhorne, Pat/0000-0003-0239-7657; Dempsey, David/0000-0003-2135-5129</t>
  </si>
  <si>
    <t>Foundation for Research, Science and Technology, New Zealand; New Zealand Post Antarctic Scholarship; University of Otago</t>
  </si>
  <si>
    <t>Foundation for Research, Science and Technology, New Zealand(New Zealand Foundation for Research, Science and Technology); New Zealand Post Antarctic Scholarship; University of Otago</t>
  </si>
  <si>
    <t>This work was funded by the Foundation for Research, Science and Technology, New Zealand, a New Zealand Post Antarctic Scholarship and a University of Otago Postgraduate Award. Logistical support in the field was provided by Antarctica New Zealand and Johno Leitch. The authors wish to thank Alex Gough for a review of an early draft of this manuscript; Dr. Craig Stevens, NIWA, for photos in Figs. 3 and 5; and Mike Williams, Craig Stevens, Natalie Robinson and Brett Grant of NIWA for assistance in the field. Comments from two anonymous reviewers improved the quality of this manuscript.</t>
  </si>
  <si>
    <t>10.1016/j.coldregions.2012.03.002</t>
  </si>
  <si>
    <t>945QL</t>
  </si>
  <si>
    <t>WOS:000304291000001</t>
  </si>
  <si>
    <t>Jones, KA; Gough, AJ; Ingham, M; Mahoney, AR; Langhorne, PJ; Haskell, TG</t>
  </si>
  <si>
    <t>Jones, K. A.; Gough, A. J.; Ingham, M.; Mahoney, A. R.; Langhorne, P. J.; Haskell, T. G.</t>
  </si>
  <si>
    <t>Detection of differences in sea ice crystal structure using cross-borehole DC resistivity tomography</t>
  </si>
  <si>
    <t>Sea ice; DC resistivity; Microstructure; Platelet ice</t>
  </si>
  <si>
    <t>MCMURDO SOUND; PLATELET ICE; DEPTH; WATER</t>
  </si>
  <si>
    <t>Cross-borehole DC resistivity tomography measurements on first-year Antarctic sea ice show a decrease in the horizontal component of resistivity below 0.8 m in depth which is not related to changes in either temperature or brine volume fraction. Microstructural models derived from the resistivity data suggest that this change is related to an increased degree of horizontal connectivity in the brine microstructure of the ice. Comparison of the resistivity data with crystallographic measurements shows that this correlates with a change in ice structure from columnar ice to ice which contains an increasing fraction of platelet ice. It is thus demonstrated that not only can resistivity measurements track the temporal evolution of sea ice microstructure due to changes in temperature, but are also able to distinguish different ice types. This suggests that the dependence of sea ice properties on the distribution of brine inclusions can be studied in-situ through the use of resistivity measurements, providing a non-destructive technique for examining permeability-porosity relations in sea ice. (C) 2012 Elsevier B.V. All rights reserved.</t>
  </si>
  <si>
    <t>[Jones, K. A.; Ingham, M.] Victoria Univ Wellington, Sch Chem &amp; Phys Sci, Wellington 6140, New Zealand; [Gough, A. J.; Mahoney, A. R.; Langhorne, P. J.] Univ Otago, Dept Phys, Dunedin 9054, New Zealand; [Mahoney, A. R.] Univ Alaska Fairbanks, Inst Geophys, Fairbanks, AK 99775 USA; [Haskell, T. G.] Ind Res Ltd, Lower Hutt 5040, New Zealand</t>
  </si>
  <si>
    <t>Victoria University Wellington; University of Otago; University of Alaska System; University of Alaska Fairbanks; Callaghan Innovation</t>
  </si>
  <si>
    <t>Ingham, M (corresponding author), Victoria Univ Wellington, Sch Chem &amp; Phys Sci, POB 600, Wellington 6140, New Zealand.</t>
  </si>
  <si>
    <t>Malcolm.Ingham@vuw.ac.nz</t>
  </si>
  <si>
    <t>Gough, Alex J/D-4784-2009; Langhorne, Pat/C-3539-2018</t>
  </si>
  <si>
    <t>Ingham, Malcolm/0000-0003-3128-7131; Langhorne, Pat/0000-0003-0239-7657</t>
  </si>
  <si>
    <t>Foundation for Research, Science and Technology; University of Otago; Victoria University of Wellington</t>
  </si>
  <si>
    <t>Foundation for Research, Science and Technology(New Zealand Foundation for Research, Science and Technology); University of Otago; Victoria University of Wellington</t>
  </si>
  <si>
    <t>This research, which forms part of New Zealand's contribution to the IPY, was funded by the Foundation for Research, Science and Technology and Postgraduate Scholarships from the University of Otago (AJG) and Victoria University of Wellington (KAJ). We are grateful to Brian Staite and the 2009 Scott Base wintering team for support in the field. Peter Stroud and Richard Sparrow helped to construct instruments.</t>
  </si>
  <si>
    <t>10.1016/j.coldregions.2012.01.013</t>
  </si>
  <si>
    <t>WOS:000304291000004</t>
  </si>
  <si>
    <t>Bulkeley, R</t>
  </si>
  <si>
    <t>Bulkeley, Rip</t>
  </si>
  <si>
    <t>Pavel Rozhkov and Slava. 'The first Soviet whalers in the Antarctic'</t>
  </si>
  <si>
    <t>Pavel Sergeyevich Rozhkov was captain of the whale catcher Slava 3 on the first Soviet whaling cruise in the Antarctic, which took place in 1946-1947. He wrote an exceptionally frank and detailed account of the cruise, for those times, which was published in a Lithuanian newspaper and is now presented here for the first time in English translation.</t>
  </si>
  <si>
    <t>Bulkeley, R (corresponding author), 38 Lonsdale Rd, Oxford OX2 7EW, England.</t>
  </si>
  <si>
    <t>rip@igy50.net</t>
  </si>
  <si>
    <t>10.1017/S0032247410000215</t>
  </si>
  <si>
    <t>943AF</t>
  </si>
  <si>
    <t>WOS:000304092100010</t>
  </si>
  <si>
    <t>Lamers, M</t>
  </si>
  <si>
    <t>Lamers, Machiel</t>
  </si>
  <si>
    <t>Diversification of Antarctic tourism: the case of a scuba diving expedition</t>
  </si>
  <si>
    <t>Tourism in Antarctica has grown substantially over recent decades and has diversified into different activities and modes of transport. This paper presents a first attempt to explore the implications of this diversification trend for Antarctic tourist experiences, wildlife and onsite management. Evidence from a passenger survey, participatory observations and expert interviews using video elicitation has been collected during, and in the context of, a diving expedition cruise. The data suggests that significant differences can be detected in the way divers and non-divers experience aspects of the trip, most notably regarding guides. The results also indicate that diverse activities generate a broader variance in attitudes and behaviours, which may have repercussions for wildlife, site use and onsite management. Given the diversification trend it is timely and necessary to revisit and consistently enforce site guidelines and visitor guidelines with an eye on multi-activity trips. In addition, further studies on the implications of this trend are needed by means of case studies, surveys looking at a wider range of tourist trips, and monitoring programmes assessing wildlife behaviour and impacts.</t>
  </si>
  <si>
    <t>Wageningen Univ &amp; Res Ctr WUR, Environm Policy Grp, Dept Social Sci, NL-6706 KN Wageningen, Netherlands</t>
  </si>
  <si>
    <t>Wageningen University &amp; Research</t>
  </si>
  <si>
    <t>Lamers, M (corresponding author), Wageningen Univ &amp; Res Ctr WUR, Environm Policy Grp, Dept Social Sci, Hollandseweg 1, NL-6706 KN Wageningen, Netherlands.</t>
  </si>
  <si>
    <t>machiel.lamers@wur.nl</t>
  </si>
  <si>
    <t>; Gelter, Hans/D-3144-2015</t>
  </si>
  <si>
    <t>Lamers, Machiel/0000-0002-4189-3066; Gelter, Hans/0000-0001-9338-2332</t>
  </si>
  <si>
    <t>Netherlands AntArctic Programme (NWO-NAAP) [851.20.025]</t>
  </si>
  <si>
    <t>Netherlands AntArctic Programme (NWO-NAAP)</t>
  </si>
  <si>
    <t>The authors are grateful to the respondents that participated in the survey and the interviews, to the tour operator for providing the opportunity, and to the Netherlands AntArctic Programme (NWO-NAAP grant number 851.20.025) for the financial means to undertake the Antarctic fieldwork. The authors wish to thank John Splettstoesser and an anonymous referee for their constructive comments.</t>
  </si>
  <si>
    <t>10.1017/S0032247411000246</t>
  </si>
  <si>
    <t>WOS:000304092100012</t>
  </si>
  <si>
    <t>Choi, Kwang-Man; Lee, Mi-Young</t>
  </si>
  <si>
    <t>Effect of freezing stress on the proteome expression of Antarctic green microalga</t>
  </si>
  <si>
    <t>MOLECULAR &amp; CELLULAR TOXICOLOGY</t>
  </si>
  <si>
    <t>Freezing stress; Proteomics; Orthologues; Antioxidant enzyme; Antarctic green microalga</t>
  </si>
  <si>
    <t>CHLAMYDOMONAS-REINHARDTII; ANTIOXIDANT ENZYMES; PHOTOSYNTHESIS; ARABIDOPSIS; INDUCTION; KINASE; GENE; ALGA</t>
  </si>
  <si>
    <t>The effects of freezing stress on the protein expression profile and enzyme activity change in Antarctic green microalga were examined in this investigation. Antarctic green microalga was cultured at 4 degrees C for optimal growth, and the temperature was reduced near to 0 degrees C in order to apply freezing stress. The resultant differentially expressed proteins induced by freezing stress were analyzed by mass spectrometry following two-dimensional gel electrophoresis (2-DE). In total, about 320 protein spots were detected on the 2-DE gel, and 17 proteins showed a greater than two-fold change in abundance; of these, 5 proteins were up-regulated, and 12 proteins were down-regulated. Moreover, total enzyme activities and isozyme patterns of several antioxidant enzymes, named catalase, superoxide dismutase and aldehyde dehydrogenase were changed upon applying freezing stress.</t>
  </si>
  <si>
    <t>[Choi, Kwang-Man; Lee, Mi-Young] Soonchunhyang Univ, Dept Med Biotechnol, Asan 336600, Chungnam, South Korea</t>
  </si>
  <si>
    <t>SoonChunHyang University</t>
  </si>
  <si>
    <t>This work was supported in part by the SoonChunHyang University Research Fund.</t>
  </si>
  <si>
    <t>KOREAN SOCIETY TOXICOGENOMICS &amp; TOXICOPROTEOMICS-KSTT</t>
  </si>
  <si>
    <t>GYEONGGI-DO</t>
  </si>
  <si>
    <t>HANYANG UNIV, SCI &amp; TECHNOL BLDG 1, RM 423, SA-DONG, SANGROK-GU, ANSAN, GYEONGGI-DO, 426 791, SOUTH KOREA</t>
  </si>
  <si>
    <t>1738-642X</t>
  </si>
  <si>
    <t>2092-8467</t>
  </si>
  <si>
    <t>MOL CELL TOXICOL</t>
  </si>
  <si>
    <t>Mol. Cell. Toxicol.</t>
  </si>
  <si>
    <t>JUN 30</t>
  </si>
  <si>
    <t>10.1007/s13273-012-0020-x</t>
  </si>
  <si>
    <t>Biochemistry &amp; Molecular Biology; Toxicology</t>
  </si>
  <si>
    <t>966US</t>
  </si>
  <si>
    <t>WOS:000305863500007</t>
  </si>
  <si>
    <t>Kukui, A; Legrand, M; Ancellet, G; Gros, V; Bekki, S; Sarda-Estève, R; Loisil, R; Preunkert, S</t>
  </si>
  <si>
    <t>Kukui, A.; Legrand, M.; Ancellet, G.; Gros, V.; Bekki, S.; Sarda-Esteve, R.; Loisil, R.; Preunkert, S.</t>
  </si>
  <si>
    <t>Measurements of OH and RO2 radicals at the coastal Antarctic site of Dumont d'Urville (East Antarctica) in summer 2010-2011</t>
  </si>
  <si>
    <t>LASER-INDUCED FLUORESCENCE; TROPOSPHERIC OH; BOUNDARY-LAYER; NOX EMISSIONS; HO2 RADICALS; SOUTH-POLE; PHOTOLYSIS; SPECTROMETRY; CHEMISTRY; H2SO4</t>
  </si>
  <si>
    <t>Measurements of OH and total peroxy RO2 (HO2 plus organic peroxy) radicals were conducted in December 2010/January 2011 at the coastal East Antarctic site of Dumont d'Urville (DDU, 66 degrees 40'S 140 degrees 01'E) as part of the Oxidant Production over Antarctic Land and its Export (OPALE) project. Compared to measurements carried out at the West Antarctic coast, relatively high concentrations of radicals were found with 24 h average values of 2.1 x 10(6) and 3.3 x 10(8) molecule cm(-3) for OH and peroxy radicals, respectively. On the basis of the steady state calculations, the observed high concentration of peroxy radicals is in good agreement with the observed levels of O-3 and HCHO representing via their photolysis the major primary radical sources. The observed OH levels at DDU could be explained only assuming some RO2 to OH conversion mechanism equivalent to the presence of NO in the range of 10 to 50 pptv. As neither NO nor halogen oxides were measured at DDU the mechanism of this recycling could not be explicitly identified. However, an examination of variability of radical levels as a function of the origin (oceanic versus continental) of sampled air masses suggests a more important OH production from RO2 recycling in continental air masses.</t>
  </si>
  <si>
    <t>[Kukui, A.; Ancellet, G.; Bekki, S.] Observat Spatiales, Lab Atmospheres, FR-78280 Guyancourt, France; [Legrand, M.; Preunkert, S.] Lab Glaciol &amp; Geophys Environm, F-38402 St Martin Dheres, France; [Gros, V.; Sarda-Esteve, R.] Lab Sci Climat &amp; Environm, Gif Sur Yvette, France; [Loisil, R.] INSU, Div Tech, Meudon, France</t>
  </si>
  <si>
    <t>CEA; Centre National de la Recherche Scientifique (CNRS); Universite Paris Saclay; Centre National de la Recherche Scientifique (CNRS); CNRS - National Institute for Earth Sciences &amp; Astronomy (INSU)</t>
  </si>
  <si>
    <t>Kukui, A (corresponding author), Observat Spatiales, Lab Atmospheres, 11 Blvd dAlembert, FR-78280 Guyancourt, France.</t>
  </si>
  <si>
    <t>kukui@latmos.ipsl.fr</t>
  </si>
  <si>
    <t>Kukui, Alexandre/K-6643-2012; Legrand, Michel/AAU-4678-2020; bekki, slimane/J-7221-2015</t>
  </si>
  <si>
    <t>bekki, slimane/0000-0002-5538-0800; LOISIL, Rodrigue/0000-0002-7482-2803; Kukui, Alexandre/0000-0002-3657-0414</t>
  </si>
  <si>
    <t>ANR (Agence National de Recherche) [ANR-09-BLAN-0226]; Institut Polaire Francais-Paul Emile Victor (IPEV) [414]; Centre National de la Recherche Scientifique (INSU); CEA; region Ile de France; Agence Nationale de la Recherche (ANR) [ANR-09-BLAN-0226] Funding Source: Agence Nationale de la Recherche (ANR)</t>
  </si>
  <si>
    <t>ANR (Agence National de Recherche)(Agence Nationale de la Recherche (ANR)); Institut Polaire Francais-Paul Emile Victor (IPEV); Centre National de la Recherche Scientifique (INSU); CEA(French Atomic Energy Commission); region Ile de France(Region Ile-de-France); Agence Nationale de la Recherche (ANR)(Agence Nationale de la Recherche (ANR))</t>
  </si>
  <si>
    <t>The OPALE project was funded by the ANR (Agence National de Recherche) contract ANR-09-BLAN-0226. National financial support and field logistic supplies for the summer campaign were provided by Institut Polaire Francais-Paul Emile Victor (IPEV) within program 414. This work was also partly funded by the Centre National de la Recherche Scientifique (INSU), the CEA and the region Ile de France. Technical support was provided by the Division Technique (DT) at INSU in preparing and deploying the OH/RO2 measurements. The authors thank Andrea Pazmino (LATMOS, CNRS) for the UVB data, and Meteo France provided us with global irradiance and other basic meteorological parameters. We thank the three anonymous reviewers for their helpful comments on the manuscript.</t>
  </si>
  <si>
    <t>JUN 29</t>
  </si>
  <si>
    <t>D12310</t>
  </si>
  <si>
    <t>10.1029/2012JD017614</t>
  </si>
  <si>
    <t>968PD</t>
  </si>
  <si>
    <t>WOS:000305994800007</t>
  </si>
  <si>
    <t>Goldberg, DN; Little, CM; Sergienko, OV; Gnanadesikan, A; Hallberg, R; Oppenheimer, M</t>
  </si>
  <si>
    <t>Goldberg, D. N.; Little, C. M.; Sergienko, O. V.; Gnanadesikan, A.; Hallberg, R.; Oppenheimer, M.</t>
  </si>
  <si>
    <t>Investigation of land ice-ocean interaction with a fully coupled ice-ocean model: 2. Sensitivity to external forcings</t>
  </si>
  <si>
    <t>PINE ISLAND GLACIER; ANTARCTIC GLACIER; WEST ANTARCTICA; SHELF; CIRCULATION</t>
  </si>
  <si>
    <t>A coupled ice stream-ice shelf-ocean cavity model is used to assess the sensitivity of the coupled system to far-field ocean temperatures, varying from 0.0 to 1.8 degrees C, as well as sensitivity to the parameters controlling grounded ice flow. A response to warming is seen in grounding line retreat and grounded ice loss that cannot be inferred from the response of integrated melt rates alone. This is due to concentrated thinning at the ice shelf lateral margin, and to processes that contribute to this thinning. Parameters controlling the flow of grounded ice have a strong influence on the response to sub-ice shelf melting, but this influence is not seen until several years after an initial perturbation in temperatures. The simulated melt rates are on the order of that observed for Pine Island Glacier in the 1990s. However, retreat rates are much slower, possibly due to unrepresented bedrock features.</t>
  </si>
  <si>
    <t>[Goldberg, D. N.] MIT, Dept Earth Atmospher &amp; Planetary Sci, Cambridge, MA 02139 USA; [Little, C. M.; Oppenheimer, M.] Princeton Univ, Woodrow Wilson Sch Publ &amp; Int Affairs, Princeton, NJ 08544 USA; [Sergienko, O. V.] Princeton Univ, Dept Atmospher &amp; Ocean Sci, Princeton, NJ 08544 USA; [Gnanadesikan, A.] Johns Hopkins Univ, Dept Earth &amp; Planetary Sci, Baltimore, MD 21218 USA; [Hallberg, R.] NOAA, Geophys Fluid Dynam Lab, Princeton, NJ USA</t>
  </si>
  <si>
    <t>Massachusetts Institute of Technology (MIT); Princeton University; Princeton University; Johns Hopkins University; National Oceanic Atmospheric Admin (NOAA) - USA</t>
  </si>
  <si>
    <t>Goldberg, DN (corresponding author), MIT, Dept Earth Atmospher &amp; Planetary Sci, 77 Massachusetts Ave, Cambridge, MA 02139 USA.</t>
  </si>
  <si>
    <t>dgoldber@mit.edu</t>
  </si>
  <si>
    <t>Sergienko, Olga/HII-8500-2022; Gnanadesikan, Anand/A-2397-2008</t>
  </si>
  <si>
    <t>Sergienko, Olga/0000-0002-5764-8815; Oppenheimer, Michael/0000-0002-9708-5914; Gnanadesikan, Anand/0000-0001-5784-1116</t>
  </si>
  <si>
    <t>Princeton AOS Postdoctoral and Visiting Scientist Program; NSF [ANT-1103375, ANT-0838811, ARC-0934534]; Princeton Carbon Mitigation Initiative; STEP program in the Woodrow Wilson School of Public and International Affairs, Princeton University; Directorate For Geosciences; Division Of Polar Programs [1103375] Funding Source: National Science Foundation; Directorate For Geosciences; Office of Polar Programs (OPP) [0934534, 0838811] Funding Source: National Science Foundation</t>
  </si>
  <si>
    <t>Princeton AOS Postdoctoral and Visiting Scientist Program; NSF(National Science Foundation (NSF)); Princeton Carbon Mitigation Initiative; STEP program in the Woodrow Wilson School of Public and International Affairs, Princeton University; Directorate For Geosciences; Division Of Polar Programs(National Science Foundation (NSF)NSF - Directorate for Geosciences (GEO)); Directorate For Geosciences; Office of Polar Programs (OPP)(National Science Foundation (NSF)NSF - Directorate for Geosciences (GEO))</t>
  </si>
  <si>
    <t>D.N.G. received funds from the Princeton AOS Postdoctoral and Visiting Scientist Program, and from NSF award ANT-1103375. C.M.L. received funds from the Princeton Carbon Mitigation Initiative. D.N.G. and C.M.L. received funds from the STEP program in the Woodrow Wilson School of Public and International Affairs, Princeton University. O.V.S. received funds from NSF awards ANT-0838811 and ARC-0934534. Stephen Price, Eric Larour, one anonymous reviewer, and editors Poul Christofferson and Bryn Hubbard contributed helpful comments to the manuscript. D. M. Holland and K. S. Smith kindly provided additional CPU time.</t>
  </si>
  <si>
    <t>F02038</t>
  </si>
  <si>
    <t>10.1029/2011JF002247</t>
  </si>
  <si>
    <t>968PA</t>
  </si>
  <si>
    <t>WOS:000305994300002</t>
  </si>
  <si>
    <t>Investigation of land ice-ocean interaction with a fully coupled ice-ocean model: 1. Model description and behavior</t>
  </si>
  <si>
    <t>PINE ISLAND GLACIER; CIRCULATION BENEATH; WEST ANTARCTICA; SHELF; SHEET; DYNAMICS; ACCELERATION; SENSITIVITY; STABILITY; COLLAPSE</t>
  </si>
  <si>
    <t>Antarctic ice shelves interact closely with the ocean cavities beneath them, with ice shelf geometry influencing ocean cavity circulation, and heat from the ocean driving changes in the ice shelves, as well as the grounded ice streams that feed them. We present a new coupled model of an ice stream-ice shelf-ocean system that is used to study this interaction. The model is capable of representing a moving grounding line and dynamically responding ocean circulation within the ice shelf cavity. Idealized experiments designed to investigate the response of the coupled system to instantaneous increases in ocean temperature show ice-ocean system responses on multiple timescales. Melt rates and ice shelf basal slopes near the grounding line adjust in 1-2 years, and downstream advection of the resulting ice shelf thinning takes place on decadal timescales. Retreat of the grounding line and adjustment of grounded ice takes place on a much longer timescale, and the system takes several centuries to reach a new steady state. During this slow retreat, and in the absence of either an upward-or downward-sloping bed or long-term trends in ocean heat content, the ice shelf and melt rates maintain a characteristic pattern relative to the grounding line.</t>
  </si>
  <si>
    <t>Princeton AOS Postdoctoral and Visiting Scientist Program; NSF [ANT-1103375, ANT-0838811, ARC-0934534]; Princeton Carbon Mitigation Initiative; STEP program in the Woodrow Wilson School of Public and International Affairs, Princeton University; Directorate For Geosciences; Division Of Polar Programs [1103375] Funding Source: National Science Foundation; Office of Polar Programs (OPP); Directorate For Geosciences [0838811, 0934534] Funding Source: National Science Foundation</t>
  </si>
  <si>
    <t>Princeton AOS Postdoctoral and Visiting Scientist Program; NSF(National Science Foundation (NSF)); Princeton Carbon Mitigation Initiative; STEP program in the Woodrow Wilson School of Public and International Affairs, Princeton University; Directorate For Geosciences; Division Of Polar Programs(National Science Foundation (NSF)NSF - Directorate for Geosciences (GEO)); Office of Polar Programs (OPP); Directorate For Geosciences(National Science Foundation (NSF)NSF - Directorate for Geosciences (GEO))</t>
  </si>
  <si>
    <t>F02037</t>
  </si>
  <si>
    <t>10.1029/2011JF002246</t>
  </si>
  <si>
    <t>WOS:000305994300001</t>
  </si>
  <si>
    <t>Qu, TD; Chiang, TL; Wu, CR; Dutrieux, P; Hu, DX</t>
  </si>
  <si>
    <t>Qu, Tangdong; Chiang, Tzu-Ling; Wu, Chau-Ron; Dutrieux, Pierre; Hu, Dunxin</t>
  </si>
  <si>
    <t>Mindanao Current/Undercurrent in an eddy-resolving GCM</t>
  </si>
  <si>
    <t>NORTH EQUATORIAL CURRENT; ANTARCTIC INTERMEDIATE WATER; WESTERN BOUNDARY CURRENTS; KUROSHIO EAST; CURRENT BIFURCATION; TROPICAL PACIFIC; VARIABILITY; TAIWAN; THROUGHFLOW; TRANSPORT</t>
  </si>
  <si>
    <t>Analysis of results from an eddy-resolving general circulation model showed two subsurface velocity cores in the mean within the depth range between 400 and 1000 m below the Mindanao Current (MC). One is confined to the inshore edge at about 126.8 degrees E and connected with the Sulawesi Sea. The other takes place somewhat offshore around 127.7 degrees E, being closely related to the intrusion of South Pacific water. Both cores are referred to as the Mindanao Undercurrent (MUC). The MC/MUC is approximately a geostrophic flow, except on the inshore edge of the MUC where up to 50% of the mean flow can be explained by ageostrophic dynamics. In contrast with the well-defined southward flowing MC, the MUC is of high velocity variance relative to the mean. Empirical orthogonal function (EOF) analysis shows that approximately 60% of the total velocity variance is associated with two meandering modes, with their major signatures in the subthermocline. The dominant time scale of variability is 50-100 days. An ensemble of these meso-scale fluctuations provides a northward freshwater flux on the offshore edge of the Philippine coast, which to a certain extent explains why water of South Pacific origin appears to extend farther northward than the mean MUC. In the offshore velocity core of the MUC, for example, eddy induced freshwater flux is equivalent to a mean flow of about 0.3 m s(-1) in the density range between 26.9 and 27.3 kg m(-3), which is greater than the mean current by a factor of 6.</t>
  </si>
  <si>
    <t>[Qu, Tangdong; Chiang, Tzu-Ling] Univ Hawaii Manoa, Int Pacific Res Ctr, SOEST, Honolulu, HI 96822 USA; [Chiang, Tzu-Ling; Wu, Chau-Ron] Natl Taiwan Normal Univ, Dept Earth Sci, Taipei, Taiwan; [Dutrieux, Pierre] Univ Hawaii Manoa, Dept Oceanog, SOEST, Honolulu, HI 96822 USA; [Hu, Dunxin] Chinese Acad Sci, Inst Oceanol, Qingdao, Peoples R China</t>
  </si>
  <si>
    <t>University of Hawaii System; University of Hawaii Manoa; National Taiwan Normal University; University of Hawaii System; University of Hawaii Manoa; Chinese Academy of Sciences; Institute of Oceanology, CAS</t>
  </si>
  <si>
    <t>Qu, TD (corresponding author), Univ Hawaii Manoa, Int Pacific Res Ctr, SOEST, 1680 East West Rd, Honolulu, HI 96822 USA.</t>
  </si>
  <si>
    <t>tangdong@hawaii.edu</t>
  </si>
  <si>
    <t>Dutrieux, Pierre/GVS-2890-2022; Wu, Chau-Ron/GDZ-5620-2022</t>
  </si>
  <si>
    <t>Dutrieux, Pierre/0000-0002-8066-934X;</t>
  </si>
  <si>
    <t>NSF [OCE10-29704, OCE05-50857]; JAMSTEC; NASA; NOAA; NSFC [40890151]; MOST [2012CB417401]; NSC [100-2628-M-003-001]; NERC [bas0100028, NE/G001367/1] Funding Source: UKRI; Natural Environment Research Council [bas0100028, NE/G001367/1] Funding Source: researchfish; Directorate For Geosciences [1029704] Funding Source: National Science Foundation; Division Of Ocean Sciences [1029704] Funding Source: National Science Foundation</t>
  </si>
  <si>
    <t>NSF(National Science Foundation (NSF)); JAMSTEC; NASA(National Aeronautics &amp; Space Administration (NASA)); NOAA(National Oceanic Atmospheric Admin (NOAA) - USA); NSFC(National Natural Science Foundation of China (NSFC)); MOST; NSC(Ministry of Science and Technology, Taiwan); NERC(UK Research &amp; Innovation (UKRI)Natural Environment Research Council (NERC)); Natural Environment Research Council(UK Research &amp; Innovation (UKRI)Natural Environment Research Council (NERC)); Directorate For Geosciences(National Science Foundation (NSF)NSF - Directorate for Geosciences (GEO)); Division Of Ocean Sciences(National Science Foundation (NSF)NSF - Directorate for Geosciences (GEO))</t>
  </si>
  <si>
    <t>This research was supported by NSF through grant OCE10-29704 and by JAMSTEC, NASA, and NOAA through their sponsorship of research activities at the International Pacific Research Center (IPRC). Additional support for T.-L. Chiang was provided by NSC 100-2811-M-003-013. C.-R. Wu was supported by NSC 100-2628-M-003-001. P. Dutrieux was supported by NSF through grant OCE05-50857. D. Hu was supported by NSFC major project 40890151 and MOST 2012CB417401. The authors are grateful to K. Richards, B. Qiu, E. Firing, R. Lukas, R. Fine, and E. J. Lindstrom for useful communications on the topic, to H. Sasaki and colleagues from the Earth Simulator for assistance in processing the OFES outputs, and to the three anonymous reviewers for thoughtful comments on an earlier version of the manuscript. School of Ocean and Earth Science and Technology contribution 8682, and International Pacific Research Center contribution IPRC-890.</t>
  </si>
  <si>
    <t>C06026</t>
  </si>
  <si>
    <t>10.1029/2011JC007838</t>
  </si>
  <si>
    <t>968RZ</t>
  </si>
  <si>
    <t>WOS:000306003400001</t>
  </si>
  <si>
    <t>Levin, I; Veidt, C; Vaughn, BH; Brailsford, G; Bromley, T; Heinz, R; Lowe, D; Miller, JB; Poss, C; White, JWC</t>
  </si>
  <si>
    <t>Levin, I.; Veidt, C.; Vaughn, B. H.; Brailsford, G.; Bromley, T.; Heinz, R.; Lowe, D.; Miller, J. B.; Poss, C.; White, J. W. C.</t>
  </si>
  <si>
    <t>No inter-hemispheric δ13CH4 trend observed</t>
  </si>
  <si>
    <t>MIXING-RATIO; METHANE; CH4</t>
  </si>
  <si>
    <t>[Levin, I.; Veidt, C.; Heinz, R.; Poss, C.] Heidelberg Univ, Inst Umweltphys, D-69120 Heidelberg, Germany; [Vaughn, B. H.; White, J. W. C.] Univ Colorado, Inst Arctic &amp; Alpine Res, Boulder, CO 80309 USA; [Brailsford, G.; Bromley, T.] Natl Inst Water &amp; Atmospher Res Ltd, Wellington 6021, New Zealand; [Lowe, D.] Victoria Univ Wellington, Antarctic Res Ctr, Wellington 6140, New Zealand; [Miller, J. B.] NOAA ESRL, Boulder, CO 80305 USA; [Miller, J. B.] Univ Colorado, Cooperat Inst Res Environm Sci, Boulder, CO 80309 USA</t>
  </si>
  <si>
    <t>Ruprecht Karls University Heidelberg; University of Colorado System; University of Colorado Boulder; National Institute of Water &amp; Atmospheric Research (NIWA) - New Zealand; Victoria University Wellington; National Oceanic Atmospheric Admin (NOAA) - USA; University of Colorado System; University of Colorado Boulder</t>
  </si>
  <si>
    <t>Levin, I (corresponding author), Heidelberg Univ, Inst Umweltphys, D-69120 Heidelberg, Germany.</t>
  </si>
  <si>
    <t>Ingeborg.Levin@iup.uni-heidelberg.de</t>
  </si>
  <si>
    <t>White, James W.C./A-7845-2009; Vaughn, Bruce/AAO-8867-2020; Miller, John B./AAE-7714-2019</t>
  </si>
  <si>
    <t>Miller, John B./0000-0001-8630-1610; VAUGHN, BRUCE/0000-0001-6503-957X</t>
  </si>
  <si>
    <t>JUN 28</t>
  </si>
  <si>
    <t>E3</t>
  </si>
  <si>
    <t>E4</t>
  </si>
  <si>
    <t>10.1038/nature11175</t>
  </si>
  <si>
    <t>965IJ</t>
  </si>
  <si>
    <t>WOS:000305760600001</t>
  </si>
  <si>
    <t>Levine, JG; Wolff, EW; Hopcroft, PO; Valdes, PJ</t>
  </si>
  <si>
    <t>Levine, J. G.; Wolff, E. W.; Hopcroft, P. O.; Valdes, P. J.</t>
  </si>
  <si>
    <t>Controls on the tropospheric oxidizing capacity during an idealized Dansgaard-Oeschger event, and their implications for the rapid rises in atmospheric methane during the last glacial period</t>
  </si>
  <si>
    <t>THERMOHALINE CIRCULATION; CLIMATE SENSITIVITY; MODEL; CH4; EMISSIONS; GREENLAND; ANTARCTICA; HOLOCENE; INCREASE; MAXIMUM</t>
  </si>
  <si>
    <t>The ice core record reveals large variations in the concentration of atmospheric methane, [CH4], over the last 800 kyr. Amongst the most striking natural features are the large, rapid rises in [CH4], of 100-200 ppbv, on timescales of less than 100 years, at the beginning of Dansgaard-Oeschger (D-O) events during the last glacial period (21-110 kyr before present). Despite the potential insight they could offer into the likelihood of future rapid rises in [CH4], the relative roles of changes in methane sources and sinks during D-O events have been little explored. Here, we use a global atmospheric chemistry-transport model to explore-for the first time, in a process-based fashion-controls on the oxidizing capacity during an idealized D-O event that features a characteristically rapid rise in [CH4]. We find that the two controls previously identified in the literature as having had significant (though opposing) influences on the oxidizing capacity between glacial and interglacial periods-changes in air temperature and emissions of non-methane volatile organic compounds from vegetation-offset one another between idealized Heinrich stadial and Greenland interstadial states. The result is, the net change in oxidizing capacity is very small, implying the rapid rises in [CH4] at the beginning of D-O events were almost entirely source-driven. This poses a challenge to earth-system models-to generate a sufficiently large increase in methane emissions in response to a simulated D-O event, via a more realistic freshwater forcing impacting the strength of the Atlantic meridional overturning circulation or, possibly, other climate-change mechanisms. Citation: Levine, J. G., E. W. Wolff, P. O. Hopcroft, and P. J. Valdes (2012), Controls on the tropospheric oxidizing capacity during an idealized Dansgaard-Oeschger event, and their implications for the rapid rises in atmospheric methane during the last glacial period, Geophys. Res. Lett., 39, L12805, doi:10.1029/2012GL051866.</t>
  </si>
  <si>
    <t>[Levine, J. G.; Wolff, E. W.] British Antarctic Survey, Cambridge CB3 0ET, England; [Hopcroft, P. O.; Valdes, P. J.] Univ Bristol, Bristol Res Initiat Dynam Global Environm, Bristol, Avon, England</t>
  </si>
  <si>
    <t>UK Research &amp; Innovation (UKRI); Natural Environment Research Council (NERC); NERC British Antarctic Survey; University of Bristol</t>
  </si>
  <si>
    <t>Levine, JG (corresponding author), British Antarctic Survey, Madingley Rd, Cambridge CB3 0ET, England.</t>
  </si>
  <si>
    <t>javi@bas.ac.uk</t>
  </si>
  <si>
    <t>Wolff, Eric W/D-7925-2014; Valdes, Paul/T-2004-2019; Valdes, Paul J/C-4129-2013; Levine, James/KCZ-2135-2024; Hopcroft, Peter/H-4957-2016; Hopcroft, Peter/O-5535-2019</t>
  </si>
  <si>
    <t>Wolff, Eric W/0000-0002-5914-8531; Valdes, Paul/0000-0002-1902-3283; Levine, James/0000-0002-0932-9115; Hopcroft, Peter/0000-0003-3694-9181;</t>
  </si>
  <si>
    <t>Natural Environment Research Council's programme; Quantifying and Understanding the Earth System; French Institut National des Sciences de l'Univers; Centre for Atmospheric Science, University of Cambridge; NERC [bas0100024] Funding Source: UKRI; Natural Environment Research Council [bas0100024] Funding Source: researchfish</t>
  </si>
  <si>
    <t>Natural Environment Research Council's programme; Quantifying and Understanding the Earth System; French Institut National des Sciences de l'Univers; Centre for Atmospheric Science, University of Cambridge;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</si>
  <si>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and a contribution to the Dynamics of the Earth System and the Ice-core Record project, the latter being jointly funded by the Natural Environment Research Council's programme, Quantifying and Understanding the Earth System, and the French Institut National des Sciences de l'Univers; we gratefully acknowledge their support. We also express our thanks to Anna Jones of the British Antarctic Survey for helpful discussions in the preparation of this manuscript, and Glenn Carver and the Centre for Atmospheric Science, University of Cambridge, for their support in using the Cambridge p-TOMCAT model. Finally, we thank Jed Kaplan and an anonymous reviewer for their constructive comments on this paper.</t>
  </si>
  <si>
    <t>L12805</t>
  </si>
  <si>
    <t>10.1029/2012GL051866</t>
  </si>
  <si>
    <t>968NP</t>
  </si>
  <si>
    <t>WOS:000305989600004</t>
  </si>
  <si>
    <t>Tan, B; Li, ZJ; Lu, P; Haas, C; Nicolaus, M</t>
  </si>
  <si>
    <t>Tan, Bing; Li, Zhi-jun; Lu, Peng; Haas, Christian; Nicolaus, Marcel</t>
  </si>
  <si>
    <t>Morphology of sea ice pressure ridges in the northwestern Weddell Sea in winter</t>
  </si>
  <si>
    <t>THICKNESS; BELLINGSHAUSEN; PROFILES; AMUNDSEN; STRESS; DRAFT</t>
  </si>
  <si>
    <t>To investigate the morphology and distR(i)bution of pressure R(i)dges in the northwestern Weddell Sea, ice surface elevation profiles were measured by a helicopter-borne laser altimeter duR(i)ng Winter Weddell Outflow Study with the German R/V Polarstern in 2006. An optimal cutoff height of 0.62 m, deR(i)ved from the best fits between the measured and theoretical R(i)dge height and spacing distR(i)butions, was first used to separate pressure R(i)dges from other sea ice surface undulations. It was found that the measured R(i)dge height distR(i)bution was well modeled by a negative exponential function, and the R(i)dge spacing distR(i)bution by a lognormal function. Next, based on the R(i)dging intensity R-i (the ratio of mean R(i)dge sail height to mean spacing), all profiles were clustered into three regimes by an improved k-means clusteR(i)ng algoR(i)thm: R-i &lt;= 0.01, 0.01 &lt; R-i &lt;= 0.026, and R-i &gt; 0.026 (denoted as C-1, C-2, and C-3 respectively). Mean (and standard deviation) of sail height was 0.99 (+/- 0.07) m in Regime C1, 1.12 (+/- 0.06) m in C-2, and 1.17 (+/- 0.04) m in C-3, respectively, while the mean spacings (and standard deviations) were 232 (+/- 240) m, 54 (+/- 20) m, and 31 (+/- 5.6) m. These three ice regimes coincided closely with distinct sea ice regions identified in a satellite radar image, where C-1 corresponded to the broken ice in the marginal ice zone and level ice formed in the Larsen Polynya, C-2 corresponded to the deformed first-and second-year ice formed by dynamic action in the center of the study region, and C-3 corresponded to heavily deformed ice in the outflowing branch of the Weddell Gyre. The results of our analysis showed that the relationship between the mean R(i)dge height and frequency was well modeled by a logaR(i)thmic function with a correlation coefficient of 0.8, although such correlation was weaker when consideR(i)ng each regime individually. The measured R(i)dge height and frequency were both greater than those reported by others for the Ross Sea. Compared with reported values for other parts of the Antarctic, the present R(i)dge heights were greater, but the R(i)dge frequencies and R(i)dging intensities were smaller than the most extreme of them. Meanwhile, average thickness of R(i)dged ice in our study region was significantly larger than that of the Coastal Ross Sea showing the importance of deformation and ice age for ice conditions in the northwestern Weddell Sea.</t>
  </si>
  <si>
    <t>[Tan, Bing; Li, Zhi-jun; Lu, Peng] Dalian Univ Technol, State Key Lab Coastal &amp; Offshore Engn, Dalian 116024, Peoples R China; [Tan, Bing] Nanyang Normal Coll, Dept Math &amp; Stat, Nanyang, Peoples R China; [Haas, Christian] Univ Alberta, Dept Earth &amp; Atmospher Sci, Edmonton, AB, Canada; [Nicolaus, Marcel] Alfred Wegener Inst Polar &amp; Marine Res, Bremerhaven, Germany</t>
  </si>
  <si>
    <t>Dalian University of Technology; Nanyang Normal College; University of Alberta; Helmholtz Association; Alfred Wegener Institute, Helmholtz Centre for Polar &amp; Marine Research</t>
  </si>
  <si>
    <t>Lu, P (corresponding author), Dalian Univ Technol, State Key Lab Coastal &amp; Offshore Engn, Dalian 116024, Peoples R China.</t>
  </si>
  <si>
    <t>lupeng@dlut.edu.cn</t>
  </si>
  <si>
    <t>Li, Zhijun/A-5299-2019; Lu, Peng/HNR-4786-2023; Nicolaus, Marcel/A-3658-2013; Haas, Christian/L-5279-2016</t>
  </si>
  <si>
    <t>Li, Zhijun/0000-0002-2897-0450; Nicolaus, Marcel/0000-0003-0903-1746; Haas, Christian/0000-0002-7674-3500</t>
  </si>
  <si>
    <t>National Natural Science Foundations of China [40806075, 50921001, 40930848]; Chinese Arctic and Antarctic Administration</t>
  </si>
  <si>
    <t>National Natural Science Foundations of China(National Natural Science Foundation of China (NSFC)); Chinese Arctic and Antarctic Administration</t>
  </si>
  <si>
    <t>We are grateful for the support of pilots and crew of the German R/V Polarstern and chief scientist Peter Lemke during WWOS 2006. Laser data were processed by Carola von Saldern. The Chinese Arctic and Antarctic Administration is also thanked for the supports to the author Zhi-jun Li to participate in the expedition organized by the German Alfred Wegener Institute for Polar and Marine Research (AWI). The study work was supported by National Natural Science Foundations of China (40806075, 50921001, and 40930848). We also acknowledge the constructive comments from two anonymous reviewers.</t>
  </si>
  <si>
    <t>C06024</t>
  </si>
  <si>
    <t>10.1029/2011JC007800</t>
  </si>
  <si>
    <t>968RY</t>
  </si>
  <si>
    <t>WOS:000306003300002</t>
  </si>
  <si>
    <t>Tauxe, L; Stickley, CE; Sugisaki, S; Bijl, PK; Bohaty, SM; Brinkhuis, H; Escutia, C; Flores, JA; Houben, AJP; Iwai, M; Jimenez-Espejo, FJ; McKay, R; Passchier, S; Pross, J; Riesselman, CR; Röhl, U; Sangiorgi, F; Welsh, K; Klaus, A; Fehr, A; Bendle, JAP; Dunbar, R; Gonzàlez, J; Hayden, T; Katsuki, K; Olney, MP; Pekar, SF; Shrivastava, PK; van de Flierdt, T; Williams, T; Yamane, M</t>
  </si>
  <si>
    <t>Tauxe, L.; Stickley, C. E.; Sugisaki, S.; Bijl, P. K.; Bohaty, S. M.; Brinkhuis, H.; Escutia, C.; Flores, J. A.; Houben, A. J. P.; Iwai, M.; Jimenez-Espejo, Francisco J.; McKay, R.; Passchier, S.; Pross, J.; Riesselman, C. R.; Roehl, U.; Sangiorgi, F.; Welsh, K.; Klaus, A.; Fehr, A.; Bendle, J. A. P.; Dunbar, R.; Gonzalez, J.; Hayden, T.; Katsuki, K.; Olney, M. P.; Pekar, S. F.; Shrivastava, P. K.; van de Flierdt, T.; Williams, T.; Yamane, M.</t>
  </si>
  <si>
    <t>Chronostratigraphic framework for the IODP Expedition 318 cores from the Wilkes Land Margin: Constraints for paleoceanographic reconstruction</t>
  </si>
  <si>
    <t>PASS-THROUGH MAGNETOMETER; EOCENE-OLIGOCENE; CALIBRATION; SEA; AGE; MAGNETOSTRATIGRAPHY; PLATEAU; SECTION; RISE</t>
  </si>
  <si>
    <t>The Integrated Ocean Drilling Program Expedition 318 to the Wilkes Land margin of Antarctica recovered a sedimentary succession ranging in age from lower Eocene to the Holocene. Excellent stratigraphic control is key to understanding the timing of paleoceanographic events through critical climate intervals. Drill sites recovered the lower and middle Eocene, nearly the entire Oligocene, the Miocene from about 17 Ma, the entire Pliocene and much of the Pleistocene. The paleomagnetic properties are generally suitable for magnetostratigraphic interpretation, with well-behaved demagnetization diagrams, uniform distribution of declinations, and a clear separation into two inclination modes. Although the sequences were discontinuously recovered with many gaps due to coring, and there are hiatuses from sedimentary and tectonic processes, the magnetostratigraphic patterns are in general readily interpretable. Our interpretations are integrated with the diatom, radiolarian, calcareous nannofossils and dinoflagellate cyst (dinocyst) biostratigraphy. The magnetostratigraphy significantly improves the resolution of the chronostratigraphy, particularly in intervals with poor biostratigraphic control. However, Southern Ocean records with reliable magnetostratigraphies are notably scarce, and the data reported here provide an opportunity for improved calibration of the biostratigraphic records. In particular, we provide a rare magnetostratigraphic calibration for dinocyst biostratigraphy in the Paleogene and a substantially improved diatom calibration for the Pliocene. This paper presents the stratigraphic framework for future paleoceanographic proxy records which are being developed for the Wilkes Land margin cores. It further provides tight constraints on the duration of regional hiatuses inferred from seismic surveys of the region.</t>
  </si>
  <si>
    <t>[Tauxe, L.; Sugisaki, S.] Univ Calif San Diego, Scripps Inst Oceanog, 9500 Gilman Dr, La Jolla, CA 92093 USA; [Stickley, C. E.] Univ Tromso, Dept Geol, Tromso, Norway; [Bijl, P. K.; Brinkhuis, H.; Houben, A. J. P.; Sangiorgi, F.] Univ Utrecht, Dept Earth Sci, Utrecht, Netherlands; [Bohaty, S. M.] Univ Southampton, Sch Ocean &amp; Earth Sci, Southampton, Hants, England; [Escutia, C.; Jimenez-Espejo, Francisco J.; Gonzalez, J.] Univ Granada, Inst Andaluz Ciencias Tierra, CSIC, Armilla, Spain; [Flores, J. A.] Univ Salamanca, Fac Ciencias, Dept Geol, E-37008 Salamanca, Spain; [Iwai, M.] Kochi Univ, Dept Nat Environm Sci, Kochi 780, Japan; [McKay, R.] Victoria Univ Wellington, Antarctic Res Ctr, Wellington, New Zealand; [Passchier, S.] Montclair State Univ, Montclair, NJ USA; [Pross, J.] Goethe Univ Frankfurt, Inst Geosci, Frankfurt, Germany; [Riesselman, C. R.] US Geol Survey, Eastern Geol &amp; Paleoclimate Sci Ctr, Reston, VA 22092 USA; [Roehl, U.] Univ Bremen, MARUM Ctr Marine Environm Sci, D-28359 Bremen, Germany; [Welsh, K.] Univ Queensland, Sch Earth Sci, Brisbane, Qld, Australia; [Klaus, A.] Texas A&amp;M Univ, US Implementing Org, Integrated Ocean Drilling Program, College Stn, TX USA; [Fehr, A.] Rhein Westfal TH Aachen, Inst Appl Geophys &amp; Geothermal Energy, Aachen, Germany; [Bendle, J. A. P.] Univ Glasgow, Glasgow, Lanark, Scotland; [Dunbar, R.] Stanford Univ, Dept Geol &amp; Environm Sci, Stanford, CA 94305 USA; [Hayden, T.] Western Michigan Univ, Dept Geol, Kalamazoo, MI 49008 USA; [Katsuki, K.] Korea Inst Geosci &amp; Mineral Resources, Div Geol Res, Quaternary Geol Res Dept, Taejon, South Korea; [Olney, M. P.] Univ S Florida, Dept Geol, Tampa, FL 33620 USA; [Pekar, S. F.] Queens Coll, Sch Earth &amp; Environm Sci, Flushing, NY USA; [Shrivastava, P. K.] Geol Survey India, Antarctica Div, Faridabad, India; [van de Flierdt, T.] Univ London Imperial Coll Sci Technol &amp; Med, Dept Earth Sci &amp; Engn, London, England; [Williams, T.] Columbia Univ, Lamont Doherty Earth Observ, Borehole Res Grp, Palisades, NY USA; [Yamane, M.] Univ Tokyo, Tokyo, Japan</t>
  </si>
  <si>
    <t>University of California System; University of California San Diego; Scripps Institution of Oceanography; UiT The Arctic University of Tromso; Utrecht University; NERC National Oceanography Centre; University of Southampton; Consejo Superior de Investigaciones Cientificas (CSIC); CSIC - Instituto Andaluz de Ciencias de la Tierra (IACT); University of Granada; University of Salamanca; Kochi University; Victoria University Wellington; Montclair State University; Goethe University Frankfurt; United States Department of the Interior; United States Geological Survey; University of Bremen; University of Queensland; Texas A&amp;M University System; Texas A&amp;M University College Station; RWTH Aachen University; University of Glasgow; Stanford University; Western Michigan University; Korea Institute of Geoscience &amp; Mineral Resources (KIGAM); State University System of Florida; University of South Florida; City University of New York (CUNY) System; Queens College NY (CUNY); Geological Survey India; Imperial College London; Columbia University; University of Tokyo</t>
  </si>
  <si>
    <t>Tauxe, L (corresponding author), Univ Calif San Diego, Scripps Inst Oceanog, 9500 Gilman Dr, La Jolla, CA 92093 USA.</t>
  </si>
  <si>
    <t>ltauxe@ucsd.edu</t>
  </si>
  <si>
    <t>Brinkhuis, Henk/IUO-8165-2023; Röhl, Ursula/G-5986-2011; Passchier, Sandra/B-1993-2008; Flores, José-Abel/D-4218-2009; Williams, Trevor/L-7670-2014; McKay, Robert/N-2449-2015; Jimenez-Espejo, Francisco J/F-4486-2016; Passchier, Sandra/GYU-2381-2022; Jimenez-Espejo, Francisco J./AAR-2318-2020; Riesselman, Christina R/H-5037-2012; Passchier, Sandra/AAQ-2243-2021; Escutia, Carlota/B-8614-2015; Welsh, Kevin/A-9808-2012</t>
  </si>
  <si>
    <t>Brinkhuis, Henk/0000-0003-0253-6610; Röhl, Ursula/0000-0001-9469-7053; Passchier, Sandra/0000-0001-7204-7025; Flores, José-Abel/0000-0003-1909-293X; McKay, Robert/0000-0002-5602-6985; Jimenez-Espejo, Francisco J/0000-0002-0335-8580; Passchier, Sandra/0000-0001-7204-7025; Bijl, Peter/0000-0002-1710-4012; Riesselman, Christina/0000-0002-2436-4306; Sangiorgi, Francesca/0000-0003-4233-6154; Dunbar, Robert/0000-0002-9728-5609; Yamane, Masako/0000-0002-5063-0719; Houben, Alexander/0000-0002-9497-1048; Escutia, Carlota/0000-0002-4932-8619; Iwai, Masao/0000-0001-7489-1262; Welsh, Kevin/0000-0002-4834-4190; Bendle, James/0000-0002-6826-8658</t>
  </si>
  <si>
    <t>NSF [OCE1058858, OCE1054497]; NERC [NE/I00646X/2, NE/H025162/1, NE/H014616/1, NE/H014144/1, NE/I006257/1, NE/I00646X/1] Funding Source: UKRI; Natural Environment Research Council [NE/H025162/1, NE/H014144/1, NE/I00646X/1, NE/I006257/1, NE/H014616/1, NE/I00646X/2] Funding Source: researchfish; Division Of Ocean Sciences; Directorate For Geosciences [1058858, 1060080] Funding Source: National Science Foundation; Division Of Ocean Sciences; Directorate For Geosciences [1129101] Funding Source: National Science Foundation</t>
  </si>
  <si>
    <t>NSF(National Science Foundation (NSF)); NERC(UK Research &amp; Innovation (UKRI)Natural Environment Research Council (NERC)); Natural Environment Research Council(UK Research &amp; Innovation (UKRI)Natural Environment Research Council (NERC)); Division Of Ocean Sciences; Directorate For Geosciences(National Science Foundation (NSF)NSF - Directorate for Geosciences (GEO)); Division Of Ocean Sciences; Directorate For Geosciences(National Science Foundation (NSF)NSF - Directorate for Geosciences (GEO))</t>
  </si>
  <si>
    <t>We are deeply grateful for the hard work of the entire shipboard party of IODP Expedition 318, including scientific, technical, and support staff. In particular, we wish to thank Maggie Hastedt, whose tireless and cheerful help in the paleomagnetic laboratory was essential to the success of our investigations. We thank Joe Smoot, Jan Backman, two anonymous reviewers, and the Editor, Rainer Zahn, for careful review which greatly improved the manuscript. This research used samples and data provided by the Integrated Ocean Drilling Program (IODP). Funding for this research was provided by NSF grants OCE1058858 and OCE1054497 to L.T.</t>
  </si>
  <si>
    <t>PA2214</t>
  </si>
  <si>
    <t>10.1029/2012PA002308</t>
  </si>
  <si>
    <t>968QD</t>
  </si>
  <si>
    <t>WOS:000305998200001</t>
  </si>
  <si>
    <t>Jones, SD; Le Quéré, C; Rödenbeck, C</t>
  </si>
  <si>
    <t>Jones, S. D.; Le Quere, C.; Roedenbeck, C.</t>
  </si>
  <si>
    <t>Autocorrelation characteristics of surface ocean pCO2 and air-sea CO2 fluxes</t>
  </si>
  <si>
    <t>CARBON-DIOXIDE; NORTH-ATLANTIC; INTERANNUAL VARIABILITY; SPATIAL VARIABILITY; PARTIAL-PRESSURE; PACIFIC-OCEAN; TRANSPORT; VELOCITY; SEAWATER; TEMPERATURE</t>
  </si>
  <si>
    <t>Understanding the variability and coherence of surface ocean pCO(2) on a global scale can provide insights into its physical and biogeochemical drivers and inform future samplings strategies and data assimilation methods. We present temporal and spatial autocorrelation analyses of surface ocean pCO(2) on a 5 degrees x 5 degrees grid using the Lamont-Doherty Earth Observatory database. The seasonal cycle is robust with an interannual autocorrelation of similar to 0.4 across multiple years. The global median spatial autocorrelation (e-folding) length is 400 +/- 250 km, with large variability across different regions. Autocorrelation lengths of up to 3,000 km are found along major currents and basin gyres while autocorrelation lengths as low as 50 km are found in coastal regions and other areas of physical turbulence. Zonal (east-west) autocorrelation lengths are typically longer than their meridional counterparts, reflecting the zonal nature of many major ocean features. Uncertainties in spatial autocorrelation in different ocean basins are between 42% and 73% of the calculated decorrelation length. The spatial autocorrelation length in air-sea fluxes is much shorter than for pCO(2) (200 +/- 150 km) due to the high variability of the gas transfer velocity.</t>
  </si>
  <si>
    <t>[Jones, S. D.; Le Quere, C.] Univ E Anglia, Sch Environm Sci, Norwich NR4 7TJ, Norfolk, England; [Le Quere, C.] British Antarctic Survey, Cambridge CB3 0ET, England; [Roedenbeck, C.] Max Planck Inst Biogeochem, Jena, Germany</t>
  </si>
  <si>
    <t>University of East Anglia; UK Research &amp; Innovation (UKRI); Natural Environment Research Council (NERC); NERC British Antarctic Survey; Max Planck Society</t>
  </si>
  <si>
    <t>Jones, SD (corresponding author), Univ E Anglia, Sch Environm Sci, Norwich NR4 7TJ, Norfolk, England.</t>
  </si>
  <si>
    <t>s.jones3@uea.ac.uk</t>
  </si>
  <si>
    <t>Le Quéré, Corinne/C-2631-2017</t>
  </si>
  <si>
    <t>Le Quéré, Corinne/0000-0003-2319-0452; Jones, Steve/0000-0003-0522-9851</t>
  </si>
  <si>
    <t>UK NERC [NE/F005733/1]; NERC [NE/F006160/1, bas0100028] Funding Source: UKRI; Natural Environment Research Council [bas0100028, NE/F006160/1] Funding Source: researchfish</t>
  </si>
  <si>
    <t>UK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</si>
  <si>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all the people who contributed data to the LDEO database, in particular: Thorarinn S. Arnarson, Dorothee C. E. Bakker, Nicholas R. Bates, Richard Bellarby, Wei-Jun Cai, Francisco Chavez, David W. Chipman, Cathy E. Cosca, Brune Delille, Hein J. W. de Baar, Richard A. Feely, Gernot Friederich, John Goddard, Burke Hales, Mario Hoppema, Masao Ishii, Trus Johannessen, Arne Kortzinger, Nicolas Metzl, Takashi Midorikawa, Ludger Mintrop, P. P. Murphy, Timothy Newberger, Yukihiro Nojiri, Jon Olafsson, Are Olsen, Christopher L. Sabine, Ute Schuster, Tobias Steinhoff, Stewart C. Sutherland, Peter Salomeh, Colm Sweeney, Taro Takahashi, Rik Wanninkhof, Andrew Watson, Ray F. Weiss, C. S. Wong, and H. Yoshikawa-Inoue. The SSH anomaly products were produced and distributed by Aviso (http://www.aviso.oceanobs.com/), as part of the Ssalto ground processing segment. The SST data were Level 3 Standard measurements from the Aqua-MODIS satellite provided by NASA/GFSC/DAAC (http://oceancolor.gsfc.nasa.gov). The SeaWiFS Chlorophyll data were produced by NASA/GFSC/DAAC (http://oceancolor.gsfc.nasa.gov). We thank Ute Schuster, Andrew Manning, and the reviewers for their invaluable comments and suggestions. The auto-correlation calculations presented in this paper were carried out on the High Performance Computing Cluster supported by the Research Computing Service at the University of East Anglia. Steve Jones is supported by a PhD Studentship funded by UK NERC Project reference NE/F005733/1.</t>
  </si>
  <si>
    <t>JUN 27</t>
  </si>
  <si>
    <t>GB2042</t>
  </si>
  <si>
    <t>10.1029/2010GB004017</t>
  </si>
  <si>
    <t>968OK</t>
  </si>
  <si>
    <t>Bronze, Green Accepted, Green Published</t>
  </si>
  <si>
    <t>WOS:000305992200001</t>
  </si>
  <si>
    <t>Lynch, RC; King, AJ; Farías, ME; Sowell, P; Vitry, C; Schmidt, SK</t>
  </si>
  <si>
    <t>Lynch, R. C.; King, A. J.; Farias, Maria E.; Sowell, P.; Vitry, Christian; Schmidt, S. K.</t>
  </si>
  <si>
    <t>The potential for microbial life in the highest-elevation (&gt;6000 m.a.s.l.) mineral soils of the Atacama region</t>
  </si>
  <si>
    <t>JOURNAL OF GEOPHYSICAL RESEARCH-BIOGEOSCIENCES</t>
  </si>
  <si>
    <t>ANTARCTIC DRY VALLEY; FUNGAL COMMUNITIES; SOCOMPA VOLCANO; HYPERARID CORE; DIVERSITY; CARBON; DESERT; LANDSCAPE; SEQUENCE; BACTERIA</t>
  </si>
  <si>
    <t>Here we present the first culture-independent microbiological and biogeochemical study of the mineral soils from 6000 m above sea level (m.a.s.l.) on some the highest volcanoes in the Atacama region of Argentina and Chile. These soils experience some of the harshest environmental conditions on Earth including daily temperature fluctuations across the freezing point (with an amplitude of up to 70 degrees C) and intense solar radiation. Soil carbon and water levels are among the lowest yet measured for a terrestrial ecosystem and enzyme activity was near or below detection limits for all microbial enzymes measured. The soil microbial communities were among the simplest yet studied in a terrestrial environment and contained novel Bacteria and Fungi and only one Archaeal phylotype. No photosynthetic organisms were detected but several of the dominant bacterial phylotypes are related to organisms involved in carbon monoxide oxidation on other volcanoes (e.g., Pseudonocardia and Ktedonobacter spp.). Focused studies of a gene responsible for carbon monoxide oxidation, the large subunit of carbon monoxide dehydrogenase (coxL of CODH), revealed several novel lineages and a broad diversity of coxL genes. Overall our results suggest that a unique microbial community, sustained by diffuse atmospheric and volcanic gases, is barely functioning on these volcanoes, which represent the highest terrestrial ecosystems yet studied.</t>
  </si>
  <si>
    <t>[Lynch, R. C.; Schmidt, S. K.] Univ Colorado, Dept Ecol &amp; Evolutionary Biol, Boulder, CO 80309 USA; [King, A. J.] Ecosyst Sci CSIRO, Black Mt, ACT, Australia; [Sowell, P.] PRIZIM Inc, Gaithersburg, MD USA; [Vitry, Christian] Museo Arqueol Alta Montana, Salta, Argentina</t>
  </si>
  <si>
    <t>University of Colorado System; University of Colorado Boulder; Commonwealth Scientific &amp; Industrial Research Organisation (CSIRO)</t>
  </si>
  <si>
    <t>Schmidt, SK (corresponding author), Univ Colorado, Dept Ecol &amp; Evolutionary Biol, Ramaley N122,Campus Box 334, Boulder, CO 80309 USA.</t>
  </si>
  <si>
    <t>King, Andrew/C-3810-2012; SCHMIDT, STEVEN K/G-2771-2010</t>
  </si>
  <si>
    <t>King, Andrew/0000-0002-1348-7984; SCHMIDT, STEVEN K/0000-0002-9175-2085; Farias, Maria Eugenia/0000-0002-2771-8915</t>
  </si>
  <si>
    <t>National Science Foundation of the USA; National Geographic Society Committee for Research and Exploration; University of Colorado; Direct For Biological Sciences; Division Of Environmental Biology [0922267, 0921940] Funding Source: National Science Foundation; Division Of Environmental Biology; Direct For Biological Sciences [0922306] Funding Source: National Science Foundation</t>
  </si>
  <si>
    <t>National Science Foundation of the USA(National Science Foundation (NSF)); National Geographic Society Committee for Research and Exploration(National Geographic Society); University of Colorado; Direct For Biological Sciences; Division Of Environmental Biology(National Science Foundation (NSF)NSF - Directorate for Biological Sciences (BIO)); Division Of Environmental Biology; Direct For Biological Sciences(National Science Foundation (NSF)NSF - Directorate for Biological Sciences (BIO))</t>
  </si>
  <si>
    <t>We thank J. L. Darcy and M. S. Robeson for technical assistance and Pablo Maciel, G. Jesperson and T. Harris for assistance in the field. This work was supported by grants from the National Science Foundation of the USA, the National Geographic Society Committee for Research and Exploration and a faculty fellowship from the University of Colorado. DNA sequences used in this study are available in GenBank (accession numbers JX098274 - JX099326).</t>
  </si>
  <si>
    <t>2169-8953</t>
  </si>
  <si>
    <t>2169-8961</t>
  </si>
  <si>
    <t>J GEOPHYS RES-BIOGEO</t>
  </si>
  <si>
    <t>J. Geophys. Res.-Biogeosci.</t>
  </si>
  <si>
    <t>JUN 26</t>
  </si>
  <si>
    <t>G02028</t>
  </si>
  <si>
    <t>10.1029/2012JG001961</t>
  </si>
  <si>
    <t>968RN</t>
  </si>
  <si>
    <t>WOS:000306002200002</t>
  </si>
  <si>
    <t>Bertrand, EM; Allen, AE; Dupont, CL; Norden-Krichmar, TM; Bai, J; Valas, RE; Saito, MA</t>
  </si>
  <si>
    <t>Bertrand, Erin M.; Allen, Andrew E.; Dupont, Christopher L.; Norden-Krichmar, Trina M.; Bai, Jing; Valas, Ruben E.; Saito, Mak A.</t>
  </si>
  <si>
    <t>Influence of cobalamin scarcity on diatom molecular physiology and identification of a cobalamin acquisition protein</t>
  </si>
  <si>
    <t>micronutrient acquisition; proteomics; transcriptomics</t>
  </si>
  <si>
    <t>DEPENDENT METHIONINE SYNTHASE; PHYTOPLANKTON GROWTH; ROSS SEA; VITAMIN-B-12; BINDING; ALGAE; INHIBITION; PREDICTION; EVOLUTION; COMMUNITY</t>
  </si>
  <si>
    <t>Diatoms are responsible for similar to 40% of marine primary production and are key players in global carbon cycling. There is mounting evidence that diatom growth is influenced by cobalamin (vitamin B-12) availability. This cobalt-containing micronutrient is only produced by some bacteria and archaea but is required by many diatoms and other eukaryotic phytoplankton. Despite its potential importance, little is known about mechanisms of cobalamin acquisition in diatoms or the impact of cobalamin scarcity on diatom molecular physiology. Proteomic profiling and RNA-sequencing transcriptomic analysis of the cultured diatoms Phaeodactylum tricornutum and Thalassiosira pseudonana revealed three distinct strategies used by diatoms to cope with low cobalamin: increased cobalamin acquisition machinery, decreased cobalamin demand, and management of reduced methionine synthase activity through changes in folate and S-adenosyl methionine metabolism. One previously uncharacterized protein, cobalamin acquisition protein 1 (CBA1), was up to 160-fold more abundant under low cobalamin availability in both diatoms. Autologous overexpression of CBA1 revealed association with the outside of the cell and likely endoplasmic reticulum localization. Cobalamin uptake rates were elevated in strains overexpressing CBA1, directly linking this protein to cobalamin acquisition. CBA1 is unlike characterized cobalamin acquisition proteins and is the only currently identified algal protein known to be implicated in cobalamin uptake. The abundance and widespread distribution of transcripts encoding CBA1 in environmental samples suggests that cobalamin is an important nutritional factor for phytoplankton. Future study of CBA1 and other molecular signatures of cobalamin scarcity identified here will yield insight into the evolution of cobalamin utilization and facilitate monitoring of cobalamin starvation in oceanic diatom communities.</t>
  </si>
  <si>
    <t>[Bertrand, Erin M.; Saito, Mak A.] Woods Hole Oceanog Inst, Marine Chem &amp; Geochem Dept, Woods Hole, MA 02543 USA; [Bertrand, Erin M.] Massachusetts Inst Technol Woods Hole Oceanog Ins, Woods Hole, MA 02543 USA; [Allen, Andrew E.; Dupont, Christopher L.; Norden-Krichmar, Trina M.; Bai, Jing; Valas, Ruben E.] J Craig Venter Inst, San Diego, CA 92121 USA</t>
  </si>
  <si>
    <t>Woods Hole Oceanographic Institution; Massachusetts Institute of Technology (MIT); J. Craig Venter Institute</t>
  </si>
  <si>
    <t>Saito, MA (corresponding author), Woods Hole Oceanog Inst, Marine Chem &amp; Geochem Dept, Woods Hole, MA 02543 USA.</t>
  </si>
  <si>
    <t>msaito@whoi.edu</t>
  </si>
  <si>
    <t>Saito, Mak/ADT-4986-2022; Allen, Andrew E/C-4896-2012</t>
  </si>
  <si>
    <t>Allen, Andrew E/0000-0001-5911-6081; Saito, Mak/0000-0001-6040-9295; Bertrand, Erin/0000-0002-5950-6810</t>
  </si>
  <si>
    <t>National Science Foundation [ANT 0732665, OCE 0752291, OCE 1031271, 2007037200, ANT 0732822, ANT 1043671, MCB 1024913, OCE 0727997, OCE 1136477]; Gordon and Betty Moore Foundation; Environmental Protection Agency STAR [F6E20324]; Department of Energy [DE SC0006719]; U.S. Department of Energy (DOE) [DE-SC0006719] Funding Source: U.S. Department of Energy (DOE); Office of Polar Programs (OPP); Directorate For Geosciences [1103503] Funding Source: National Science Foundation; EPA [910564, F6E20324] Funding Source: Federal RePORTER</t>
  </si>
  <si>
    <t>National Science Foundation(National Science Foundation (NSF)); Gordon and Betty Moore Foundation(Gordon and Betty Moore Foundation); Environmental Protection Agency STAR(United States Environmental Protection Agency); Department of Energy(United States Department of Energy (DOE)); U.S. Department of Energy (DOE)(United States Department of Energy (DOE)); Office of Polar Programs (OPP); Directorate For Geosciences(National Science Foundation (NSF)NSF - Directorate for Geosciences (GEO)); EPA(United States Environmental Protection Agency)</t>
  </si>
  <si>
    <t>We thank Dawn Moran, Abigail Heithoff, Louie Wurch, Matt McIlvin, and Vladimir Bulygin for technical assistance; Abigail Noble, Jeff Hoffman, and Jeff McQuaid for Antarctic sample collection; and Mauricio Arriagada for contributions to metatranscriptomic analyses. We acknowledge Cathy Drennan, Sonya Dyhrman, Dianne Newman, and Ben Van Mooy for helpful discussions. We are grateful for comments provided by anonymous reviewers. This work was supported by National Science Foundation Awards ANT 0732665, OCE 0752291, and OCE 1031271 and Gordon and Betty Moore Foundation funding (to M. A. S.); by National Science Foundation Graduate Research Fellowship 2007037200 and Environmental Protection Agency STAR Fellowship F6E20324 (to E. M. B.); and by National Science Foundation Awards ANT 0732822, ANT 1043671, MCB 1024913, OCE 0727997, and OCE 1136477 and Department of Energy Award DE SC0006719 (to A.E.A.).</t>
  </si>
  <si>
    <t>E1762</t>
  </si>
  <si>
    <t>E1771</t>
  </si>
  <si>
    <t>10.1073/pnas.1201731109</t>
  </si>
  <si>
    <t>972QE</t>
  </si>
  <si>
    <t>WOS:000306291400013</t>
  </si>
  <si>
    <t>Bian, LG; Lin, Z; Zheng, XD; Ma, YF; Lu, LH</t>
  </si>
  <si>
    <t>Bian Lin-Gen; Lin Zhong; Zheng Xiang-Dong; Ma Yong-Feng; Lu Long-Hua</t>
  </si>
  <si>
    <t>Trend of Antarctic Ozone Hole and Its Influencing Factors</t>
  </si>
  <si>
    <t>ADVANCES IN CLIMATE CHANGE RESEARCH</t>
  </si>
  <si>
    <t>Antarctic ozone hole; equivalent effective stratospheric chlorine (EESC); stratospheric temperature; trend</t>
  </si>
  <si>
    <t>Influencing factors, and variations and trends of Antarctic ozone hole in recent decades are analyzed, and sudden change processes of ozone at Zhongshan station and the effect of atmospheric dynamic processes on ozone changes are also discussed by using the satellite ozone data and the ground-measured ozone data at two Antarctic stations as well as the NCEP/NCAR reanalysis data. The results show that equivalent effective stratospheric chlorine (EESC) and stratospheric temperature are two important factors influencing the ozone hole. The column ozone at Zhongshan and Syowa stations is significantly related with EESC and stratospheric temperature, which means that even though the two stations are both located on the edge of the ozone hole, EESC and stratospheric temperature still played a very important role in column ozone changes, and mean while verifies that EESC is applicable on the coast of east Antarctic continent. Decadal changes in EESC are similar with those of the ozone hole, and inter-annual variations of ozone are closely related with stratospheric temperature. Based on the relation of EESC and ozone hole size, it can be projected that the ozone hole size will gradually reduce to the 1980's level from 2010 to around 2070. Of course there might exist many uncertainties in the projection, which therefore needs to be further studied.</t>
  </si>
  <si>
    <t>[Bian Lin-Gen; Lin Zhong; Zheng Xiang-Dong; Ma Yong-Feng; Lu Long-Hua] Chinese Acad Meteorol Sci, Beijing 100081, Peoples R China</t>
  </si>
  <si>
    <t>China Meteorological Administration; Chinese Academy of Meteorological Sciences (CAMS)</t>
  </si>
  <si>
    <t>Bian, LG (corresponding author), Chinese Acad Meteorol Sci, Beijing 100081, Peoples R China.</t>
  </si>
  <si>
    <t>blg@cams.cma.gov.cn</t>
  </si>
  <si>
    <t>MA, Yong-Feng/AAL-2017-2020; MA, Yong-Feng/JCE-0505-2023; MA, Yong-Feng/GQB-2138-2022</t>
  </si>
  <si>
    <t>MA, Yong-Feng/0000-0001-7102-2707; MA, Yong-Feng/0000-0001-7102-2707</t>
  </si>
  <si>
    <t>program of China Polar Environment Investigation and Assessment; National Nature Science Foundation of China [41076132]; China Meteorological Administration; Chinese Arctic and Antarctic Administration under the National Oceanic Administration</t>
  </si>
  <si>
    <t>program of China Polar Environment Investigation and Assessment; National Nature Science Foundation of China(National Natural Science Foundation of China (NSFC)); China Meteorological Administration; Chinese Arctic and Antarctic Administration under the National Oceanic Administration</t>
  </si>
  <si>
    <t>This work was supported by the program of China Polar Environment Investigation and Assessment (2011-2015) and by the National Nature Science Foundation of China (No. 41076132). We thank the China Meteorological Administration and Chinese Arctic and Antarctic Administration under the National Oceanic Administration that provided support for building the atmosphere monitoring site at Zhongshan station. All the members of the 24th and 25th Chinese Antarctic Expedition are acknowledged for their help in collecting the data.</t>
  </si>
  <si>
    <t>16 DONGHUANGCHENGGEN NORTH ST, BEIJING, 100717, PEOPLES R CHINA</t>
  </si>
  <si>
    <t>1674-9278</t>
  </si>
  <si>
    <t>ADV CLIM CHANG RES</t>
  </si>
  <si>
    <t>Adv. Clim. Chang. Res.</t>
  </si>
  <si>
    <t>JUN 25</t>
  </si>
  <si>
    <t>10.3724/SP.J.1248.2012.00068</t>
  </si>
  <si>
    <t>VC6QX</t>
  </si>
  <si>
    <t>WOS:000434524800002</t>
  </si>
  <si>
    <t>Smith, AM; Bentley, CR; Bingham, RG; Jordan, TA</t>
  </si>
  <si>
    <t>Smith, A. M.; Bentley, C. R.; Bingham, R. G.; Jordan, T. A.</t>
  </si>
  <si>
    <t>Rapid subglacial erosion beneath Pine Island Glacier, West Antarctica</t>
  </si>
  <si>
    <t>ICE STREAM; SEISMIC OBSERVATIONS; SHEET; RATES; THICKNESS; BAY</t>
  </si>
  <si>
    <t>We present measurements of ice thickness, gravimetry and surface elevation on Pine Island Glacier, West Antarctica, separated by a period of 49 years. At one station, on the main trunk of the glacier we measured a surface elevation lowering with no significant change in ice thickness. We interpret these as indicating subglacial erosion of 31.8 +/- 13.4 m at this location, at a mean rate over the measurement period of 0.6 +/- 0.3 m a(-1), and suggest that a current erosion rate of similar to 1 m a(-1) is possible. Our results emphasize that locally, basal processes can have a significant effect on ice sheet changes, particularly where fast-flowing ice has an easily erodible bed. Citation: Smith, A. M., C. R. Bentley, R. G. Bingham, and T. A. Jordan (2012), Rapid subglacial erosion beneath Pine Island Glacier, West Antarctica, Geophys. Res. Lett., 39, L12501, doi:10.1029/2012GL051651.</t>
  </si>
  <si>
    <t>[Smith, A. M.; Jordan, T. A.] British Antarctic Survey, Nat Environm Res Council, Cambridge CB3 0ET, England; [Bentley, C. R.] Univ Wisconsin, Dept Geol &amp; Geophys, Madison, WI 53706 USA; [Bingham, R. G.] Univ Aberdeen, Sch Geosci, Aberdeen, Scotland</t>
  </si>
  <si>
    <t>UK Research &amp; Innovation (UKRI); Natural Environment Research Council (NERC); NERC British Antarctic Survey; University of Wisconsin System; University of Wisconsin Madison; University of Aberdeen</t>
  </si>
  <si>
    <t>Smith, AM (corresponding author), British Antarctic Survey, Nat Environm Res Council, Madingley Rd, Cambridge CB3 0ET, England.</t>
  </si>
  <si>
    <t>amsm@bas.ac.uk</t>
  </si>
  <si>
    <t>Facility, NERC Geophysical Equipment/G-5260-2010; Bingham, Robert G/G-3576-2017</t>
  </si>
  <si>
    <t>Jordan, Tom/0000-0003-2780-1986; Bingham, Robert G/0000-0002-0630-2021</t>
  </si>
  <si>
    <t>NERC [bas0100027, bas0100026] Funding Source: UKRI; Natural Environment Research Council [bas0100027, bas0100026] Funding Source: researchfish</t>
  </si>
  <si>
    <t>JUN 23</t>
  </si>
  <si>
    <t>L12501</t>
  </si>
  <si>
    <t>10.1029/2012GL051651</t>
  </si>
  <si>
    <t>963TV</t>
  </si>
  <si>
    <t>WOS:000305648400001</t>
  </si>
  <si>
    <t>Hattermann, T; Nost, OA; Lilly, JM; Smedsrud, LH</t>
  </si>
  <si>
    <t>Hattermann, Tore; Nost, Ole Anders; Lilly, Jonathan M.; Smedsrud, Lars H.</t>
  </si>
  <si>
    <t>Two years of oceanic observations below the Fimbul Ice Shelf, Antarctica</t>
  </si>
  <si>
    <t>AUTONOMOUS UNDERWATER VEHICLE; CLIMATE; BENEATH; MODEL; TEMPERATURE; CIRCULATION; PENINSULA; COLLAPSE; SHEET; RONNE</t>
  </si>
  <si>
    <t>The mechanisms by which heat is delivered to Antarctic ice shelves are a major source of uncertainty when assessing the response of the Antarctic ice sheet to climate change. Direct observations of the ice shelf-ocean interaction are extremely scarce and in many regions melt rates from ice shelf-ocean models are not constrained by measurements. Our two years of data (2010 and 2011) from three oceanic moorings below the Fimbul Ice Shelf in the Eastern Weddell Sea show cold cavity waters, with average temperatures of less than 0.1 degrees C above the surface freezing point. This suggests low basal melt rates, consistent with remote sensing-based, steady-state mass balance estimates for this sector of the Antarctic coast. Oceanic heat for basal melting is found to be supplied by two sources of warm water entering below the ice: (i) eddy-like bursts of Modified Warm Deep Water that access the cavity at depth for eight months of the record; and (ii) fresh surface water that flushes parts of the ice base with temperatures above freezing during late summer and fall. This interplay of processes implies that basal melting at the Fimbul Ice Shelf cannot simply be parameterized by coastal deep ocean temperatures, but instead appears directly linked to both solar forcing at the surface as well as to the dynamics of the coastal current system. Citation: Hattermann, T., O. A. Nost, J. M. Lilly, and L. H. Smedsrud (2012), Two years of oceanic observations below the Fimbul Ice Shelf, Antarctica, Geophys. Res. Lett., 39, L12605, doi:10.1029/2012GL051012.</t>
  </si>
  <si>
    <t>[Hattermann, Tore; Nost, Ole Anders] Norwegian Polar Res Inst, Fram Ctr, N-9296 Tromso, Norway; [Lilly, Jonathan M.] NorthWest Res Associates, Redmond, WA USA; [Smedsrud, Lars H.] Uni Res, Bjerknes Ctr Climate Res, Bergen, Norway</t>
  </si>
  <si>
    <t>Norwegian Polar Institute; NorthWest Research Associates; Bjerknes Centre for Climate Research</t>
  </si>
  <si>
    <t>Hattermann, T (corresponding author), Norwegian Polar Res Inst, Fram Ctr, Hjalmar Johansens Gt 14, N-9296 Tromso, Norway.</t>
  </si>
  <si>
    <t>hattermann@npolar.no</t>
  </si>
  <si>
    <t>Miller, Jonathan/HOC-2272-2023</t>
  </si>
  <si>
    <t>Lilly, Jonathan M./0000-0001-5651-7496; Smedsrud, Lars H./0000-0001-7391-0740; Hattermann, Tore/0000-0002-5538-2267</t>
  </si>
  <si>
    <t>Centre for Ice, Climate and Ecosystems (ICE) at the Norwegian Polar Institute; Directorate For Geosciences; Division Of Ocean Sciences [0849371] Funding Source: National Science Foundation</t>
  </si>
  <si>
    <t>Centre for Ice, Climate and Ecosystems (ICE) at the Norwegian Polar Institute; Directorate For Geosciences; Division Of Ocean Sciences(National Science Foundation (NSF)NSF - Directorate for Geosciences (GEO))</t>
  </si>
  <si>
    <t>We thank Keith Nicholls and Keith Makinson for loan of the hot-water-drilling equipment and their intensive advices and support, which made this work possible. Keith Nicholls also provided the ASF profiles. The seal data were derived from the IPY MEOP research programme; we thank Drs. Kit M. Kovacs, Martin Biuw and Christian Lydersen for their respective roles in acquiring these data. This work was supported by the Centre for Ice, Climate and Ecosystems (ICE) at the Norwegian Polar Institute.</t>
  </si>
  <si>
    <t>JUN 22</t>
  </si>
  <si>
    <t>L12605</t>
  </si>
  <si>
    <t>10.1029/2012GL051012</t>
  </si>
  <si>
    <t>963TO</t>
  </si>
  <si>
    <t>WOS:000305647700001</t>
  </si>
  <si>
    <t>Hoey, AS; Bellwood, DR; Barnett, A</t>
  </si>
  <si>
    <t>Hoey, Andrew S.; Bellwood, David R.; Barnett, Adam</t>
  </si>
  <si>
    <t>To feed or to breed: morphological constraints of mouthbrooding in coral reef cardinalfishes</t>
  </si>
  <si>
    <t>functional coupling; mouthbrooding; ecomorphology; cardinalfish; coral reef</t>
  </si>
  <si>
    <t>SEXUAL-DIMORPHISM; LABRID FISHES; WING SHAPE; DIVERSITY; APOGONIDAE; EVOLUTION; FLIGHT; ECOMORPHOLOGY; BIODIVERSITY; POPULATION</t>
  </si>
  <si>
    <t>Functionally coupled biomechanical systems are widespread in nature and are viewed as major constraints on evolutionary diversification, yet there have been few attempts to explore the implications of performing multiple functions within a single anatomical structure. Paternally mouthbrooding cardinalfishes present an ideal system to investigate the constraints of functional coupling as the oral jaws of male fishes are directly responsible for both feeding and reproductive functions. To test the effects of (i) mouthbrooding on feeding and (ii) feeding on reproductive potential we compared the feeding apparatus between sexes of nine species of cardinalfish and compared brood characteristics among species from different trophic groups, respectively. Mouthbrooding was strongly associated with the morphology of the feeding apparatus in males. Male cardinalfishes possessed longer heads, snouts and jaws than female conspecifics irrespective of body size, trophic group or evolutionary history. Conversely, reproductive potential also appeared to be related to trophic morphology. Piscivorous cardinalfishes produced larger, but fewer eggs, and had smaller brood volumes than species from the two invertebrate feeding groups. These interrelationships suggest that feeding and reproduction in the mouth of cardinalfishes may be tightly coupled. If so this may, in part, have contributed to the limited morphological diversification exhibited by cardinalfishes.</t>
  </si>
  <si>
    <t>[Hoey, Andrew S.] King Abdullah Univ Sci &amp; Technol, Red Sea Res Ctr, Thuwal 239556900, Saudi Arabia; [Hoey, Andrew S.; Bellwood, David R.; Barnett, Adam] James Cook Univ, ARC Ctr Excellence Coral Reef Studies, Townsville, Qld 4811, Australia; [Bellwood, David R.] James Cook Univ, Sch Marine &amp; Trop Biol, Townsville, Qld 4811, Australia; [Barnett, Adam] Univ Tasmania, Inst Marine &amp; Antarctic Studies, Fisheries Aquaculture &amp; Coasts Ctr, Hobart, Tas 7001, Australia</t>
  </si>
  <si>
    <t>King Abdullah University of Science &amp; Technology; James Cook University; James Cook University; University of Tasmania</t>
  </si>
  <si>
    <t>Hoey, AS (corresponding author), King Abdullah Univ Sci &amp; Technol, Red Sea Res Ctr, Thuwal 239556900, Saudi Arabia.</t>
  </si>
  <si>
    <t>andrew.hoey@my.jcu.edu.au</t>
  </si>
  <si>
    <t>Hoey, Andrew S/B-5457-2015</t>
  </si>
  <si>
    <t>, Adam/0000-0001-7430-8428; Hoey, Andrew/0000-0002-4261-5594</t>
  </si>
  <si>
    <t>Australian Research Council</t>
  </si>
  <si>
    <t>Australian Research Council(Australian Research Council)</t>
  </si>
  <si>
    <t>We thank M. Depczynski and F. Merida for field assistance; the staff of the Lizard Island Research Station for logistical support; and C. Fulton, J. Hoey, M. Hoogenboom and N. Konow for helpful discussions. Comments from two anonymous reviewers greatly improved the manuscript. Financial support was provided by the Australian Research Council. James Cook University animal experimentation ethics approval no. A650.</t>
  </si>
  <si>
    <t>1471-2954</t>
  </si>
  <si>
    <t>10.1098/rspb.2011.2679</t>
  </si>
  <si>
    <t>940KN</t>
  </si>
  <si>
    <t>WOS:000303888500019</t>
  </si>
  <si>
    <t>Johnsen, TF; Olsen, L; Murray, A</t>
  </si>
  <si>
    <t>Johnsen, Timothy F.; Olsen, Lars; Murray, Andrew</t>
  </si>
  <si>
    <t>OSL ages in central Norway support a MIS 2 interstadial (25-20 ka) and a dynamic Scandinavian ice sheet</t>
  </si>
  <si>
    <t>DANSGAARD-OESCHGER EVENTS; NORTH-SEA FAN; RADIOCARBON CALIBRATION; WESTERN NORWAY; SINGLE-ALIQUOT; QUATERNARY SEDIMENTS; GLACIATION HISTORY; SOUTHERN SWEDEN; ISOTOPE STAGE-3; KYR BP</t>
  </si>
  <si>
    <t>Recent work has suggested that the Scandinavian ice sheet was much more dynamic than previously believed, and its western marine-based margin can provide an analogue to the rapid-paced fluctuations and deglaciation observed at the margins of the Antarctic and Greenland ice sheets. In this study we used a complimentary dating technique, OSL (Optically Stimulated Luminescence dating), to support the existence of the Trofors interstadial in central Norway; an ice-free period that existed from similar to 25 to 20 ka recorded at multiple sites throughout Norway (cf. Andoya interstadial) and that divides the Last Glacial Maximum (LGM) into two stadials. OSL signal component analysis was used to optimize data analysis, and internal (methodological) tests show the results to be of good quality. Both large and small aliquots gave consistent OSL ages (22.3 +/- 1.7 ka, n = 7) for sub-till glaciofluvial/fluvial sediments at the Langsmoen stratigraphic site, and an apparent old age (similar to 100 ka) for a poorly-bleached sample of glaciolacustrine sediment at the nearby stratigraphically-related Flora site. Eight radiocarbon ages of sediment from the Flora site gave consistent ages (20.9 +/- 1.6 cal ka BP) that overlap within 1 sigma with OSL ages from the nearby Langsmoen site. The similarity in age within and between these stratigraphically-related sites and using different geochronological techniques strongly suggests that this area was ice-free around similar to 21 or 22 ka. The existence of the Trofors interstadial along with other interstadials during the Middle and Late Weichselian (MIS 3 and MIS 2) indicates that not only the western margin, but the whole western part of the Scandinavian ice sheet, from the ice divide to the ice margin was very dynamic. These large changes in the ice margin and accompanying drawdown of the ice surface would have affected the eastern part of the ice sheet as well. (c) 2010 Elsevier Ltd. All rights reserved.</t>
  </si>
  <si>
    <t>[Johnsen, Timothy F.] Stockholm Univ, Dept Phys Geog &amp; Quaternary Geol, S-10691 Stockholm, Sweden; [Olsen, Lars] Geol Survey Norway, NGU, N-7491 Trondheim, Norway; [Johnsen, Timothy F.] Aarhus Univ, Nord Lab Luminescence Dating, Riso Natl Lab, DK-4000 Roskilde, Denmark</t>
  </si>
  <si>
    <t>Stockholm University; Geological Survey of Norway; Aarhus University; Technical University of Denmark</t>
  </si>
  <si>
    <t>Johnsen, TF (corresponding author), Stockholm Univ, Dept Phys Geog &amp; Quaternary Geol, S-10691 Stockholm, Sweden.</t>
  </si>
  <si>
    <t>timothy.johnsen@geo.su.se; lars.olsen@ngu.no</t>
  </si>
  <si>
    <t>Murray, Andrew S/A-4388-2012</t>
  </si>
  <si>
    <t>Murray, Andrew/0000-0001-5559-1862</t>
  </si>
  <si>
    <t>Swedish Society for Anthropology and Geography; Carl Mannerfelts fund; Ahlmanns fund</t>
  </si>
  <si>
    <t>We wish to thank Helena Alexanderson of Stockholm University/Norwegian University of Life Sciences and Jan Lundqvist of Stockholm University for valuable input into the writing; Jan-Pieter Buylaert and the technical staff at the Nordic Laboratory for Luminescence Dating for helping with OSL-measurements; Damian Steffen at University of Bern for introducing Johnsen to the deconvolution technique; Irene Lundquist at NGU for technical assistance with maps and several drawings; and, field assistants Marie Koitsalu and Jakob Heyman. This project was supported with funding from the Swedish Society for Anthropology and Geography, Carl Mannerfelts fund, and Ahlmanns fund.</t>
  </si>
  <si>
    <t>JUN 21</t>
  </si>
  <si>
    <t>10.1016/j.quascirev.2010.10.007</t>
  </si>
  <si>
    <t>984PB</t>
  </si>
  <si>
    <t>WOS:000307202200009</t>
  </si>
  <si>
    <t>Carter, L; Milliman, JD; Talling, PJ; Gavey, R; Wynn, RB</t>
  </si>
  <si>
    <t>Carter, L.; Milliman, J. D.; Talling, P. J.; Gavey, R.; Wynn, R. B.</t>
  </si>
  <si>
    <t>Near-synchronous and delayed initiation of long run-out submarine sediment flows from a record-breaking river flood, offshore Taiwan</t>
  </si>
  <si>
    <t>TURBIDITY CURRENTS; SW TAIWAN; EARTHQUAKE; CANYON; DISCHARGE; EVENTS; IMPACT; WATER</t>
  </si>
  <si>
    <t>Subsea fiber-optic telecommunication cables can break under fast sediment flows that travel 100s of kilometers through the deep ocean in response to earthquakes and submarine landslides. Similar flows are inferred to form from major river floods whose sediment-laden waters plunge and travel along the seabed. However, the complex initiation of flood-related flows and their hazard potential have not been observed until now. Here we use cable fault data from the Gaoping Canyon/Manila Trench off Taiwan to show that a major river flood, formed during Typhoon Morakot (2009), generated two, long run-out, destructive sediment flows; one during peak flood and the other 3 days later. The latter flow was more damaging with speeds and run-out similar to that of landslide-triggered turbidity currents formed in the same catchment. If the second flow was due to remobilized canyon sediment, it occurred during low earthquake (&gt;M-w 2.0) activity, suggesting other triggering mechanisms. Citation: Carter, L., J. D. Milliman, P. J. Talling, R. Gavey, and R. B. Wynn (2012), Near-synchronous and delayed initiation of long run-out submarine sediment flows from a record-breaking river flood, offshore Taiwan, Geophys. Res. Lett., 39, L12603, doi:10.1029/2012GL051172.</t>
  </si>
  <si>
    <t>[Carter, L.] Victoria Univ Wellington, Antarctic Res Ctr, Wellington 6021, New Zealand; [Milliman, J. D.] Virginia Inst Marine Sci, Gloucester Point, VA USA; [Talling, P. J.; Gavey, R.; Wynn, R. B.] Nat Oceanog Ctr, Southampton, Hants, England</t>
  </si>
  <si>
    <t>Victoria University Wellington; William &amp; Mary; Virginia Institute of Marine Science; NERC National Oceanography Centre</t>
  </si>
  <si>
    <t>Carter, L (corresponding author), Victoria Univ Wellington, Antarctic Res Ctr, POB 600, Wellington 6021, New Zealand.</t>
  </si>
  <si>
    <t>lionel.carter@vuw.ac.nz</t>
  </si>
  <si>
    <t>Talling, Peter/0000-0001-5234-0398; Gavey, Rachel/0000-0002-1610-1274</t>
  </si>
  <si>
    <t>Foundation for Research, Science and Technology [VICX0704 (ANZICE)]; ICPC; Royal Society; NERC [noc010011] Funding Source: UKRI; Natural Environment Research Council [noc010011] Funding Source: researchfish</t>
  </si>
  <si>
    <t>Foundation for Research, Science and Technology(New Zealand Foundation for Research, Science and Technology); ICPC; Royal Society(Royal Society); NERC(UK Research &amp; Innovation (UKRI)Natural Environment Research Council (NERC)); Natural Environment Research Council(UK Research &amp; Innovation (UKRI)Natural Environment Research Council (NERC))</t>
  </si>
  <si>
    <t>We thank the International Cable Protection Committee (ICPC), Alcatel-Lucent, British Telecom, FLAG, Global Marine Services Ltd, TE SubCom and Telstra for providing technical advice, data on cable faults and comments on the paper, and J.T. Liu and C-S Liu in Taiwan for their generous provision of data. This work was partly funded by contract VICX0704 (ANZICE) from the Foundation for Research, Science and Technology, an ICPC research grant to R. Gavey and a Royal Society Industry Fellowship for P. Talling.</t>
  </si>
  <si>
    <t>L12603</t>
  </si>
  <si>
    <t>10.1029/2012GL051172</t>
  </si>
  <si>
    <t>963TJ</t>
  </si>
  <si>
    <t>WOS:000305647100001</t>
  </si>
  <si>
    <t>Clark, CD; Hughes, ALC; Greenwood, SL; Jordan, C; Sejrup, HP</t>
  </si>
  <si>
    <t>Clark, Chris D.; Hughes, Anna L. C.; Greenwood, Sarah L.; Jordan, Colm; Sejrup, Hans Petter</t>
  </si>
  <si>
    <t>Pattern and timing of retreat of the last British-Irish Ice Sheet</t>
  </si>
  <si>
    <t>YOUNGER DRYAS GLACIATION; WESTER ROSS READVANCE; NORTH-SEA; PALEOENVIRONMENTAL CHANGES; RADIOCARBON CONSTRAINTS; DEGLACIAL CHRONOLOGY; BE-10 CHRONOLOGY; MAXIMUM EXTENT; COUNTY DONEGAL; REVISED MODEL</t>
  </si>
  <si>
    <t>During the last glacial the ice sheet that subsumed most of Britain, Ireland and the North Sea attained its maximum extent by 27 ka BP and with an ice volume sufficient to raise global sea level by ca 2.5 m when it melted. We reconstruct the demise of this British-Irish Ice Sheet (BIIS) and present palaeo-glaciological maps of retreat stages between 27 and 15 ka BR The whole land area was investigated using remote sensing data and we present maps of moraines, meltwater channels, eskers, and drumlins and a methodology of how to interpret and bring them together. For the continental shelf, numerous large moraines were discovered recording an extensive pattern of retreat stretching from SW Ireland to the Shetland Isles. From an integration of this new mapping of glacial geomorphology (&gt;26,000 landforms) with previously published evidence, compiled in the BRITICE database, we derive a pattern of retreat for the whole BIIS. We review and compile relevant dates (881 examples) that constrain the timing of retreat. All data are held within a Geographic Information System (GIS), and are deciphered to produce a best-estimate of the combined pattern and timing of retreat. Pattern information reveals an ice sheet mainly comprised of a shelf-parallel configuration from SW Ireland to NE Scotland but it spread far enough to the south to incorporate outlying ice domes over Wales, the Lake District and Kerry. Final disintegration was into a number of separate ice caps, rather than reduction as a single mass, and paradoxically, retreat was not always back to high ground. By 23 ka BP ice withdrew along its northern boundaries at the same time as the southern margins were expanding, including transient ice streaming down the Irish Sea and advances of lobes in the Cheshire Basin, Vale of York and east coast of England. Ice divides migrated south. By 19 ka the ice sheet was in crisis with widespread marine-based ice losses, particularly in the northern North Sea and the Irish Sea. Considerable dynamic-thinning occurred during this phase. Final collapse of all marine sectors occurred by 17 ka BP and with most margins beginning to back-step onshore. Disintegration of the North Sea 'ice bridge' between Britain and Norway remains loosely constrained in time but the possibility of catastrophic collapse of this sector is highlighted. The North Channel and Irish Sea ice streams had finally cleaved the ice sheet into separate Irish and Scottish ice sheets by 16 ka BP. Rates of ice loss were found to vary widely over space and time (e.g., 65-260 km(3) per year). The role of ice streams and calving losses of marine-based sectors are examined. Retreat rates of up to ca 150 ma(-1) were found for some ice stream margins. That large parts (2/3) of the BIIS were marine-based, drained by ice streams, and possibly with fringing ice shelves in places, makes it a useful analogue for the West Antarctic Ice Sheet (WAIS). This is especially so because the BIIS deglaciated in response to rising temperatures and a rising sea level (driven by melting of other ice masses) which are the current forcings that might cause collapse of the WAIS. Our reconstruction, when viewed from the opposite perspective, documents when fresh land became exposed for exploitation by plants, animals and Man, and records for how long such land has been available for soil and geochemical development and ecological succession. (c) 2010 Elsevier Ltd. All rights reserved.</t>
  </si>
  <si>
    <t>[Clark, Chris D.] Univ Sheffield, Dept Geog, Sheffield S10 2TN, S Yorkshire, England; [Hughes, Anna L. C.] Swansea Univ, Sch Environm &amp; Soc, Swansea SA2 8PP, W Glam, Wales; [Greenwood, Sarah L.] Stockholm Univ, Dept Phys Geog &amp; Quaternary Geol, S-10691 Stockholm, Sweden; [Jordan, Colm] British Geol Survey, Nottingham NG12 5GG, England; [Sejrup, Hans Petter] Univ Bergen, Dept Earth Sci, N-5007 Bergen, Norway</t>
  </si>
  <si>
    <t>University of Sheffield; Swansea University; Stockholm University; UK Research &amp; Innovation (UKRI); Natural Environment Research Council (NERC); NERC British Geological Survey; University of Bergen</t>
  </si>
  <si>
    <t>Clark, CD (corresponding author), Univ Sheffield, Dept Geog, Sheffield S10 2TN, S Yorkshire, England.</t>
  </si>
  <si>
    <t>c.clark@sheffield.ac.uk</t>
  </si>
  <si>
    <t>Hughes, Anna L. C./J-5628-2015; clark, chris/C-3830-2009; Jordan, Colm/B-3946-2011</t>
  </si>
  <si>
    <t>Hughes, Anna L. C./0000-0001-8584-5202; clark, chris/0000-0002-1021-6679; Greenwood, Sarah/0000-0003-3048-7916; Jordan, Colm/0000-0002-0624-6496</t>
  </si>
  <si>
    <t>British Geological Survey NERC studentship [NER/S/A/2004/12102]; University of Sheffield studentship; NERC RAPID - Research Council of Norway grant</t>
  </si>
  <si>
    <t>British Geological Survey NERC studentship; University of Sheffield studentship; NERC RAPID - Research Council of Norway grant</t>
  </si>
  <si>
    <t>We acknowledge a British Geological Survey NERC studentship (NER/S/A/2004/12102) for funding ALCH and a University of Sheffield studentship for SLG. A NERC RAPID - Research Council of Norway grant supported CDC and HPS for some of the work. We thank Christian Wilson of OceanDTM for access and help with the Olex database. Grant Bigg, Felix Ng and two referees are thanked for pertinent comments. This paper is published with the permission of the Executive Director, British Geological Survey (NERC), and is part of the BRITICE project.</t>
  </si>
  <si>
    <t>10.1016/j.quascirev.2010.07.019</t>
  </si>
  <si>
    <t>WOS:000307202200010</t>
  </si>
  <si>
    <t>Schapira, M; McQuaid, CD; Froneman, PW</t>
  </si>
  <si>
    <t>Schapira, Mathilde; McQuaid, Christopher D.; Froneman, Pierre W.</t>
  </si>
  <si>
    <t>Free-living and particle-associated prokaryote metabolism in giant kelp forests: Implications for carbon flux in a sub-Antarctic coastal area</t>
  </si>
  <si>
    <t>prokaryotes; free-living; particle-associated; growth efficiency; kelp; sub-Antarctic island</t>
  </si>
  <si>
    <t>PRINCE EDWARD ISLANDS; PARTICULATE ORGANIC-MATTER; BACTERIAL-GROWTH; SOUTHERN-OCEAN; WATER-COLUMN; COMMUNITY STRUCTURE; SPATIAL-PATTERNS; FOOD-WEB; RESPIRATION; MACROCYSTIS</t>
  </si>
  <si>
    <t>Extensive beds of large subtidal kelps are characteristic of many temperate and subpolar coastlines. They provide habitats for a wide range of other species and are sites of high primary production that generate large quantities of water-borne particles and dissolved organic compounds that support distinctive communities of prokaryotes. We measured prokaryotic metabolism along transects from the shore to the outside of three giant kelp forests (Macrocystis pyrifera) located in the shelf waters of the Prince Edward Islands (Southern Ocean). Abundance, heterotrophic production (PHP), respiration rates (R-ETS) and growth efficiencies (PGE) were investigated within the particle-associated (PA) and the free-living (FL) communities. Temperature, salinity and inorganic nutrient concentrations indicated distinct hydrological differences among the kelp forests that were related to different levels of freshwater input through island run-off. In contrast, detritus and particulate organic matter concentrations showed a common pattern, decreasing from the near-shore to offshore at all sampling sites, suggesting the retention of organically enriched water masses inshore of the kelp forests. While FL and PA abundances did not differ significantly along transects, FL and PA-PHP and PGE all varied significantly across the kelp forests, following the same pattern across each forest. PA-PGE was significantly higher than FL-PGE in the near-shore waters and farther offshore, while FL-PGE was higher or equal to PA-PGE inside the kelp. This shift can be interpreted in terms of gradients in both the age and origins of organic material across the kelp forests. Higher PA-PGE implies that a larger fraction of organic carbon on colonized particles is converted into prokaryotic biomass and so becomes available to higher trophic levels inshore and offshore of M. pyrifera forests than inside the kelp bed. In contrast, low PA-PGE suggests that a large quantity of carbon passes through the PA-community and is mainly respired within the kelp forest. These results suggest the retention of particles within giant kelp forests. In controlling the metabolic activity of PA and FL prokaryotes, this retention will influence overall carbon flux around the archipelago. In particular, the observation of a common pattern across different M. pyrifera forests has important implications for the role of this species as an autogenic ecological engineer in coastal environments. (C) 2012 Elsevier Ltd. All rights reserved.</t>
  </si>
  <si>
    <t>[Schapira, Mathilde; McQuaid, Christopher D.; Froneman, Pierre W.] Rhodes Univ, Southern Ocean Grp, Grahamstown, South Africa; IFREMER, Lab Environm &amp; Ressource Normandie, F-14520 Port En Bessin, France</t>
  </si>
  <si>
    <t>Rhodes University; Ifremer</t>
  </si>
  <si>
    <t>Schapira, M (corresponding author), Rhodes Univ, Southern Ocean Grp, Grahamstown, South Africa.</t>
  </si>
  <si>
    <t>mathilde.schapira@ifremer.fr</t>
  </si>
  <si>
    <t>Froneman, William/GLS-0460-2022; Froneman, William/C-9085-2012; McQuaid, Christopher/AAT-3725-2020</t>
  </si>
  <si>
    <t>Froneman, William/0000-0003-0615-1355; McQuaid, Christopher/0000-0002-3473-8308; Schapira, Mathilde/0000-0002-0130-9398</t>
  </si>
  <si>
    <t>South African Department of Environmental Affairs and Tourism; South African National Antarctic Program (SANAP); Rhodes University; South African Research Chairs Initiative of the Department of Science and Technolog; National Research Foundation</t>
  </si>
  <si>
    <t>The authors gratefully acknowledge officers and crew of the research and supply vessel S.A. Agulhas for their assistance at sea and the South African Department of Environmental Affairs and Tourism for providing funds and facilities for this study. Thanks also to E.L. Allan, C.F. McQuaid and R. Young who assisted for the data collection in the kelp forests. Dr. M. Van de Venter from the Department of Biochemistry and Microbiology in Nelson Mandela Metropolitan University (NMMU) is acknowledged for providing technical support during the flow cytometry work. L. Seuront is acknowledged for his critical reading and helpful comments of an earlier version of the manuscript. Funding was provided by the South African National Antarctic Program (SANAP) and Rhodes University. This work is based upon research supported by the South African Research Chairs Initiative of the Department of Science and Technology and the National Research Foundation.</t>
  </si>
  <si>
    <t>JUN 20</t>
  </si>
  <si>
    <t>10.1016/j.ecss.2012.04.031</t>
  </si>
  <si>
    <t>966UL</t>
  </si>
  <si>
    <t>WOS:000305862800007</t>
  </si>
  <si>
    <t>Bhat, S; Polanowski, AM; Double, MC; Jarman, SN; Emslie, KR</t>
  </si>
  <si>
    <t>Bhat, Somanath; Polanowski, Andrea M.; Double, Mike C.; Jarman, Simon N.; Emslie, Kerry R.</t>
  </si>
  <si>
    <t>The Effect of Input DNA Copy Number on Genotype Call and Characterising SNP Markers in the Humpback Whale Genome Using a Nanofluidic Array</t>
  </si>
  <si>
    <t>Recent advances in nanofluidic technologies have enabled the use of Integrated Fluidic Circuits (IFCs) for high-throughput Single Nucleotide Polymorphism (SNP) genotyping (GT). In this study, we implemented and validated a relatively low cost nanofluidic system for SNP-GT with and without Specific Target Amplification (STA). As proof of principle, we first validated the effect of input DNA copy number on genotype call rate using well characterised, digital PCR (dPCR) quantified human genomic DNA samples and then implemented the validated method to genotype 45 SNPs in the humpback whale, Megaptera novaeangliae, nuclear genome. When STA was not incorporated, for a homozygous human DNA sample, reaction chambers containing, on average 9 to 97 copies, showed 100% call rate and accuracy. Below 9 copies, the call rate decreased, and at one copy it was 40%. For a heterozygous human DNA sample, the call rate decreased from 100% to 21% when predicted copies per reaction chamber decreased from 38 copies to one copy. The tightness of genotype clusters on a scatter plot also decreased. In contrast, when the same samples were subjected to STA prior to genotyping a call rate and a call accuracy of 100% were achieved. Our results demonstrate that low input DNA copy number affects the quality of data generated, in particular for a heterozygous sample. Similar to human genomic DNA, a call rate and a call accuracy of 100% was achieved with whale genomic DNA samples following multiplex STA using either 15 or 45 SNP-GT assays. These calls were 100% concordant with their true genotypes determined by an independent method, suggesting that the nanofluidic system is a reliable platform for executing call rates with high accuracy and concordance in genomic sequences derived from biological tissue.</t>
  </si>
  <si>
    <t>[Bhat, Somanath; Emslie, Kerry R.] Inst Natl Measurement Stand, Lindfield, NSW, Australia; [Polanowski, Andrea M.; Double, Mike C.; Jarman, Simon N.] Autralian Marine Mammal Ctr, Australian Antarctic Div, Kingston, Tas, Australia</t>
  </si>
  <si>
    <t>National Measurement Institute Australia - NMI; Australian Antarctic Division</t>
  </si>
  <si>
    <t>Bhat, S (corresponding author), Inst Natl Measurement Stand, Lindfield, NSW, Australia.</t>
  </si>
  <si>
    <t>Somanath.Bhat@measurement.gov.au</t>
  </si>
  <si>
    <t>Jarman, Simon/H-9265-2016</t>
  </si>
  <si>
    <t>Jarman, Simon/0000-0002-0792-9686; Polanowski, Andrea/0000-0002-9612-220X</t>
  </si>
  <si>
    <t>Commonwealth Government of Australia through the National Enabling Technology Strategy; Australian Marine Mammal Centre, Australian Antarctic Division</t>
  </si>
  <si>
    <t>This work was supported by the Commonwealth Government of Australia through the National Enabling Technology Strategy (SB, KRE) and the Australian Marine Mammal Centre, Australian Antarctic Division (AMP, MCD, SNJ). All authors are employees of the Commonwealth Government of Australia and had a role in study design, data collection and analysis, preparation of manuscript.</t>
  </si>
  <si>
    <t>e39181</t>
  </si>
  <si>
    <t>10.1371/journal.pone.0039181</t>
  </si>
  <si>
    <t>964KK</t>
  </si>
  <si>
    <t>WOS:000305693200046</t>
  </si>
  <si>
    <t>Leef, MJ; Carter, CG; Nowak, BF</t>
  </si>
  <si>
    <t>Leef, Melanie J.; Carter, Chris G.; Nowak, Barbara F.</t>
  </si>
  <si>
    <t>Assessment of nutritional status and digestive physiology in southern bluefin tuna Thunnus maccoyii fed a modified baitfish diet</t>
  </si>
  <si>
    <t>Thunnus maccoyii; Nutritional status; Trypsin; Chymotrypsin; Digestive physiology</t>
  </si>
  <si>
    <t>FREE AMINO-ACIDS; SALMO-SALAR L.; FEED CONVERSION EFFICIENCY; ATLANTIC SALMON; PROTEASE ACTIVITIES; GROWTH-RATE; CARDICOLA-FORSTERI; FOOD-DEPRIVATION; IMMUNE-RESPONSE; VITAMIN-E</t>
  </si>
  <si>
    <t>Southern bluefin tuna (Thunnus maccoyii) ranching in South Australia is one of the most valuable finfish aquaculture industries in Australia. This industry is currently highly reliant upon the use of baitfish; however commercial pelleted diets for this species are now available. Despite the economic importance of these animals there is a general lack of knowledge regarding the digestive physiology of southern bluefin tuna. Measurement of the digestive enzymes trypsin (T), chymotrypsin (C) and calculation of T:C ratios are particularly useful in the assessment of nutritional status in fish. In this study T and C activities were measured in ranched tuna fed a vitamin (Vit) and vitamin + immunostimulant (Vit + Imm) supplemented baitfish diet for 8 weeks. Differences relating to the addition of the supplements were not observed for T, C or T:C ratios suggesting that the supplementation rates did not affect the nutritional status of the tuna or the quality of the baitfish. Trypsin activity plays a key role in the secretion of chymotrypsin and in this study a significant correlation between these enzymes was found. T, C and T: C were not associated with caecum somatic index, caecum pH, caecum temperature, stomach pH or stomach temperature. Although T and C activities are highly sensitive to feeding, activities of these enzymes did not appear to be affected by the presence of baitfish in the stomach. The presence of baitfish did not appear to affect caecum pH, caecum temperature or stomach temperature. Therefore all data were pooled and a significant correlation between caecum and stomach temperature, explained by the endothermic physiology of tuna, was observed. Significantly higher stomach pH values were associated with the presence of baitfish and an inverse relationship between stomach pH and stomach temperature was found in fish with empty stomachs but not those that had eaten. These results are indicative of a digestive strategy which employs maintenance of low stomach pH for rapid digestion of a meal. This study represents the first report of digestive enzyme activities and nutritional status for captive southern bluefin tuna fed a standard and modified baitfish diet. In addition to a better understanding of digestive physiology, these results, in combination with the physiological measures of feeding and digestion, will significantly contribute to the further development of an in vitro digestive model for this species. This model will significantly improve the abilities of the Australian southern bluefin tuna industry to assess the predicted digestibility of commercially produced pelleted diets as well as screen novel dietary ingredients prior to full scale and often commercially expensive in vivo trials. Crown Copyright (C) 2012 Published by Elsevier B.V. All rights reserved.</t>
  </si>
  <si>
    <t>[Leef, Melanie J.; Carter, Chris G.; Nowak, Barbara F.] Univ Tasmania, Natl Ctr Marine Conservat &amp; Resource Sustainabil, Launceston, Tas 7250, Australia; [Carter, Chris G.] Univ Tasmania, Inst Antarctic &amp; Marine Studies, Hobart, Tas 7001, Australia</t>
  </si>
  <si>
    <t>Leef, MJ (corresponding author), Univ Tasmania, Natl Ctr Marine Conservat &amp; Resource Sustainabil, Locked Bag 1370, Launceston, Tas 7250, Australia.</t>
  </si>
  <si>
    <t>mleef@utas.edu.au</t>
  </si>
  <si>
    <t>Carter, Chris Guy/A-3438-2008; Leef, Melanie J/C-6655-2013; Nowak, Barbara/J-7261-2014</t>
  </si>
  <si>
    <t>Carter, Chris Guy/0000-0001-5210-1282; Nowak, Barbara/0000-0002-0347-643X</t>
  </si>
  <si>
    <t>FRDC</t>
  </si>
  <si>
    <t>This project was financially supported by FRDC. The authors would like to thank Miss Karine Cadoret for technical assistance, the Australian Southern Bluefin Tuna Industry Association and the participating commercial companies who were involved in this research as well as the anonymous reviewers who commented on this manuscript.</t>
  </si>
  <si>
    <t>10.1016/j.aquaculture.2012.03.043</t>
  </si>
  <si>
    <t>956DA</t>
  </si>
  <si>
    <t>WOS:000305068800023</t>
  </si>
  <si>
    <t>Bereiter, B; Lüthi, D; Siegrist, M; Schüpbach, S; Stocker, TF; Fischer, H</t>
  </si>
  <si>
    <t>Bereiter, Bernhard; Luthi, Dieter; Siegrist, Michael; Schupbach, Simon; Stocker, Thomas F.; Fischer, Hubertus</t>
  </si>
  <si>
    <t>Mode change of millennial CO2 variability during the last glacial cycle associated with a bipolar marine carbon seesaw</t>
  </si>
  <si>
    <t>abrupt climate change; CO2-temperature phasing; ice age variability; paleoclimate; greenhouse gas</t>
  </si>
  <si>
    <t>EPICA ICE CORES; OCEAN CIRCULATION; ATMOSPHERIC CO2; SOUTHERN-OCEAN; CLIMATE; RECORD; REORGANIZATIONS; DELTA-C-13</t>
  </si>
  <si>
    <t>Important elements of natural climate variations during the last ice age are abrupt temperature increases over Greenland and related warming and cooling periods over Antarctica. Records from Antarctic ice cores have shown that the global carbon cycle also plays a role in these changes. The available data shows that atmospheric CO2 follows closely temperatures reconstructed from Antarctic ice cores during these variations. Here, we present new high-resolution CO2 data from Antarctic ice cores, which cover the period between 115,000 and 38,000 y before present. Our measurements show that also smaller Antarctic warming events have an imprint in CO2 concentrations. Moreover, they indicate that during Marine Isotope Stage (MIS) 5, the peak of millennial CO2 variations lags the onset of Dansgaard/Oeschger warmings by 250 +/- 190 y. During MIS 3, this lag increases significantly to 870 +/- 90 y. Considerations of the ocean circulation suggest that the millennial variability associated with the Atlantic Meridional Overturning Circulation (AMOC) undergoes a mode change from MIS 5 to MIS 4 and 3. Ocean carbon inventory estimates imply that during MIS 3 additional carbon is derived from an extended mass of carbon-enriched Antarctic Bottom Water. The absence of such a carbon-enriched water mass in the North Atlantic during MIS 5 can explain the smaller amount of carbon released to the atmosphere after the Antarctic temperature maximum and, hence, the shorter lag. Our new data provides further constraints for transient coupled carbon cycleclimate simulations during the entire last glacial cycle.</t>
  </si>
  <si>
    <t>[Bereiter, Bernhard; Luthi, Dieter; Siegrist, Michael; Schupbach, Simon; Stocker, Thomas F.; Fischer, Hubertus] Univ Bern, Inst Phys, CH-3012 Bern, Switzerland; [Bereiter, Bernhard; Luthi, Dieter; Siegrist, Michael; Schupbach, Simon; Stocker, Thomas F.; Fischer, Hubertus] Univ Bern, Oeschger Ctr Climate Change Res, CH-3012 Bern, Switzerland</t>
  </si>
  <si>
    <t>Bereiter, B (corresponding author), Univ Bern, Inst Phys, Sidlerstr 5, CH-3012 Bern, Switzerland.</t>
  </si>
  <si>
    <t>bereiter@climate.unibe.ch</t>
  </si>
  <si>
    <t>Stocker, Thomas F/B-1273-2013; Fischer, Hubertus/A-1211-2014</t>
  </si>
  <si>
    <t>Fischer, Hubertus/0000-0002-2787-4221; Schupbach, Simon/0000-0003-3188-2635</t>
  </si>
  <si>
    <t>European Union; Swiss National Science Foundation; University of Bern; Prince Albert II of Monaco Foundation</t>
  </si>
  <si>
    <t>European Union(European Union (EU)); Swiss National Science Foundation(Swiss National Science Foundation (SNSF)); University of Bern; Prince Albert II of Monaco Foundation</t>
  </si>
  <si>
    <t>This work is a contribution to the European Project for Ice Coring in Antarctica (EPICA), a joint European Science Foundation/European Commission scientific program, funded by the European Union and by national contributions from Belgium, Denmark, France, Germany, Italy, The Netherlands, Norway, Sweden, Switzerland, and the United Kingdom, as well as to the TALos Dome Ice CorE (TALDICE) project funded by Italy, France, Germany, Switzerland, and United Kingdom. The main logistic support was provided by IPEV and PNRA (at Dome C), AWI (at Dronning Maud Land) and PNRA (at Talos Dome). This is EPICA publication no. 286 and TALDICE publication no. 20, respectively. We thank Robert Schneider for providing additional EDC data; the technical team in the field for their effort; Fortunat Joos and Laurie Menviel for discussions; and Jerome Chappellaz for providing us additional ice samples. We acknowledge financial support by the Swiss National Science Foundation, the University of Bern, and the Prince Albert II of Monaco Foundation. The presented data is available on www.ncdc.noaa.gov/paleo/icgate.</t>
  </si>
  <si>
    <t>JUN 19</t>
  </si>
  <si>
    <t>10.1073/pnas.1204069109</t>
  </si>
  <si>
    <t>969NC</t>
  </si>
  <si>
    <t>WOS:000306061400027</t>
  </si>
  <si>
    <t>de Souza, GF; Reynolds, BC; Rickli, J; Frank, M; Saito, MA; Gerringa, LJA; Bourdon, B</t>
  </si>
  <si>
    <t>de Souza, Gregory F.; Reynolds, Ben C.; Rickli, Joerg; Frank, Martin; Saito, Mak A.; Gerringa, Loes J. A.; Bourdon, Bernard</t>
  </si>
  <si>
    <t>Southern Ocean control of silicon stable isotope distribution in the deep Atlantic Ocean</t>
  </si>
  <si>
    <t>ANTARCTIC BOTTOM WATER; NORTH-ATLANTIC; NORDIC SEAS; OVERTURNING CIRCULATION; MEAN CIRCULATION; ATMOSPHERIC CO2; WEDDELL SEA; WORLD OCEAN; ICP-MS; SI</t>
  </si>
  <si>
    <t>The fractionation of silicon (Si) stable isotopes by biological activity in the surface ocean makes the stable isotope composition of silicon (delta Si-30) dissolved in seawater a sensitive tracer of the oceanic biogeochemical Si cycle. We present a high-precision dataset that characterizes the delta Si-30 distribution in the deep Atlantic Ocean from Denmark Strait to Drake Passage, documenting strong meridional and smaller, but resolvable, vertical delta Si-30 gradients. We show that these gradients are related to the two sources of deep and bottom waters in the Atlantic Ocean: waters of North Atlantic and Nordic origin carry a high delta(30)Sisignature of &gt;=+1.7 parts per thousand into the deep Atlantic, while Antarctic Bottom Water transports Si with a low delta Si-30 value of around +1.2 parts per thousand. The deep Atlantic delta Si-30 distribution is thus governed by the quasi-conservative mixing of Si from these two isotopically distinct sources. This disparity in Si isotope composition between the North Atlantic and Southern Ocean is in marked contrast to the homogeneity of the stable nitrogen isotope composition of deep ocean nitrate (delta N-15-NO3). We infer that the meridional delta Si-30 gradient derives from the transport of the high delta Si-30 signature of Southern Ocean intermediate/mode waters into the North Atlantic by the upper return path of the meridional overturning circulation (MOC). The basin-scale deep Atlantic delta Si-30 gradient thus owes its existence to the interaction of the physical circulation with biological nutrient uptake at high southern latitudes, which fractionates Si isotopes between the abyssal and intermediate/mode waters formed in the Southern Ocean.</t>
  </si>
  <si>
    <t>[de Souza, Gregory F.; Reynolds, Ben C.; Rickli, Joerg; Bourdon, Bernard] ETH, Inst Geochem &amp; Petrol, CH-8092 Zurich, Switzerland; [Frank, Martin] Helmholtz Ctr Ocean Res Kiel, GEOMAR, Kiel, Germany; [Saito, Mak A.] Woods Hole Oceanog Inst, Woods Hole, MA 02543 USA; [Gerringa, Loes J. A.] Royal Netherlands Inst Sea Res, Texel, Netherlands; [Bourdon, Bernard] Ecole Normale Super Lyon, F-69364 Lyon, France; [Bourdon, Bernard] CNRS, Lyon, France</t>
  </si>
  <si>
    <t>Swiss Federal Institutes of Technology Domain; ETH Zurich; Helmholtz Association; GEOMAR Helmholtz Center for Ocean Research Kiel; Woods Hole Oceanographic Institution; Utrecht University; Royal Netherlands Institute for Sea Research (NIOZ); Ecole Normale Superieure de Lyon (ENS de LYON); Centre National de la Recherche Scientifique (CNRS)</t>
  </si>
  <si>
    <t>de Souza, GF (corresponding author), ETH, Inst Geochem &amp; Petrol, NW C81-1,Clausiusstr 25, CH-8092 Zurich, Switzerland.</t>
  </si>
  <si>
    <t>desouza@erdw.ethz.ch</t>
  </si>
  <si>
    <t>Saito, Mak/ADT-4986-2022</t>
  </si>
  <si>
    <t>Frank, Martin/0000-0002-8606-4421; de Souza, Gregory/0000-0002-0232-2690; Rickli, Jorg/0000-0001-8186-2750</t>
  </si>
  <si>
    <t>Swiss National Science Foundation [200021-116473, 200020-130361]; Swiss National Science Foundation (SNF) [200020_130361] Funding Source: Swiss National Science Foundation (SNF)</t>
  </si>
  <si>
    <t>Swiss National Science Foundation(Swiss National Science Foundation (SNSF)); Swiss National Science Foundation (SNF)(Swiss National Science Foundation (SNSF))</t>
  </si>
  <si>
    <t>The authors would like to thank the captain and crew of R/Vs Polarstern, Knorr and Pelagia as well as M. Rutgers van der Loeff as Chief Scientist on cruise ANT XXIII/1. P. Laan and J. de Jong are gratefully acknowledged for sampling on cruise 64PE319. Feedback from Nicolas Gruber helped to considerably improve an earlier version of this manuscript. Two anonymous reviewers are thanked for their constructive input. This work was supported by Swiss National Science Foundation grants 200021-116473 and 200020-130361.</t>
  </si>
  <si>
    <t>GB2035</t>
  </si>
  <si>
    <t>10.1029/2011GB004141</t>
  </si>
  <si>
    <t>963QA</t>
  </si>
  <si>
    <t>Green Published, Bronze, Green Submitted, Green Accepted</t>
  </si>
  <si>
    <t>WOS:000305636600001</t>
  </si>
  <si>
    <t>De Robertis, A; Cokelet, ED</t>
  </si>
  <si>
    <t>De Robertis, Alex; Cokelet, Edward D.</t>
  </si>
  <si>
    <t>Distribution of fish and macrozooplankton in ice-covered and open-water areas of the eastern Bering Sea</t>
  </si>
  <si>
    <t>Acoustics; Eastern Bering Sea; Sea ice; Temperature; Walleye pollock; Theragra chalcogramma; Icebreaker</t>
  </si>
  <si>
    <t>POLLOCK THERAGRA-CHALCOGRAMMA; WALLEYE POLLOCK; EUPHAUSIA-SUPERBA; ANTARCTIC KRILL; CLIMATE-CHANGE; RECRUITMENT; FISHERIES; IDENTIFICATION; VARIABILITY; ABUNDANCE</t>
  </si>
  <si>
    <t>The eastern Bering Sea shelf is a productive ecosystem with extensive commercial fisheries. Although the area is well-studied during summer months, little is known about the abundance and distribution of fish and macrozooplankton during periods of seasonal ice cover. The use of an icebreaker during the Bering Sea Ecosystem Study (BEST) provided a platform for spring acoustic surveys of fish and zooplankton in ice-covered areas for the first time. Icebreaker measurements were complemented with observations from conventional vessels during spring and summer. In spring, very little backscatter from fish (dominated by walleye pollock, Theragra chalcogramma) was observed in the ice-covered northern areas where near-bottom waters were cold (</t>
  </si>
  <si>
    <t>[De Robertis, Alex] NOAA, Alaska Fisheries Sci Ctr, Natl Marine Fisheries Serv, Seattle, WA USA; [Cokelet, Edward D.] NOAA, Pacific Marine Environm Lab, Seattle, WA 98115 USA</t>
  </si>
  <si>
    <t>National Oceanic Atmospheric Admin (NOAA) - USA; National Oceanic Atmospheric Admin (NOAA) - USA</t>
  </si>
  <si>
    <t>De Robertis, A (corresponding author), NOAA, Alaska Fisheries Sci Ctr, Natl Marine Fisheries Serv, 7600 Sand Point Way NE, Seattle, WA USA.</t>
  </si>
  <si>
    <t>Alex.DeRobertis@noaa.gov</t>
  </si>
  <si>
    <t>JUN 15</t>
  </si>
  <si>
    <t>65-70</t>
  </si>
  <si>
    <t>10.1016/j.dsr2.2012.02.005</t>
  </si>
  <si>
    <t>970QU</t>
  </si>
  <si>
    <t>WOS:000306148200018</t>
  </si>
  <si>
    <t>Cordaro, EG; Olivares, E; Galvez, D; Salazar-Aravena, D; Laroze, D</t>
  </si>
  <si>
    <t>Cordaro, E. G.; Olivares, E.; Galvez, D.; Salazar-Aravena, D.; Laroze, D.</t>
  </si>
  <si>
    <t>New 3He neutron monitor for Chilean Cosmic-Ray Observatories from the Altiplanic zone to the Antarctic zone</t>
  </si>
  <si>
    <t>He-3 neutron monitor; High mountain observatories; Ground level event; Monte Carlo method</t>
  </si>
  <si>
    <t>We present the results of three years of continuous operations and the principal characteristics of our new He-3 neutron monitors installed in the Chilean Network of Cosmic-Ray Observatories. During the years 2004 and 2005, we began the construction of this International Geophysical Year (IGY)-type He-3 neutron monitor, with the intention of replacing the older proportional tubes of the BF3. These new monitors are installed in stations at locations ranging from the near-equatorial zone to the Antarctic zone. As a reference system, we used our own BF3 neutron monitors and previously complemented the collected data with a Monte Carlo simulation for the proton-yield function response of the Putre neutron monitor. Herein, we present for the first time the data obtained from our new high-mountain observatory located in the Altiplanic zone. (C) 2012 COSPAR. Published by Elsevier Ltd. All rights reserved.</t>
  </si>
  <si>
    <t>[Laroze, D.] Max Planck Inst Polymer Res, D-55021 Mainz, Germany; [Cordaro, E. G.; Galvez, D.] Univ Chile, Observ Radiac Cosm, Santiago, Chile; [Olivares, E.] Univ Mayor, Fac Ingn, Escuela Ingn Elect, Santiago, Chile; [Salazar-Aravena, D.] Univ Santiago Chile, Dept Fis, Santiago, Chile; [Laroze, D.] Univ Tarapaca, Inst Alta Invest, Arica, Chile</t>
  </si>
  <si>
    <t>Max Planck Society; Universidad de Chile; Universidad Mayor; Universidad de Santiago de Chile; Universidad de Tarapaca</t>
  </si>
  <si>
    <t>Laroze, D (corresponding author), Max Planck Inst Polymer Res, D-55021 Mainz, Germany.</t>
  </si>
  <si>
    <t>laroze@mpip-mainz.mpg.de</t>
  </si>
  <si>
    <t>Laroze, David/E-9134-2011; Laroze, David/Z-2852-2019; Salazar-Aravena, Diego/ITT-1406-2023</t>
  </si>
  <si>
    <t>Laroze, David/0000-0002-6487-8096; Laroze, David/0000-0002-6487-8096; Salazar-Aravena, Diego/0000-0002-6250-8358</t>
  </si>
  <si>
    <t>FCFM-University of Chile; Fondecyt [11080229, 1120764]; Millennium Scientific Initiative [P10 - 061 - F]; Center for the Development of Nanoscience and Nanotechnology (CEDENNA); UTA/ Mineduc UTA [8750-12]; CONICYT</t>
  </si>
  <si>
    <t>FCFM-University of Chile; Fondecyt(Comision Nacional de Investigacion Cientifica y Tecnologica (CONICYT)CONICYT FONDECYT); Millennium Scientific Initiative; Center for the Development of Nanoscience and Nanotechnology (CEDENNA)(Comision Nacional de Investigacion Cientifica y Tecnologica (CONICYT)CONICYT PIA/BASAL); UTA/ Mineduc UTA; CONICYT(Comision Nacional de Investigacion Cientifica y Tecnologica (CONICYT))</t>
  </si>
  <si>
    <t>The authors thank Dr. M. Storini (IFSI-Roma), Dr. M. Parisi (UNI-Roma Tre) and Dr. E. Zesta (UCLA-IGPP) for their collaborations and advice. Dr. L.A. Raggi (Incas-UCh) for their collaboration and support. The neutron monitors at the LARC, OLC and Putre-Incas Observatories are partially supported by FCFM-University of Chile, with antarctic logistical support from IN-ACH. Partial instrumental support is also provided by IFSI-Roma, UNI-Roma Tre and PNRA of Italy. We also wish to thank the following groups: the Antarctic Division of the Chilean Air Force and the E. Frei Base King George Island; the airport gateway to the Antarctic territory for their continuous collaborations and aid; the Antarctic Department of the Chilean Army and the Gen. B. O'Higgins Base on the Antarctic Peninsula for their continuous collaborations and aid; and the UCLA-IGPP flux-gate magnetometer, in collaboration with the South American Magnetometer B-field Array (SAMBA) project of the University of California, Los Angeles, USA. Also, we would like to thank to the anonymous Referees for their comments and suggestions. D.L. acknowledges partial financial support from Fondecyt 11080229 and Fondecyt 1120764, the Millennium Scientific Initiative, P10 - 061 - F, the Basal Program Center for the Development of Nanoscience and Nanotechnology (CEDENNA) and Performance Agreement Project UTA/ Mineduc UTA-Project 8750-12. D.S.A acknowledges CONICYT PhD program fellowship.</t>
  </si>
  <si>
    <t>10.1016/j.asr.2012.03.015</t>
  </si>
  <si>
    <t>952JD</t>
  </si>
  <si>
    <t>WOS:000304787900004</t>
  </si>
  <si>
    <t>Ressler, PH; De Robertis, A; Warren, JD; Smith, JN; Kotwicki, S</t>
  </si>
  <si>
    <t>Ressler, Patrick H.; De Robertis, Alex; Warren, Joseph D.; Smith, Joy N.; Kotwicki, Stan</t>
  </si>
  <si>
    <t>Developing an acoustic survey of euphausiids to understand trophic interactions in the Bering Sea ecosystem</t>
  </si>
  <si>
    <t>USA; Alaska; Bering Sea; Walleye pollock; Euphausiids; Acoustic survey; 54 degrees N; 64 degrees N; 155 degrees W; 185 degrees W</t>
  </si>
  <si>
    <t>POLLOCK THERAGRA-CHALCOGRAMMA; TARGET-STRENGTH MEASUREMENTS; ANTARCTIC KRILL; THYSANOESSA-INERMIS; IMPROVED PARAMETERIZATION; PRIBILOF ISLANDS; ZOOPLANKTON; ABUNDANCE; BIOMASS; VARIABILITY</t>
  </si>
  <si>
    <t>Euphausiids (principally Thysanoessa spp.) are a key group of organisms in the Bering Sea ecosystem, linking production at lower trophic levels to top predators and important commercial fish stocks such as walleye pollock (Theragra chalcogramma). Here, we combine multifrequency acoustic survey methods, physics-based models of euphausiid backscatter, and net sampling to provide a means of monitoring the status and trends of euphausiid standing stock biomass on the Bering Sea shelf. Observations made using this approach during six summers (2004 and 2006-2010) indicate that standing stocks of euphausiids and pollock were inversely correlated over time as well as in space across the continental shelf. First-order calculations show that when pollock abundance was at its peak during these years, the pollock stock could have consumed 10-87% of the euphausiid standing stock between May and September. We hypothesize that predation by pollock is a significant top-down control on euphausiid standing stock in this system. Published by Elsevier Ltd.</t>
  </si>
  <si>
    <t>[Ressler, Patrick H.; De Robertis, Alex; Kotwicki, Stan] NOAA, Resource Assessment &amp; Conservat Engn Div, Alaska Fisheries Sci Ctr, Natl Marine Fisheries Serv, Seattle, WA 98115 USA; [Warren, Joseph D.; Smith, Joy N.] SUNY Stony Brook, Sch Marine &amp; Atmospher Sci, Southampton, NY 11968 USA</t>
  </si>
  <si>
    <t>National Oceanic Atmospheric Admin (NOAA) - USA; State University of New York (SUNY) System; State University of New York (SUNY) Stony Brook</t>
  </si>
  <si>
    <t>Ressler, PH (corresponding author), NOAA, Resource Assessment &amp; Conservat Engn Div, Alaska Fisheries Sci Ctr, Natl Marine Fisheries Serv, 7600 Sand Point Way NE, Seattle, WA 98115 USA.</t>
  </si>
  <si>
    <t>patrick.ressler@noaa.gov; alex.derobertis@noaa.gov; joe.warren@stonybrook.edu; jonsmith@ic.sunysb.edu; stan.kotwicki@noaa.gov</t>
  </si>
  <si>
    <t>Kotwicki, Stan/C-3599-2009; Warren, Joseph/Y-4078-2019</t>
  </si>
  <si>
    <t>Kotwicki, Stan/0000-0002-6112-5021</t>
  </si>
  <si>
    <t>10.1016/j.dsr2.2012.02.015</t>
  </si>
  <si>
    <t>WOS:000306148200015</t>
  </si>
  <si>
    <t>Satterthwaite, WH; Mangel, M</t>
  </si>
  <si>
    <t>Satterthwaite, William H.; Mangel, Marc</t>
  </si>
  <si>
    <t>Behavioral models as a common framework to predict impacts of environmental change on seabirds and fur seals</t>
  </si>
  <si>
    <t>Foraging behavior; Models; Climatic changes; Ecosystem-based management</t>
  </si>
  <si>
    <t>SOUTHEASTERN BERING-SEA; CLIMATE-CHANGE; PRIBILOF ISLANDS; CALLORHINUS-URSINUS; FUTURE CLIMATE; PISCIVOROUS SEABIRDS; BIOTIC INTERACTIONS; ENERGY-EXPENDITURE; MARINE ECOSYSTEM; ANTARCTIC KRILL</t>
  </si>
  <si>
    <t>In this paper, we lay out the theoretical framework for using modeling approaches from behavioral ecology (in particular, state-dependent and game theoretical models) to predict the behavioral responses of central place foragers to changes in their food environment. We develop individual-based models of the state-dependent behavior of individual central place foragers over the course of a breeding season and show how our approach provides a framework for the prediction of trip lengths, foraging location, food delivery, and reproductive success. We formulate a common framework of models for northern fur seals (Callorhinus ursinus), black-legged kittiwakes (Rissa tridactyla), and thick-billed murres (Uria lomvia), and provide worked examples parameterized to represent fur seals and murres. We then develop a game theoretic model at the colony-level for predicting the distribution of multiple individuals across space in the face of potential interference or facilitation, providing a worked example for kittiwakes. We demonstrate how these models can be used to predict near-term aspects of foraging behavior such as diet choice and trip destinations and durations at the individual and colony level. We show how (i) behavioral predictions can be translated into predictions of foraging success, (ii) foraging success can be scaled up to demographically relevant parameters such as survival and reproduction, and (iii) this approach can help predict impacts of environmental change on top-level predators. (C) 2012 Elsevier Ltd. All rights reserved.</t>
  </si>
  <si>
    <t>[Satterthwaite, William H.; Mangel, Marc] Univ Calif Santa Cruz, Dept Appl Math &amp; Stat, Ctr Stock Assessment Res, Santa Cruz, CA 95064 USA; [Satterthwaite, William H.] MRAG Amer, Capitola, CA 95010 USA; [Mangel, Marc] Univ Bergen, Dept Biol, N-5020 Bergen, Norway</t>
  </si>
  <si>
    <t>University of California System; University of California Santa Cruz; University of Bergen</t>
  </si>
  <si>
    <t>Satterthwaite, WH (corresponding author), Univ Calif Santa Cruz, Dept Appl Math &amp; Stat, Ctr Stock Assessment Res, Santa Cruz, CA 95064 USA.</t>
  </si>
  <si>
    <t>satterth@darwin.ucsc.edu; msmangel@ucsc.edu</t>
  </si>
  <si>
    <t>Satterthwaite, William/0000-0002-0436-7390</t>
  </si>
  <si>
    <t>10.1016/j.dsr2.2012.02.016</t>
  </si>
  <si>
    <t>WOS:000306148200024</t>
  </si>
  <si>
    <t>Karlsson, NB; Rippin, DM; Bingham, RG; Vaughan, DG</t>
  </si>
  <si>
    <t>Karlsson, Nanna B.; Rippin, David M.; Bingham, Robert G.; Vaughan, David G.</t>
  </si>
  <si>
    <t>A 'continuity-index' for assessing ice-sheet dynamics from radar-sounded internal layers</t>
  </si>
  <si>
    <t>glaciology; radio-echo sounding; internal layers; West Antarctica; ice-penetrating radar; ice dynamics</t>
  </si>
  <si>
    <t>PINE ISLAND GLACIER; WEST ANTARCTICA; STREAM; STRATIGRAPHY; GREENLAND; BALANCE; BENEATH; BAY</t>
  </si>
  <si>
    <t>Radio-echo sounding (RES) of polar ice sheets reveals extensive internal layering. The degree of continuity of internal layering holds critical information about the ice-flow field, but previous analyses of this parameter have been limited to qualitative classifications. Here we present a new quantitative method for analyzing internal layer continuity named the continuity-index. When applied to data from Pine Island Glacier, West Antarctica, the new method clearly identifies a continuum of discontinuity of internal layers that corresponds with the current ice-velocity field. The analysis provides further support that the main trunk and tributaries are unlikely to have undergone substantial migration since the deposition of the internal layering. Significantly, our new method for analyzing internal layers is readily transferable across RES datasets, offering promise for data-led assessments of past and present flow dynamics across large areas of Antarctica and Greenland. (C) 2012 Elsevier B.V. All rights reserved.</t>
  </si>
  <si>
    <t>[Karlsson, Nanna B.] Univ Hull, Dept Geog, Kingston Upon Hull HU6 7RX, N Humberside, England; [Karlsson, Nanna B.] British Antarctic Survey, Cambridge CB3 0ET, England; [Rippin, David M.] Univ York, Dept Environm, York YO10 5DD, N Yorkshire, England; [Bingham, Robert G.] Univ Aberdeen, Sch Geosci, Aberdeen AB24 3UF, Scotland</t>
  </si>
  <si>
    <t>University of Hull; UK Research &amp; Innovation (UKRI); Natural Environment Research Council (NERC); NERC British Antarctic Survey; University of York - UK; University of Aberdeen</t>
  </si>
  <si>
    <t>Karlsson, NB (corresponding author), Univ Copenhagen, Niels Bohr Inst, Ctr Ice &amp; Climate, Juliane Mariesvej 30, DK-2100 Copenhagen, Denmark.</t>
  </si>
  <si>
    <t>nanna.karlsson@nbi.ku.dk</t>
  </si>
  <si>
    <t>Rippin, David Manish/AAW-5063-2021; Vaughan, David/C-8348-2011; Karlsson, Nanna Bjørnholt/G-4621-2018; Bingham, Robert G/G-3576-2017; Karlsson, Nanna B./M-4519-2014</t>
  </si>
  <si>
    <t>Rippin, David Manish/0000-0001-7757-9880; Bingham, Robert G/0000-0002-0630-2021; Karlsson, Nanna B./0000-0003-0423-8705; Vaughan, David/0000-0002-9065-0570</t>
  </si>
  <si>
    <t>University of Hull; NERC [bas0100027] Funding Source: UKRI; Natural Environment Research Council [bas0100027] Funding Source: researchfish</t>
  </si>
  <si>
    <t>University of Hull; NERC(UK Research &amp; Innovation (UKRI)Natural Environment Research Council (NERC)); Natural Environment Research Council(UK Research &amp; Innovation (UKRI)Natural Environment Research Council (NERC))</t>
  </si>
  <si>
    <t>N.B. Karlsson was supported by a University of Hull scholarship. The work presented here was carried out in affiliation with the British Antarctic Survey and with additional support from the International Glaciological Society and the Anglo-Danish Society. The authors would like to thank H.F.J. Corr and acknowledge the logistical support for the field campaign of the British Antarctic Survey, The University of Texas and the US National Science Foundation. We thank the field party, and L. Byrne, who digitized the radar data. The authors would also like to acknowledge J. MacGregor and one anonymous reviewer whose comments significantly improved this manuscript.</t>
  </si>
  <si>
    <t>10.1016/j.epsl.2012.04.034</t>
  </si>
  <si>
    <t>981PM</t>
  </si>
  <si>
    <t>WOS:000306981600010</t>
  </si>
  <si>
    <t>Guglielmin, M; Worland, MR; Cannone, N</t>
  </si>
  <si>
    <t>Guglielmin, Mauro; Worland, Michael Roger; Cannone, Nicoletta</t>
  </si>
  <si>
    <t>Spatial and temporal variability of ground surface temperature and active layer thickness at the margin of maritime Antarctica, Signy Island</t>
  </si>
  <si>
    <t>Ground surface temperature; Active layer; Vegetation cover</t>
  </si>
  <si>
    <t>ELLESMERE-ISLAND; SOIL PROPERTIES; THERMAL REGIME; N-FACTOR; PERMAFROST; VEGETATION; CLIMATE; GRADIENT; THAW; KARKEVAGGE</t>
  </si>
  <si>
    <t>A CALM grid with a data logger system to monitor the active layer thermal regime was established on Signy Island (60 degrees 43'S, 45 degrees 38'W at 80 m a.s.l.) in December 2005. The active layer at each of the 36 nodes of the grid was monitored measuring the ground temperature at least at 4 different depths between 0.02 and 0.4 m at the end of the summer season. In addition, within the grid, we selected four sites closely spaced (in a ray of 25 m) three of which with the same topographical characteristics (north facing aspect) but different vegetation coverage (one bare ground, BG1 and two sites with different vegetation: Andreaea sp. and Sanionia uncinata) and the fourth (BG2) it is as BG1 a bare ground but with south facing aspect. In particular, 4 thermistors were located at depths of 0.02, 0.3, 0.6, and 0.9 m at BG2 and at the Andreaea sp site, 9 thermistors at 0.02, 0.3, 0.6, 1, 1.2, 1.4, 1.6, 2, and 2.5 m at BG1 and at 0.02 and 0.6 m of depth at Sanionia site. Generally, with the same aspect, a thick vegetation cover (as in Sanionia site) provides a greater insulative effect than a thinner vegetation cover (as in Andreaea site) or bare ground (BG1) because vegetation both shades and insulates the ground resulting in a reduction in summer heat flux. Ground Surface Temperature (GST) was colder and more buffered in spring and summer under the vegetated ground than in BG1, although the coldest GST and lowest Thawing Degree Days (TDD) were recorded at BG2 and related to its southern aspect. Our data confirm that air temperature is the main driver of GST, as already reported both in the Arctic and Antarctic. We also found that the effect of air temperature changes seasonally, being drastically reduced in winter and, to a lesser extent, in fall and spring, when there is generally thin snow cover (&lt;30 cm). During the summer, when snow cover is usually absent, the air temperature is the dominant driver, although incoming radiation also had an effect on the northern exposed bare ground and to a lesser extent on the vegetated and southerly exposed bare ground. The active layer ranges between 81 and 185 cm on the 4 continuously monitored sites and, considering the sites with the same aspect, it is thicker under bare ground (between 10% up to more than 100%) than under vegetated ground, confirming previous observations in the Arctic and Antarctic. However at our sites, climate forcing has no effect on the active layer thickness, enhancing the role of soil properties including the periods of high moisture content and lateral flow of water. The lack of a statistically significant regressions between GST and active layer thickness could be due to the limited study period (four years) and/or to the variation with time of changes in soil characteristics such as soil moisture, and the possible occurrence of non-conductive heat transfer processes including the lateral flow of water. Further data are required to understand the role of moisture and possible ground water circulation within the active layer to explain the unexpected strong dichotomy between the GST regime and active layer thickness. (C) 2011 Elsevier B.V. All rights reserved.</t>
  </si>
  <si>
    <t>[Guglielmin, Mauro; Cannone, Nicoletta] Insubria Univ, BICOM, I-21100 Varese, Italy; [Worland, Michael Roger] British Antarctic Survey, Cambridge CB3 0ET, England</t>
  </si>
  <si>
    <t>University of Insubria; UK Research &amp; Innovation (UKRI); Natural Environment Research Council (NERC); NERC British Antarctic Survey</t>
  </si>
  <si>
    <t>Guglielmin, M (corresponding author), Insubria Univ, BICOM, Via Dunant 3, I-21100 Varese, Italy.</t>
  </si>
  <si>
    <t>mauro.guglielmin@uninsubria.it</t>
  </si>
  <si>
    <t>Cannone, Nicoletta/W-8651-2019</t>
  </si>
  <si>
    <t>Cannone, Nicoletta/0000-0002-3390-3965</t>
  </si>
  <si>
    <t>BAS; PNRA (Progetto nazionale di Ricerca in Antartide); NERC [bas0100025] Funding Source: UKRI; Natural Environment Research Council [bas0100025] Funding Source: researchfish</t>
  </si>
  <si>
    <t>BAS; PNRA (Progetto nazionale di Ricerca in Antartide); NERC(UK Research &amp; Innovation (UKRI)Natural Environment Research Council (NERC)); Natural Environment Research Council(UK Research &amp; Innovation (UKRI)Natural Environment Research Council (NERC))</t>
  </si>
  <si>
    <t>We acknowledge British Antarctic Survey (BAS) for the logistic support on the field. We thank again BAS and PNRA (Progetto nazionale di Ricerca in Antartide) for funding this joint research program. We want also to thank the two reviewers Prof. F. Nelson and Prof. M. Balks and the Editor Prof. A.M. Harvey for their useful comments and corrections that significantly improved the manuscript.</t>
  </si>
  <si>
    <t>10.1016/j.geomorph.2011.12.016</t>
  </si>
  <si>
    <t>946ES</t>
  </si>
  <si>
    <t>WOS:000304334900004</t>
  </si>
  <si>
    <t>Guglielmin, M; Worland, MR; Convey, P; Cannone, N</t>
  </si>
  <si>
    <t>Guglielmin, M.; Worland, M. R.; Convey, P.; Cannone, N.</t>
  </si>
  <si>
    <t>Schmidt Hammer studies in the maritime Antarctic: Application to dating Holocene deglaciation and estimating the effects of macrolichens on rock weathering</t>
  </si>
  <si>
    <t>Schmidt Hammer; Rock weathering; Lichens; Holocene deglaciation; Antarctica</t>
  </si>
  <si>
    <t>NORTHERN VICTORIA LAND; UPPER NORRLAND COAST; EXPOSURE-AGE; NEOGLACIAL MORAINES; ALEXANDER ISLAND; GLACIER-FORELAND; SURFACE HARDNESS; MARGUERITE BAY; CLIMATE-CHANGE; ICE-AGE</t>
  </si>
  <si>
    <t>In order to contribute to the reconstruction of the deglaciation history of the Marguerite Bay area (similar to 68 degrees S, Maritime Antarctic) and to estimate the rock weathering rate in this Antarctic sector, 28 sites (7 on Rothera Point and 21 on Anchorage Island) were characterised using Schmidt Hammer values. The weathering effect of two of the most widespread species of macrolichens in this area (Usnea sphacelata and Umbilicaria decussata) was tested at 5 different sites on Rothera Point. Schmidt Hammer data, in conjunction with recent C-14 age, suggest a deglaciation age for the Marguerite Bay area of around 12 ka, and an average uplift rate of 5.4 mm year(-1) on Anchorage Island for the period between 3.3 and 5.2 ka. The weathering rates are extremely slow (e.g. three times slower than reported in Norway). Our data confirm that lichens exert a strong impact on weathering, decreasing the Schmidt Hammer R-values on lichenised surfaces by a factor of 3-4 compared to bare rock surfaces. The effect of lichens on weathering is mainly due to edaphic conditions and the type of the lichen involved rather the period of exposure. (C) 2011 Elsevier B.V. All rights reserved.</t>
  </si>
  <si>
    <t>[Guglielmin, M.; Cannone, N.] Insubria Univ, BICOM, I-21100 Varese, Italy; [Worland, M. R.; Convey, P.] British Antarctic Survey, Cambridge CB3 0ET, England</t>
  </si>
  <si>
    <t>Convey, Peter/AAV-5728-2020; Cannone, Nicoletta/W-8651-2019</t>
  </si>
  <si>
    <t>Convey, Peter/0000-0001-8497-9903; Cannone, Nicoletta/0000-0002-3390-3965</t>
  </si>
  <si>
    <t>BAS; PNRA (Progetto nazionale di Ricerca in Antartide); NERC [bas0100025, bas0100026] Funding Source: UKRI; Natural Environment Research Council [bas0100026, bas0100025] Funding Source: researchfish</t>
  </si>
  <si>
    <t>We acknowledge British Antarctic Survey (BAS) for the logistic support on the field. We thank again BAS and PNRA (Progetto nazionale di Ricerca in Antartide) for funding this joint programme of research. We want also to thank Fabio Baio for his help in the field work</t>
  </si>
  <si>
    <t>10.1016/j.geomorph.2011.12.015</t>
  </si>
  <si>
    <t>WOS:000304334900005</t>
  </si>
  <si>
    <t>López-Martínez, J; Serrano, E; Schmid, T; Mink, S; Linés, C</t>
  </si>
  <si>
    <t>Lopez-Martinez, Jeronimo; Serrano, Enrique; Schmid, Thomas; Mink, Sandra; Lines, Clara</t>
  </si>
  <si>
    <t>Periglacial processes and landforms in the South Shetland Islands (northern Antarctic Peninsula region)</t>
  </si>
  <si>
    <t>Geomorphology; Periglacial environment; Periglacial landforms; Permafrost; South Shetland Islands; Antarctica</t>
  </si>
  <si>
    <t>LIVINGSTON-ISLAND; ROCK TEMPERATURES; GEORGE ISLAND; PERMAFROST; MARITIME; GLACIERS; HISTORY; ICE</t>
  </si>
  <si>
    <t>Periglacial processes and landforms together with the presence of permafrost are among the most relevant geomorphological elements in the northern Antarctic Peninsula region. Their distribution affects the hydrology and has consequences for the ecosystems of the ice-free areas. In this paper a compilation of the different types of periglacial landforms and processes occurring in the South Shetland Islands is carried out and their spatial distribution is analysed. Furthermore, the relationships of the periglacial landforms with local conditions and permafrost distribution have been taken into account. A total of thirty three types of periglacial landforms were identified and considered in this work. Patterned ground and stone fields are the most common periglacial landforms, which are located within a wide altitudinal range and mainly on platforms. Field studies, aerial photograph and satellite imagery interpretation were implemented to produce detailed maps from ten areas with different geological, geomorphological and relief characteristics, including the largest and most relevant ice-free areas within the archipelago, showing the presence and spatial distribution of periglacial landforms. This work shows that the periglacial environment, primarily conditioned by the regional climatic conditions, has a great diversity in the studied region and that the distribution of the periglacial landforms is also related to local relief and geomorphological characteristics, lithology, hydrogeology, and presence of permafrost where altitude plays an important role. Periglacial phenomena are widespread above 10 m a.s.l. and are especially active on slopes and platforms between 30 and 100 m a.s.l. The spatial distribution of periglacial landforms helps to identify, the presence of permafrost that is dominant above 25-30 m a.s.l. and more than 70% of the surface is occupied by active layer-related landforms. (C) 2011 Elsevier B.V. All rights reserved.</t>
  </si>
  <si>
    <t>[Lopez-Martinez, Jeronimo; Mink, Sandra; Lines, Clara] Univ Autonoma Madrid, Fac Ciencias, Dept Geol &amp; Geoquim, E-28049 Madrid, Spain; [Serrano, Enrique] Univ Valladolid, Dept Geog, E-47011 Valladolid, Spain; [Schmid, Thomas] CIEMAT, E-28040 Madrid, Spain</t>
  </si>
  <si>
    <t>Autonomous University of Madrid; Universidad de Valladolid; Centro de Investigaciones Energeticas, Medioambientales Tecnologicas</t>
  </si>
  <si>
    <t>López-Martínez, J (corresponding author), Univ Autonoma Madrid, Fac Ciencias, Dept Geol &amp; Geoquim, E-28049 Madrid, Spain.</t>
  </si>
  <si>
    <t>jeronimo.lopez@uam.es; serranoe@fyl.uva.es; thomas.schmid@ciemat.es</t>
  </si>
  <si>
    <t>SERRANO, ENRIQUE/AAH-7986-2020; Lopez-Martinez, Jeronimo/C-5744-2011; Schmid, Thomas/L-3397-2014</t>
  </si>
  <si>
    <t>SERRANO, ENRIQUE/0000-0001-9760-3876; Lopez-Martinez, Jeronimo/0000-0002-1750-8287; Schmid, Thomas/0000-0002-2849-4730; Lines, Clara/0000-0003-3437-5145</t>
  </si>
  <si>
    <t>Spanish Antarctic Program; Antarctic programs from Brazil; Antarctic programs from Uruguay; Antarctic programs from Korea</t>
  </si>
  <si>
    <t>This work has been supported by several projects under the Spanish Antarctic Program. The authors thank the Spanish logistic personnel and also the support provided by the Antarctic programs from Brazil, Uruguay and Korea. Further thanks go to the colleagues and technical personnel that participated in the field campaigns. Many thanks also for the helpful comments by two referees and the editors that have contributed to improve this paper.</t>
  </si>
  <si>
    <t>10.1016/j.geomorph.2011.12.018</t>
  </si>
  <si>
    <t>WOS:000304334900008</t>
  </si>
  <si>
    <t>Schneider, DP; Okumura, Y; Deser, C</t>
  </si>
  <si>
    <t>Schneider, David P.; Okumura, Yuko; Deser, Clara</t>
  </si>
  <si>
    <t>Observed Antarctic Interannual Climate Variability and Tropical Linkages</t>
  </si>
  <si>
    <t>SOUTHERN-HEMISPHERE CIRCULATION; ANNULAR MODE; SURFACE-TEMPERATURE; ATMOSPHERIC CIRCULATION; NORTHERN-HEMISPHERE; WEST ANTARCTICA; AMERICAN MODES; ICE CORES; SEA-ICE; OSCILLATION</t>
  </si>
  <si>
    <t>This study reviews the mechanisms associated with Antarctic-tropical climate linkages and presents new analyses of the seasonality and spatial patterns of tropical climate signals in the Antarctic for the late 1950s to the present. Tropical climate signals are primarily communicated to the Antarctic via the Pacific-South America (PSA) pattern and the southern annular mode (SAM). The impacts of these circulation patterns and their tropical linkages are evident in regressions of seasonally stratified Antarctic station temperature data and annually resolved ice core records on global fields of sea surface temperature, sea level pressure, and precipitation. Temperature and ice core anomalies in the Antarctic Peninsula region and adjoining areas of West Antarctica are significantly impacted by the PSA, interpreted as a Rossby wave train driven by anomalous tropical deep convection during ENSO events. This pattern is most evident in the austral spring. consistent with recent studies, suggesting that atmospheric conditions for Rossby wave propagation are most favorable during this season. During austral summer at the peak of the ENSO cycle, temperature anomalies at East Antarctic coastal stations exhibit significant correlations with tropical Pacific anomalies. This linkage reflects the influence of anomalous tropical heating on the position and strength of the subtropical jets and is consistent with changes in eddy momentum fluxes that alter the mean meridional circulation associated with the SAM. Of the ice cores that exhibit tropical linkages, most tend to be associated with the PSA tele-connection. The implications of the study's findings for understanding Antarctic climate variability and climate change from seasonal to decadal time scales are also discussed.</t>
  </si>
  <si>
    <t>[Schneider, David P.; Okumura, Yuko; Deser, Clara] Natl Ctr Atmospher Res, Climate &amp; Global Dynam Div, Earth Syst Lab, Boulder, CO 80307 USA</t>
  </si>
  <si>
    <t>National Center Atmospheric Research (NCAR) - USA</t>
  </si>
  <si>
    <t>Schneider, DP (corresponding author), Natl Ctr Atmospher Res, Climate &amp; Global Dynam Div, Earth Syst Lab, Box 3000, Boulder, CO 80307 USA.</t>
  </si>
  <si>
    <t>dschneid@ucar.edu</t>
  </si>
  <si>
    <t>Okumura, Yuko M/A-9742-2012; Schneider, David/E-2726-2010</t>
  </si>
  <si>
    <t>Schneider, David/0000-0001-5308-1834; Okumura, Yuko/0000-0002-1874-3465</t>
  </si>
  <si>
    <t>National Science Foundation, Office of Polar Programs [0838871]; Office of Polar Programs (OPP); Directorate For Geosciences [0838871] Funding Source: National Science Foundation</t>
  </si>
  <si>
    <t>D. P. Schneider and Y. Okumura were supported the National Science Foundation, Office of Polar Programs (Grant 0838871). We thank three anonymous reviewers for their constructive comments, which led to numerous improvements to the paper.</t>
  </si>
  <si>
    <t>10.1175/JCLI-D-11-00273.1</t>
  </si>
  <si>
    <t>969GL</t>
  </si>
  <si>
    <t>WOS:000306043600005</t>
  </si>
  <si>
    <t>Franzke, C</t>
  </si>
  <si>
    <t>Franzke, Christian</t>
  </si>
  <si>
    <t>Nonlinear Trends, Long-Range Dependence, and Climate Noise Properties of Surface Temperature</t>
  </si>
  <si>
    <t>EMPIRICAL MODE DECOMPOSITION; TIME-SERIES; VARIABILITY; MEMORY; PERSISTENCE; LAW</t>
  </si>
  <si>
    <t>This study investigates the significance of trends of four temperature time series-Central England Temperature (CET), Stockholm, Faraday-Vernadsky, and Alert. First the robustness and accuracy of various trend detection methods are examined: ordinary least squares, robust and generalized linear model regression, Ensemble Empirical Mode Decomposition (EEMD), and wavelets. It is found in tests with surrogate data that these trend detection methods are robust for nonlinear trends, superposed autocorrelated fluctuations, and non-Gaussian fluctuations. An analysis of the four temperature time series reveals evidence of long-range dependence (LRD) and nonlinear warming trends. The significance of these trends is tested against climate noise. Three different methods are used to generate climate noise: (i) a short-range-dependent autoregressive process of first order [AR(1)], (ii) an LRD model, and (iii) phase scrambling. It is found that the ability to distinguish the observed warming trend from stochastic trends depends on the model representing the background climate variability. Strong evidence is found of a significant warming trend at Faraday-Vernadsky that cannot be explained by any of the three null models. The authors find moderate evidence of warming trends for the Stockholm and CET time series that are significant against AR(1) and phase scrambling but not the LRD model. This suggests that the degree of significance of climate trends depends on the null model used to represent intrinsic climate variability. This study highlights that in statistical trend tests, more than just one simple null model of intrinsic climate variability should be used. This allows one to better gauge the degree of confidence to have in the significance of trends.</t>
  </si>
  <si>
    <t>British Antarctic Survey, Cambridge CB3 0ET, England</t>
  </si>
  <si>
    <t>Franzke, C (corresponding author), British Antarctic Survey, Madingley Rd, Cambridge CB3 0ET, England.</t>
  </si>
  <si>
    <t>chan1@bas.ac.uk</t>
  </si>
  <si>
    <t>Franzke, Christian/A-6191-2012</t>
  </si>
  <si>
    <t>Franzke, Christian/0000-0003-4111-1228; Franzke, Christian/0000-0002-8084-3256</t>
  </si>
  <si>
    <t>Natural Environment Research Council; NERC [bas0100026] Funding Source: UKRI; Natural Environment Research Council [bas0100026] Funding Source: researchfish</t>
  </si>
  <si>
    <t>I thank Mervyn Freeman for many stimulating discussions and three anonymous reviewers for their valuable comments, which improved an earlier version of this manuscript. This study is part of the British Antarctic Survey Polar Science for Planet Earth Programme. It was funded by the Natural Environment Research Council. I thank the Met Office and the NCAS British Atmospheric Data Centre for providing the CET data, Environment Canada for providing the Alert data, and SMHI for the Stockholm data.</t>
  </si>
  <si>
    <t>10.1175/JCLI-D-11-00293.1</t>
  </si>
  <si>
    <t>WOS:000306043600012</t>
  </si>
  <si>
    <t>Miettinen, A; Divine, D; Koç, N; Godtliebsen, F; Hall, IR</t>
  </si>
  <si>
    <t>Miettinen, Arto; Divine, Dmitry; Koc, Nalan; Godtliebsen, Fred; Hall, Ian R.</t>
  </si>
  <si>
    <t>Multicentennial Variability of the Sea Surface Temperature Gradient across the Subpolar North Atlantic over the Last 2.8 kyr</t>
  </si>
  <si>
    <t>MERIDIONAL OVERTURNING CIRCULATION; THERMOHALINE CIRCULATION; CLIMATE VARIABILITY; NORDIC SEAS; HIGH-RESOLUTION; PALAEOCEANOGRAPHIC CHANGES; MULTIDECADAL VARIABILITY; NORWEGIAN SEA; HOLOCENE; ICE</t>
  </si>
  <si>
    <t>A 2800-yr-long August sea surface temperature (aSST) record based on fossil diatom assemblages is generated from a marine sediment core from the northern subpolar North Atlantic. The record is compared with the aSST record from the Norwegian Sea to explore the variability of the aSST gradient between these areas during the late Holocene. The aSST records demonstrate the opposite climate tendencies toward a persistent warming in the core site in the subpolar North Atlantic and cooling in the Norwegian Sea. At the multicentennial scale of aSST variability of 600-900 yr, the records are nearly in antiphase with warmer (colder) periods in the subpolar North Atlantic corresponding to the colder (warmer) periods in the Norwegian Sea. At the shorter time scale of 200-450 yr, the records display a phase-locked behavior with a tendency for the positive aSST anomalies in the Norwegian Sea to lead, by similar to 30 yr, the negative aSST anomalies in the subpolar North Atlantic. This apparent aSST seesaw might have an effect on two major anomalies of the European climate of the past Millennium: Medieval Warm Period (MWP) and the Little Ice Age (LIA). During the MWP warming of the sea surface in the Norwegian Sea occurred in parallel with cooling in the northern subpolar North Atlantic, whereas the opposite pattern emerged during the LIA. The results suggest that the observed aSST seesaw between the subpolar North Atlantic and the Norwegian Sea could be a surface expression of the variability of the eastern and western branches of the Atlantic meridional overturning circulation (AMOC) with a possible amplification through atmospheric feedback.</t>
  </si>
  <si>
    <t>[Miettinen, Arto] Norwegian Polar Res Inst, Fram Ctr, NO-9296 Tromso, Norway; [Divine, Dmitry; Godtliebsen, Fred] Univ Tromso, Dept Math &amp; Stat, Tromso, Norway; [Koc, Nalan] Univ Tromso, Dept Geol, Tromso, Norway; [Koc, Nalan] Univ Tromso, Norwegian Polar Inst, Tromso, Norway; [Hall, Ian R.] Cardiff Univ, Sch Earth &amp; Ocean Sci, Cardiff, S Glam, Wales</t>
  </si>
  <si>
    <t>Norwegian Polar Institute; UiT The Arctic University of Tromso; UiT The Arctic University of Tromso; Norwegian Polar Institute; UiT The Arctic University of Tromso; Cardiff University</t>
  </si>
  <si>
    <t>Miettinen, A (corresponding author), Norwegian Polar Res Inst, Fram Ctr, NO-9296 Tromso, Norway.</t>
  </si>
  <si>
    <t>arto.miettinen@helsinki.fi</t>
  </si>
  <si>
    <t>Miettinen, Arto/AAG-2835-2019; Miettinen, Arto/E-2458-2013; Hall, Ian/C-2755-2009</t>
  </si>
  <si>
    <t>Divine, Dmitry/0000-0003-0548-6698; Miettinen, Arto/0000-0003-4537-2556; Hall, Ian/0000-0001-6960-1419</t>
  </si>
  <si>
    <t>Norwegian Research Council; EU</t>
  </si>
  <si>
    <t>Norwegian Research Council(Research Council of Norway); EU(European Union (EU))</t>
  </si>
  <si>
    <t>We thank three anonymous reviewers for their constructive comments and suggestions. We also thank Dorthe Klitgaard-Kristensen for helpful comments. This work was financed by the Norwegian Research Council, through the NARE project Holocene Antarctic climate variability from ice and marine sediment cores: insights to ocean-atmosphere interaction and the EU-funded European Project for Ice Coring in Antarctica (EPICA).</t>
  </si>
  <si>
    <t>10.1175/JCLI-D-11-00581.1</t>
  </si>
  <si>
    <t>WOS:000306043600014</t>
  </si>
  <si>
    <t>Correia, A; Vieira, G; Ramos, M</t>
  </si>
  <si>
    <t>Correia, A.; Vieira, G.; Ramos, M.</t>
  </si>
  <si>
    <t>Thermal conductivity and thermal diffusivity of cores from a 26 meter deep borehole drilled in Livingston Island, Maritime Antarctic</t>
  </si>
  <si>
    <t>Thermal conductivity; Thermal diffusivity; Livingston Island; Antarctic Peninsula</t>
  </si>
  <si>
    <t>During the month of January of 2008 a borehole (Permamodel-Gulbenkian 1 - PG1) 26 m deep was drilled on the top of Mount Reina Sofia (275 m a.s.l.) near the Spanish Antarctic Station of Livingston Island, South Shetland Islands. Cores from 1.5 m to about 26 m deep were collected for measuring several physical properties. The objective of the present work is to report the values of the thermal conductivity and the thermal diffusivity that were measured in the cores from the borehole and the heat production that was estimated for the geological formations intercepted by it. Seven cores were selected to measure the thermal conductivity and the thermal diffusivity. The measured values for the thermal conductivity vary from 2.6 W/mK to 3.3 W/mK while the measured values for the thermal diffusivity vary from 1.1 x 10(-6) m(2)/s to 1.6 x 10(-6) m(2)/s. Both thermal conductivity and thermal diffusivity, on average, show a slight increase with depth. Average heat production was also estimated for two portions of the borehole: one from 2 to 12 m and the other from 12 to 25 m. A gamma-ray spectrometer was used to estimate the concentrations of uranium, thorium, and potassium of the cores, from which the heat production per unit volume was calculated. The estimated heat production for the first half of the borehole is 2218 mu W/m(3) while for the second half it is 2.173 mu W/m(3); these heat production values are compatible with acidic rock types. Porosity and density were also estimated for the same cores. (C) 2012 Elsevier B.V. All rights reserved.</t>
  </si>
  <si>
    <t>[Correia, A.] Univ Evora, Ctr Geofis Evora, Evora, Portugal; [Vieira, G.] Univ Lisbon, Ctr Estudos Geog, P-1699 Lisbon, Portugal; [Ramos, M.] Univ Alcala, Madrid 28871, Spain</t>
  </si>
  <si>
    <t>University of Evora; Universidade de Lisboa; Universidad de Alcala</t>
  </si>
  <si>
    <t>Correia, A (corresponding author), Univ Evora, Ctr Geofis Evora, Evora, Portugal.</t>
  </si>
  <si>
    <t>correia@uevora.pt</t>
  </si>
  <si>
    <t>Ramos, Miguel/K-2230-2014; Vieira, Goncalo/G-5958-2010; Correia, Antonio/B-2584-2014</t>
  </si>
  <si>
    <t>Ramos, Miguel/0000-0003-3648-6818; Vieira, Goncalo/0000-0001-7611-3464; Correia, Antonio/0000-0001-7317-2709</t>
  </si>
  <si>
    <t>Fundacao para a Ciencia e Tecnologia (FCT); Fundacao Calouste Gulbenkian</t>
  </si>
  <si>
    <t>Fundacao para a Ciencia e Tecnologia (FCT)(Fundacao para a Ciencia e a Tecnologia (FCT)); Fundacao Calouste Gulbenkian</t>
  </si>
  <si>
    <t>The authors thank the Fundacao para a Ciencia e Tecnologia (FCT) for funding the project PERMANTAR and Fundacao Calouste Gulbenkian for funding the drilling of the Permamodel-Gulbenkian 1 (PG1) borehole. The M.Sc. student Paulo Amaral measured the density and the porosity of the cores. Thermal conductivities, thermal diffusivities, and heat productions of the cores were measured in the Geophysical Institute of Prague by Dr. Jan Safanda. The authors want to thank Vladimir Cermak, Enrique Serrano, and the guest editor for their useful and constructive comments and suggestions.</t>
  </si>
  <si>
    <t>10.1016/j.geomorph.2011.12.012</t>
  </si>
  <si>
    <t>WOS:000304334900002</t>
  </si>
  <si>
    <t>de Souza, JJLL; Schaefer, CEGR; Abrahao, WAP; de Mello, JWV; Simas, FNB; da Silva, J; Francelino, MR</t>
  </si>
  <si>
    <t>de Souza, Jose Joao L. L.; Schaefer, Carlos Ernesto G. R.; Abrahao, Walter Antonio P.; de Mello, Jaime Wilson V.; Simas, Felipe N. B.; da Silva, Juscimar; Francelino, Marcio R.</t>
  </si>
  <si>
    <t>Hydrogeochemistry of sulfate-affected landscapes in Keller Peninsula, Maritime Antarctica</t>
  </si>
  <si>
    <t>Acid rock drainage; Hydrogeochemistry; Snowmelt channels; Pyrite; Weathering</t>
  </si>
  <si>
    <t>WATER; GEOCHEMISTRY; OXIDATION; ISLAND</t>
  </si>
  <si>
    <t>Keller Peninsula, located in King George Island, has a typical Maritime Antarctica climatic regime, with higher temperatures and rainfall than other areas in Continental Antarctica. The main outcropping rocks are pyritized andesites, volcaniclastics and basalts. Recent pedological investigation indicated that the presence of sulfides in Keller Peninsula accelerates the weathering process. The aim of this work was the determination of the geochemical background in water channels following geomorphological gradients in Keller Peninsula, Maritime Antarctica. We delimited and mapped all catchments in Keller Peninsula using GIS techniques and field observations. Water samples were analyzed for twenty-nine elements by ICP-OES and IEC, after the proper treatments. Eight catchments were identified as sulfide-affected, although water pH was nearly neutral. The ionic concentration in solution was high, both in non-affected and sulfide-affected catchments, with a trend of greater values in the latter, and changing downslope. Concentration values are above the range of other hydrogeochemical studies from elsewhere in Antarctica. The values of molar ratio HCO3-:(Ca + Mg)(2+) and Na+:Cl- indicated the absence of carbonate-bearing rocks. Local precipitation of evaporites, as gypsum and epsomite was confirmed by the Ca2+:SO42- and Mg2+:SO42- molar ratios. The high ionic concentration in sulfide-affected areas illustrates the role of sulfate soil formation in this part of Antarctica. (C) 2012 Elsevier B.V. All rights reserved.</t>
  </si>
  <si>
    <t>[de Souza, Jose Joao L. L.; Schaefer, Carlos Ernesto G. R.; Abrahao, Walter Antonio P.; de Mello, Jaime Wilson V.; Simas, Felipe N. B.] Univ Fed Vicosa, Dept Solos, BR-36570000 Vicosa, MG, Brazil; [da Silva, Juscimar] EMBRAPA Hortal, BR-70359970 Brasilia, DF, Brazil; [Francelino, Marcio R.] Univ Fed Rural Rio de Janeiro, Dept Silvicultura, Seropedica, RJ, Brazil</t>
  </si>
  <si>
    <t>Universidade Federal de Vicosa; Empresa Brasileira de Pesquisa Agropecuaria (EMBRAPA); Universidade Federal Rural do Rio de Janeiro (UFRRJ)</t>
  </si>
  <si>
    <t>Schaefer, CEGR (corresponding author), Univ Fed Vicosa, Dept Solos, AV Prof Peter Henry Rolls S-N, BR-36570000 Vicosa, MG, Brazil.</t>
  </si>
  <si>
    <t>jjlelis@gmail.com; carlos.schaefer@ufv.br; wabrahao@ufv.br; jwmello@ufv.br; fsimas@yahoo.com.br; juscimar@cnph.embrapa.br; marciorocha@ufrrj.br</t>
  </si>
  <si>
    <t>Francelino, Marcio Rocha/AAS-4224-2020; Souza, José João Lelis Leal de/G-5960-2018; de Souza, José João Lelis Leal/AAL-7291-2021; Criosfera, Inct/J-8639-2013; Schaefer, Carlos Ernesto/AAY-4977-2020</t>
  </si>
  <si>
    <t>Francelino, Marcio Rocha/0000-0001-8837-1372; Souza, José João Lelis Leal de/0000-0003-4670-6626; de Souza, José João Lelis Leal/0000-0003-4670-6626; Ernesto Goncalves Reynaud Schaefer, Carlos/0000-0001-7060-1598; Ernesto Goncalves Reynaud Schaefer, Carlos/0000-0001-5735-3227</t>
  </si>
  <si>
    <t>Brazilian National Research and Technology Council (CNPq); CNPq; FAPEMIG</t>
  </si>
  <si>
    <t>Brazilian National Research and Technology Council (CNPq)(Conselho Nacional de Desenvolvimento Cientifico e Tecnologico (CNPQ)); CNPq(Conselho Nacional de Desenvolvimento Cientifico e Tecnologico (CNPQ)); FAPEMIG(Fundacao de Amparo a Pesquisa do Estado de Minas Gerais (FAPEMIG))</t>
  </si>
  <si>
    <t>We thank the Brazilian National Research and Technology Council (CNPq) for financing this research, the Brazilian Antarctic Program and the Comandante Ferraz Antarctic Brazilian Station for the logistics during the 2009 summer. This work is a contribution of TERRAN-TAR Centre, INCT-Cryosphere (INCT Criosfera), jointly financed by CNPq and FAPEMIG.</t>
  </si>
  <si>
    <t>10.1016/j.geomorph.2011.12.017</t>
  </si>
  <si>
    <t>WOS:000304334900007</t>
  </si>
  <si>
    <t>Melo, R; Vieira, G; Caselli, A; Ramos, M</t>
  </si>
  <si>
    <t>Melo, Raquel; Vieira, Goncalo; Caselli, Alberto; Ramos, Miguel</t>
  </si>
  <si>
    <t>Susceptibility modelling of hummocky terrain distribution using the information value method (Deception Island, Antarctic Peninsula)</t>
  </si>
  <si>
    <t>Hummocky terrains; Information value method; Spatial modelling; Deception Island; Antarctic Peninsula</t>
  </si>
  <si>
    <t>MOUNTAIN PERMAFROST DISTRIBUTION; CLIMATE-CHANGE; PARAMETERS; EXAMPLES</t>
  </si>
  <si>
    <t>The hummocky terrains of Deception Island (Antarctic Peninsula) are continuous surfaces with decimetre to metre wide and decimetre depth bumps located mainly in the lower section of sloping lapilli and scoria terrains. A detailed study site between Cerro Caliente and Crater Lake was selected for the detailed mapping of hummocky terrains and for modelling their spatial distribution according to controlling geographical factors. A model of the susceptibility of occurrence of the hummocky terrains was created using the information value method, together with five independent variables: elevation, slope, global summer radiation, total curvature and lithology. Success and prediction rate curves were used for model validation and the Area Under the Curve index was used to quantify the levels of performance and prediction. The results were of high quality with a success rate of 88% and a prediction rate of 78%. The classes of the independent variables with more relevance in the occurrence of hummocky terrains were: elevation between 20-30 m and 60-70 m; concave or rectilinear/flat areas; slopes between 8 and 12((sic)); tuff cones and maar deposits and global summer radiation between 1.8 and 2.0 TJm(-2). The good quality of the modelling results supports its use for assessing the future potential for formation of new hummocky terrain areas, or even to estimate the spatial distribution of buried ice within the permafrost environment of Deception Island. (C) 2011 Elsevier B.V. All rights reserved.</t>
  </si>
  <si>
    <t>[Melo, Raquel; Vieira, Goncalo] Univ Lisbon, Inst Geog &amp; Terr Planning, P-1600214 Lisbon, Portugal; [Caselli, Alberto] Univ Buenos Aires, Dept Geol Sci, Buenos Aires, DF, Argentina; [Ramos, Miguel] Univ Alcala de Henares, Dept Phys, E-28871 Alcala De Henares, Spain</t>
  </si>
  <si>
    <t>Universidade de Lisboa; University of Buenos Aires; Universidad de Alcala</t>
  </si>
  <si>
    <t>Melo, R (corresponding author), Univ Lisbon, Inst Geog &amp; Terr Planning, Alameda Univ, P-1600214 Lisbon, Portugal.</t>
  </si>
  <si>
    <t>raquel.melo@campus.ul.pt</t>
  </si>
  <si>
    <t>Alcântara de Melo, Raquel/O-1282-2018; Ramos, Miguel/K-2230-2014; Vieira, Goncalo/G-5958-2010</t>
  </si>
  <si>
    <t>Alcântara de Melo, Raquel/0000-0002-8111-8777; Ramos, Miguel/0000-0003-3648-6818; Vieira, Goncalo/0000-0001-7611-3464</t>
  </si>
  <si>
    <t>Portuguese Polar Programme; Fundacao para a Ciencia e a Tecnologia [SFRH/BI/33244/2007]; projects PERMAMODEL - IPY Permafrost and Active Layer Monitoring and Modelling in Livingston and Deception Islands, Antarctic; Fundação para a Ciência e a Tecnologia [SFRH/BI/33244/2007] Funding Source: FCT</t>
  </si>
  <si>
    <t>Portuguese Polar Programme; Fundacao para a Ciencia e a Tecnologia(Fundacao para a Ciencia e a Tecnologia (FCT)); projects PERMAMODEL - IPY Permafrost and Active Layer Monitoring and Modelling in Livingston and Deception Islands, Antarctic; Fundação para a Ciência e a Tecnologia(Fundacao para a Ciencia e a Tecnologia (FCT))</t>
  </si>
  <si>
    <t>This work was developed under a research grant from the Portuguese Polar Programme financed by the Fundacao para a Ciencia e a Tecnologia (SFRH/BI/33244/2007) in the framework of the International Polar Year core projects TSP - Thermal State of Permafrost: an International Network of Permafrost Observatories (IPA) and ANTPAS - Antarctic and sub-Antarctic Permafrost, Soils and Periglacial Environments and supported by the projects PERMAMODEL - IPY Permafrost and Active Layer Monitoring and Modelling in Livingston and Deception Islands, Antarctic. Programa Nacional de Investigaciones Antartidas (Spain), PER-MANTAR - Permafrost and Climate Change in the Maritime Antarctic. (Ref. PTDC/CLI/70020/2006) and by Fundo de Apoio a Comunidade Cientifica (FACC) from the Fundacao para a Ciencia e a Tecnologia. Ephemeris data courtesy of VOLTEDEC-GEODESIA project (Laboratorio de Astronomia, Geodesia y Cartografia, Universidad de Cadiz). QuickBird satellite image courtesy of Eurimage.</t>
  </si>
  <si>
    <t>10.1016/j.geomorph.2011.12.027</t>
  </si>
  <si>
    <t>WOS:000304334900010</t>
  </si>
  <si>
    <t>Vieira, R; Hinata, S; da Rosa, KK; Zilberstein, S; Simoes, JC</t>
  </si>
  <si>
    <t>Vieira, Rosemary; Hinata, Sumire; da Rosa, Katia Kellem; Zilberstein, Sergio; Simoes, Jefferson Cardia</t>
  </si>
  <si>
    <t>Periglacial features in Patriot Hills, Ellsworth Mountains, Antarctica</t>
  </si>
  <si>
    <t>Antarctica; Ellsworth Mountains; Rock glacier; Periglacial features; Glacial geomorphology</t>
  </si>
  <si>
    <t>HORSESHOE VALLEY; ROCK GLACIERS; VICTORIA LAND; MASS-BALANCE; ICE-SHEET; GEOMORPHOLOGY; STRATIGRAPHY; DYNAMICS; HISTORY</t>
  </si>
  <si>
    <t>This work describes periglacial features identified at Patriot Hills, at the southernmost part of Ellsworth Mountains, Antarctica, during the 2008/2009 Brazilian Antarctic Expedition, and discusses their morphogenetic environment. Identified periglacial features were classified into: (a) rock glacier-like landform; (b) slightly creeping debris-mantled slopes; (c) steep debris-mantled slopes; and (d) rock falls. Results obtained from sediment sample analysis suggest activity and passive movement of a rock glacier-like landform, albeit minimal. Wind seems to play an important role in Patriot Hills local geomorphology. Periglacial features such as slightly creeping debris-mantled slope appear to have preferred slope orientation. They are commonly found onto slopes where the katabatic wind flows down. Slopewash and groundwater movement processes may be limited or non-existent since most snow disappears through sublimation (C) 2011 Elsevier B.V. All rights reserved.</t>
  </si>
  <si>
    <t>[Vieira, Rosemary; da Rosa, Katia Kellem; Zilberstein, Sergio; Simoes, Jefferson Cardia] Univ Fed Rio Grande do Sul, Ctr Polar &amp; Climat, BR-91501970 Porto Alegre, RS, Brazil; [Hinata, Sumire] Univ Fed Rio Grande do Sul, Dept Geog, BR-91501970 Porto Alegre, RS, Brazil</t>
  </si>
  <si>
    <t>Universidade Federal do Rio Grande do Sul; Universidade Federal do Rio Grande do Sul</t>
  </si>
  <si>
    <t>rosemaryvieira@uff.id.com.br; sumirehinata@gmail.com; katiakellem@yahoo.com.br; zilber.ez@terra.com.br; jeffersonsimoes@ufrgs.br</t>
  </si>
  <si>
    <t>Simoes, Jefferson Cardia/D-7232-2013; Hinata, Sumirê/HKO-3944-2023; da Rosa, Kátia Kellem/AAO-8367-2020</t>
  </si>
  <si>
    <t>Simoes, Jefferson Cardia/0000-0001-5555-3401; da Rosa, Kátia Kellem/0000-0003-0977-9658; Vieira, Rosemary/0000-0003-0312-2890; hinata, sumire/0000-0002-2670-3308</t>
  </si>
  <si>
    <t>Brazilian National Research Council for Scientific and Technological Development (CNPq); Brazilian Antarctic Program (PROANTAR)</t>
  </si>
  <si>
    <t>Brazilian National Research Council for Scientific and Technological Development (CNPq)(Conselho Nacional de Desenvolvimento Cientifico e Tecnologico (CNPQ)); Brazilian Antarctic Program (PROANTAR)</t>
  </si>
  <si>
    <t>The field campaign was funded by Brazilian National Research Council for Scientific and Technological Development (CNPq) and Brazilian Antarctic Program (PROANTAR). Antarctic Logistics and Expeditions (ALE) provided air transportation, logistic support in the field, and meteorological data. Sediment analysis was completed at Centro de Estudos Costeiros e Oceanicos (Universidade Federal do Rio Grande do Sul-UFRGS). Images from ASTER were offered by Jorge Arigony Neto (FURG) and processed at Centro Polar e Climatico, UFRGS, Brazil. Special thanks to the reviewers and the Guest Editor for the suggestions that improved significantly the original manuscript.</t>
  </si>
  <si>
    <t>10.1016/j.geomorph.2011.12.014</t>
  </si>
  <si>
    <t>WOS:000304334900011</t>
  </si>
  <si>
    <t>Pessi, IS; Elias, SD; Simoes, FL; Simoes, JC; Macedo, AJ</t>
  </si>
  <si>
    <t>Pessi, Igor Stelmach; Elias, Susana de Oliveira; Simoes, Felipe Lorenz; Simoes, Jefferson Cardia; Macedo, Alexandre Jose</t>
  </si>
  <si>
    <t>Functional Diversity of Microbial Communities in Soils in the Vicinity of Wanda Glacier, Antarctic Peninsula</t>
  </si>
  <si>
    <t>MICROBES AND ENVIRONMENTS</t>
  </si>
  <si>
    <t>King George Island; Biolog EcoPlates; community-level physiological profile; extremophiles</t>
  </si>
  <si>
    <t>BACTERIOPLANKTON; TEMPERATURE; ADAPTATION; PROFILES</t>
  </si>
  <si>
    <t>Microbial functional diversity in four soils sampled in the vicinity of Wanda Glacier, Antarctic Peninsula, was determined using Biolog EcoPlates at 5 degrees C and 25 degrees C. Comparisons of the patterns of substrate utilization and the diversity index showed differences in community composition, reflecting the heterogeneous distribution of microorganisms in this environment. Differences in microbial diversity may be related to soil chemical properties. Higher incubation temperature influenced the overall microbial diversity, reducing richness due to the selection of psychrotrophic microorganisms. To our knowledge, this is the first study with microbial communities from Wanda Glacier and contributes to understanding the microbial diversity of Antarctic environments.</t>
  </si>
  <si>
    <t>[Pessi, Igor Stelmach; Elias, Susana de Oliveira; Macedo, Alexandre Jose] Univ Fed Rio Grande do Sul, Ctr Biotecnol, Porto Alegre, RS, Brazil; [Simoes, Felipe Lorenz] Univ Fed Rio Grande do Sul, Inst Biociencias, BR-90049 Porto Alegre, RS, Brazil; [Simoes, Jefferson Cardia] Univ Fed Rio Grande do Sul, Ctr Polar &amp; Climt, Porto Alegre, RS, Brazil; [Macedo, Alexandre Jose] Univ Fed Rio Grande do Sul, Fac Farm, Porto Alegre, RS, Brazil</t>
  </si>
  <si>
    <t>Universidade Federal do Rio Grande do Sul; Universidade Federal do Rio Grande do Sul; Universidade Federal do Rio Grande do Sul; Universidade Federal do Rio Grande do Sul</t>
  </si>
  <si>
    <t>Macedo, AJ (corresponding author), Univ Fed Rio Grande do Sul, Ctr Biotecnol, Av Bento Goncalves 9500, Porto Alegre, RS, Brazil.</t>
  </si>
  <si>
    <t>alexandre.macedo@ufrgs.br</t>
  </si>
  <si>
    <t>Macedo, Alexandre/C-5178-2013; Simões, Felipe L/F-5657-2013; Elias, Susana/R-4961-2019; Simoes, Jefferson Cardia/D-7232-2013; Criosfera, Inct/J-8639-2013</t>
  </si>
  <si>
    <t>Macedo, Alexandre/0000-0002-8951-4029; Simoes, Jefferson Cardia/0000-0001-5555-3401; Pessi, Igor/0000-0001-5926-7496</t>
  </si>
  <si>
    <t>CNPq; CAPES; FAPERGS</t>
  </si>
  <si>
    <t>CNPq(Conselho Nacional de Desenvolvimento Cientifico e Tecnologico (CNPQ)); CAPES(Coordenacao de Aperfeicoamento de Pessoal de Nivel Superior (CAPES)); FAPERGS(Fundacao de Amparo a Ciencia e Tecnologia do Estado do Rio Grande do Sul (FAPERGS))</t>
  </si>
  <si>
    <t>This research was supported by grants Universal/2009 (CNPq), NANOBIOTEC-BRASIL/2008 (CAPES), and FAPERGS.</t>
  </si>
  <si>
    <t>JAPANESE SOC MICROBIAL ECOLOGY, DEPT BIORESOURCE SCIENCE</t>
  </si>
  <si>
    <t>IBARAKI</t>
  </si>
  <si>
    <t>C/O DR. HIROYUKI OHTA, SEC, IBARAKI UNIV COLLEGE OF AGRICULT, AMI-MACHI, IBARAKI, JAPAN</t>
  </si>
  <si>
    <t>1342-6311</t>
  </si>
  <si>
    <t>MICROBES ENVIRON</t>
  </si>
  <si>
    <t>Microbes Environ.</t>
  </si>
  <si>
    <t>JUN 9</t>
  </si>
  <si>
    <t>10.1264/jsme2.ME11311</t>
  </si>
  <si>
    <t>956JY</t>
  </si>
  <si>
    <t>WOS:000305087100013</t>
  </si>
  <si>
    <t>Taboada, S; Doner, S; Blake, JA; Avila, C</t>
  </si>
  <si>
    <t>Taboada, Sergi; Doner, Stacy; Blake, James A.; Avila, Conxita</t>
  </si>
  <si>
    <t>A new species of Cirratulus (Annelida: Polychaeta) described from a shallow-water whale bone in Antarctica</t>
  </si>
  <si>
    <t>Deception Island; Whalers Bay; taxonomy; COI; Cirratulidae</t>
  </si>
  <si>
    <t>NORTHEAST ATLANTIC; FALL; COMMUNITIES; OCEAN</t>
  </si>
  <si>
    <t>A new species of Cirratulus Lamarck, 1818 is described from the shallow Antarctic waters of Deception Island (South Shetland Islands). Cirratulus balaenophilus sp. nov. is the first cirratulid to be described from a fresh whale bone that was experimentally deployed for one year on the Antarctic sea floor. The species is characterized by the lack of spines and eyes, the number of dorsal tentacles arranged in an arc, and its light yellow-orange color in life. The cytochrome c oxidase subunit I (COI) sequence is presented, as well as some remarks about its feeding preferences and ecology. A comparison with congeneric species occurring in Antarctica and adjacent waters is also provided.</t>
  </si>
  <si>
    <t>[Taboada, Sergi; Avila, Conxita] Univ Barcelona, Fac Biol, Dept Biol Anim, E-08028 Barcelona, Spain; [Doner, Stacy; Blake, James A.] AECOM Environm, Marine &amp; Coastal Ctr, Woods Hole, MA 02543 USA</t>
  </si>
  <si>
    <t>University of Barcelona</t>
  </si>
  <si>
    <t>Taboada, S (corresponding author), Univ Barcelona, Fac Biol, Dept Biol Anim, Avda Diagonal 643, E-08028 Barcelona, Spain.</t>
  </si>
  <si>
    <t>staboada@ub.edu; Stacy.Doner@aecom.com; James.Blake@aecom.com; conxita.avila@ub.edu</t>
  </si>
  <si>
    <t>Taboada, Sergi/AAB-9390-2021; Avila, Conxita/B-9466-2008</t>
  </si>
  <si>
    <t>Taboada, Sergi/0000-0003-1669-1152; Avila, Conxita/0000-0002-5489-8376</t>
  </si>
  <si>
    <t>Ministry of Science and Innovation of Spain [CGL2007-65453/ANT]; ACTIQUIMWHALES [CTM2008-03135-E/ANT]; Banco Popular</t>
  </si>
  <si>
    <t>Ministry of Science and Innovation of Spain(Spanish Government); ACTIQUIMWHALES; Banco Popular</t>
  </si>
  <si>
    <t>We are deeply obliged to the Gabriel de Castilla Antarctic Spanish Base crew of the 2008-09 and 2009-10 seasons for their unconditional help during deployment and recovery of the experiment. Special thanks are given to L. Laria (CEPESMA) who kindly provided the fresh whale vertebra. This work would not have been possible without the financial support of the Ministry of Science and Innovation of Spain through the research projects ACTIQUIM (CGL2007-65453/ANT) and ACTIQUIMWHALES (CTM2008-03135-E/ANT), as well as the support of Banco Popular. Thanks are also due to the Unidad de Tecnologia Marina (UTM) who kindly lent the telecommand unit used during the experiment. Many persons helped during the work and its previous planning, and we thank O. Moreno, M. Taboada, E. Bordallo, and J.M. Fernandez, and our colleagues A. Riesgo, L. Nunez, J. Vazquez, B. Figuerola, J. Gil, R. Sarda, T. Dahlgren, and A. Glover. We are more than grateful to our ACTIQUIM project colleagues L. Nunez, B. Figuerola, J. Vazquez, and very especially to F.J. Cristobo. We would also like to thank the members of the Giribet lab (Harvard University), who helped during the genetic work, especially G. Giribet, A. Riesgo, M. Novo, and S. Andrade. A. Brandt, Zoologisches Museum der Universitat Hamburg, is thanked for arranging the loan of the Cirratulus parafiliformis paratypes. Two anonymous reviewers are greatly acknowledged for their comments on the paper. We also thank B. Ebbe and the participants in the SOAP workshop (Southern Ocean Annelid Project: International Workshop on Southern Ocean Polychaete Taxonomy) that was held in Woods Hole, Massachusetts, in March 2010.</t>
  </si>
  <si>
    <t>JUN 8</t>
  </si>
  <si>
    <t>10.11646/zootaxa.3340.1.4</t>
  </si>
  <si>
    <t>957VF</t>
  </si>
  <si>
    <t>WOS:000305192700004</t>
  </si>
  <si>
    <t>Meckler, AN; Clarkson, MO; Cobb, KM; Sodemann, H; Adkins, JF</t>
  </si>
  <si>
    <t>Meckler, A. N.; Clarkson, M. O.; Cobb, K. M.; Sodemann, H.; Adkins, J. F.</t>
  </si>
  <si>
    <t>Interglacial Hydroclimate in the Tropical West Pacific Through the Late Pleistocene</t>
  </si>
  <si>
    <t>WARM POOL; CLIMATE; VARIABILITY; ICE; TEMPERATURES; INSOLATION; MARINE</t>
  </si>
  <si>
    <t>Records of atmospheric carbon dioxide concentration (P-CO2) and Antarctic temperature have revealed an intriguing change in the magnitude of interglacial warmth and P-CO2 at around 430,000 years ago (430 ka), but the global climate repercussions of this change remain elusive. Here, we present a stalagmite-based reconstruction of tropical West Pacific hydroclimate from 570 to 210 ka. The results suggest similar regional precipitation amounts across the four interglacials contained in the record, implying that tropical hydroclimate was insensitive to interglacial differences in P-CO2 and high-latitude temperature. In contrast, during glacial terminations, drying in the tropical West Pacific accompanied cooling events in northern high latitudes. Therefore, the tropical convective heat engine can either stabilize or amplify global climate change, depending on the nature of the climate forcing.</t>
  </si>
  <si>
    <t>[Meckler, A. N.; Adkins, J. F.] CALTECH, Dept Geol &amp; Planetary Sci, Pasadena, CA 91125 USA; [Meckler, A. N.] Swiss Fed Inst Technol, Inst Geol, Zurich, Switzerland; [Clarkson, M. O.] Univ Edinburgh, Sch Geosci, Edinburgh EH9 3JW, Midlothian, Scotland; [Cobb, K. M.] Georgia Inst Technol, Sch Earth &amp; Atmospher Sci, Atlanta, GA 30332 USA; [Sodemann, H.] Swiss Fed Inst Technol, Inst Atmosphere &amp; Climate, Zurich, Switzerland</t>
  </si>
  <si>
    <t>California Institute of Technology; Swiss Federal Institutes of Technology Domain; ETH Zurich; University of Edinburgh; University System of Georgia; Georgia Institute of Technology; Swiss Federal Institutes of Technology Domain; ETH Zurich</t>
  </si>
  <si>
    <t>Meckler, AN (corresponding author), CALTECH, Dept Geol &amp; Planetary Sci, Pasadena, CA 91125 USA.</t>
  </si>
  <si>
    <t>nele.meckler@erdw.ethz.ch</t>
  </si>
  <si>
    <t>Sodemann, Harald/ABG-5304-2021; Adkins, Jess/GYI-8778-2022; Meckler, Anna Nele/AAC-2490-2020; Stuart, Andrew/C-4445-2016</t>
  </si>
  <si>
    <t>Sodemann, Harald/0000-0002-8167-0860; Meckler, Anna Nele/0000-0002-7225-8276; Clarkson, Matthew/0000-0002-2527-4556; Cobb, Kim/0000-0002-2125-9164</t>
  </si>
  <si>
    <t>Swiss National Science Foundation (SNF); German Research Foundation (DFG); US NSF [ATM-0318445, ATM-0903099, ATM-0645291]; Edinburgh University; Directorate For Geosciences; Div Atmospheric &amp; Geospace Sciences [0903099] Funding Source: National Science Foundation</t>
  </si>
  <si>
    <t>Swiss National Science Foundation (SNF)(Swiss National Science Foundation (SNSF)); German Research Foundation (DFG)(German Research Foundation (DFG)); US NSF(National Science Foundation (NSF)); Edinburgh University; Directorate For Geosciences; Div Atmospheric &amp; Geospace Sciences(National Science Foundation (NSF)NSF - Directorate for Geosciences (GEO))</t>
  </si>
  <si>
    <t>We thank B. Clark, S. Lejau, and J. Malang of Mulu National Park, as well as J. Partin for assistance in the field. A. Tuen (Universiti Malaysia Sarawak) greatly facilitated fieldwork in Sarawak. N. Sharma and K. Stewart are acknowledged for assistance with stable isotope measurements. D. Lund, A. Subhas, and D. Fernandez are thanked for assistance and advice with U-Th dating. J. Eiler provided access to his facilities at the California Institute of Technology. Support for this work was provided by the Swiss National Science Foundation (SNF) and the German Research Foundation (DFG) through postdoctoral fellowships to A.N.M.; by the US NSF through grants ATM-0318445 and ATM-0903099 to J.F.A, as well as ATM-0645291 to K.M.C.; and by an Edinburgh University Principal's Career Development Ph.D. Scholarship to M.O.C.</t>
  </si>
  <si>
    <t>10.1126/science.1218340</t>
  </si>
  <si>
    <t>953WV</t>
  </si>
  <si>
    <t>WOS:000304905300045</t>
  </si>
  <si>
    <t>Kavanagh, AJ; Honary, F; Donovan, EF; Ulich, T; Denton, MH</t>
  </si>
  <si>
    <t>Kavanagh, A. J.; Honary, F.; Donovan, E. F.; Ulich, T.; Denton, M. H.</t>
  </si>
  <si>
    <t>Key features of &gt;30 keV electron precipitation during high speed solar wind streams: A superposed epoch analysis</t>
  </si>
  <si>
    <t>COROTATING INTERACTION REGIONS; AURORAL ABSORPTION; STORMS DRIVEN; ACCELERATION; DEPENDENCE; RIOMETER; EVENTS; PLASMA</t>
  </si>
  <si>
    <t>We present an epoch analysis of energetic (&gt;30 keV) electron precipitation during 173 high speed solar wind streams (HSS) using riometer observations of cosmic noise absorption (CNA) as a proxy for the precipitation. The arrival of the co-rotating interaction region (CIR) prior to stream onset, elevates the precipitation which then peaks some 12 h after stream arrival. Precipitation continues for several days following the HSS arrival. The MLT distribution of CNA is generally consistent with the statistical pattern explained via the substorm process, though the statistical deep minimum of CNA/precipitation does change during the HSS suggesting increased precipitation in the 15-20 MLT sector. The level of precipitation is strongly controlled by the average state of the IMF B-Z component on the day prior to the arrival of the stream interface. An average negative IMF B-Z will produce higher CNA across all L-shells and MLT, up to 100% higher than an average positive IMF B-Z.</t>
  </si>
  <si>
    <t>[Kavanagh, A. J.] British Antarctic Survey, Cambridge CB3 0ET, England; [Kavanagh, A. J.; Honary, F.; Denton, M. H.] Univ Lancaster, Dept Phys, Lancaster, England; [Donovan, E. F.] Univ Calgary, Dept Phys &amp; Astron, Calgary, AB T2N 1N4, Canada; [Ulich, T.] Sodankyla Geophys Observ, Sodankyla, Finland</t>
  </si>
  <si>
    <t>UK Research &amp; Innovation (UKRI); Natural Environment Research Council (NERC); NERC British Antarctic Survey; Lancaster University; University of Calgary</t>
  </si>
  <si>
    <t>Kavanagh, AJ (corresponding author), British Antarctic Survey, Madingley Rd, Cambridge CB3 0ET, England.</t>
  </si>
  <si>
    <t>andkav@bas.ac.uk</t>
  </si>
  <si>
    <t>Ulich, Thomas/G-3727-2018</t>
  </si>
  <si>
    <t>Ulich, Thomas/0000-0001-8217-022X; Honary, Farideh/0000-0002-7998-5628; Denton, Michael/0000-0002-1748-3710; Donovan, Eric/0000-0002-8557-4155</t>
  </si>
  <si>
    <t>European Community, LAPBIAT [RITA-CT-2006-025969]; Science and Technology Facilities Council [ST/G002401/1]; Science and Technology Facilities Council [ST/G002401/1, ST/F003005/1] Funding Source: researchfish; STFC [ST/F003005/1, ST/G002401/1] Funding Source: UKRI</t>
  </si>
  <si>
    <t>European Community, LAPBIAT; Science and Technology Facilities Council(UK Research &amp; Innovation (UKRI)Science &amp; Technology Facilities Council (STFC)); Science and Technology Facilities Council(UK Research &amp; Innovation (UKRI)Science &amp; Technology Facilities Council (STFC)); STFC(UK Research &amp; Innovation (UKRI)Science &amp; Technology Facilities Council (STFC))</t>
  </si>
  <si>
    <t>We acknowledge the support of the European Community - Research Infrastructure Action under the FP6 Structuring the European Research Area Programme, LAPBIAT (RITA-CT-2006-025969). A.J.K. was supported by the Science and Technology Facilities Council (grant ST/G002401/1). The Imaging Riometer for Ionospheric Studies (IRIS) is operated by the Space Plasma Environment and Radio Science (SPEARS) group, Department of Physics, Lancaster University (UK), in collaboration with the Sodankyla Geophysical Observatory. Operational support for NORSTAR (formally the CANOPUS riometers array) was provided by the Canadian Space Agency. We acknowledge the NORSTAR team for providing the riometers data used in this study and Don Wallis, who was principally responsible for the scientific operation of the CANOPUS riometer array. Thanks to Michelle Thomsen, Mike Henderson, and the LANL MPA team for the geosynchronous satellite data.</t>
  </si>
  <si>
    <t>JUN 7</t>
  </si>
  <si>
    <t>A00L09</t>
  </si>
  <si>
    <t>10.1029/2011JA017320</t>
  </si>
  <si>
    <t>957GG</t>
  </si>
  <si>
    <t>WOS:000305147300001</t>
  </si>
  <si>
    <t>Noel, V; Pitts, M</t>
  </si>
  <si>
    <t>Noel, V.; Pitts, M.</t>
  </si>
  <si>
    <t>Gravity wave events from mesoscale simulations, compared to polar stratospheric clouds observed from spaceborne lidar over the Antarctic Peninsula</t>
  </si>
  <si>
    <t>WATER-VAPOR; ICE; CALIPSO; PRESSURE; LIFETIME; IMPACT</t>
  </si>
  <si>
    <t>We compare Gravity Waves (GW) and Polar Stratospheric Clouds (PSC) above the Antarctic Peninsula for winters (June to September) between 2006 and 2010. GW activity is inferred from stratospheric temperature and vertical winds from the Weather and Research Forecast mesoscale model (WRF), and documented as a function of time and geography for the studied period. Significant GW activity affects 36% of days and follows the Peninsula orography closely. Volumes of PSC, composed of ice and Nitric Acid Trihydrate (NAT), are retrieved using observations from the spaceborne lidar CALIOP (Cloud-Aerosol Lidar with Orthogonal Polarization). They are documented against GW activity as a function of time and longitude. Sixty-three percent of ice PSC are observed during GW events, when the average volume of PSC per profile doubles. Maximum ice PSC volumes are seen directly over the Peninsula (65 degrees W), while maximum NAT PSC volumes appear downstream further East (similar to 35 degrees W). Effects of GW events on NAT PSC are felt as far East as 40 degrees E. Our results support the importance of gravity waves as a major mechanism driving the evolution of ice PSC in the area, but the effects on NAT PSC are harder to detect. After a GW event ends, volumes of ice PSC get back to their usual levels in less than 24 h, while this process takes more than 48 h for NAT PSC. Daily profiles of H2O and HNO3 mixing ratios, retrieved from MLS observations, are used to derive ice and NAT frost points with altitude and time. Combining these frost points with modeled stratospheric temperatures, the volumes of air able to support ice and NAT crystals are quantified and compared with PSC volumes. Correlation is high for ice crystals, but not for NAT, consistent with their much slower nucleation mechanisms. Observations of ice PSC over the domain are followed by a strong increase (+50-100%) in NAT PSC formation efficiency 2 to 6 h later. This increase is followed by a steep drop (6-10 h later) and a longer period of slow decline (10-24 h later), at the end of which the NAT PSC formation efficiency is less than half its initial value. The fact that these effects tend to cancel each other out, coupled to the important lag in NAT PSC reaction to GW activity, suggest why it is especially difficult to quantify how GW activity impacts NAT PSC cover.</t>
  </si>
  <si>
    <t>[Noel, V.] Ecole Polytech, Meteorol Dynam Lab, CNRS, IPSL, FR-91128 Palaiseau, France; [Pitts, M.] NASA, Langley Res Ctr, Hampton, VA 23665 USA</t>
  </si>
  <si>
    <t>Centre National de la Recherche Scientifique (CNRS); Institut Polytechnique de Paris; Sorbonne Universite; Universite Paris Cite; National Aeronautics &amp; Space Administration (NASA); NASA Langley Research Center</t>
  </si>
  <si>
    <t>Noel, V (corresponding author), Ecole Polytech, Meteorol Dynam Lab, CNRS, IPSL, FR-91128 Palaiseau, France.</t>
  </si>
  <si>
    <t>vincent.noel@lmd.polytechnique.fr</t>
  </si>
  <si>
    <t>Noel, Vincent/C-3702-2013</t>
  </si>
  <si>
    <t>Noel, Vincent/0000-0001-9494-0340</t>
  </si>
  <si>
    <t>JUN 6</t>
  </si>
  <si>
    <t>D11207</t>
  </si>
  <si>
    <t>10.1029/2011JD017318</t>
  </si>
  <si>
    <t>957GH</t>
  </si>
  <si>
    <t>WOS:000305147400002</t>
  </si>
  <si>
    <t>Lorbacher, K; Marsland, SJ; Church, JA; Griffies, SM; Stammer, D</t>
  </si>
  <si>
    <t>Lorbacher, K.; Marsland, S. J.; Church, J. A.; Griffies, S. M.; Stammer, D.</t>
  </si>
  <si>
    <t>Rapid barotropic sea level rise from ice sheet melting</t>
  </si>
  <si>
    <t>OCEAN MODEL; FLUX</t>
  </si>
  <si>
    <t>Sea level rise associated with idealized Greenland and Antarctic ice sheet melting events is examined using a global coupled ocean sea-ice model that has a free surface formulation and thus can simulate fast barotropic motions. The perturbation experiments follow the Coordinated Ocean-ice Reference Experiment (CORE) version III. All regions of the global ocean experience a sea level rise within 7-8 days of the initialization of a polar meltwater input of 0.1 Sv (1 Sv equivalent to 10(6) m(3) s(-1)). The fast adjustment contrasts sharply with the slower adjustment associated with the smaller steric sea level evolution that is also connected with melt events. The global mean sea level rises by 9 mm yr(-1) when this forcing is applied either from Greenland or Antarctica. Nevertheless, horizontal inter-basin gradients in sea level remain. For climate adaption in low-lying coastal and island regions, it is critical that the barotropic sea level signal associated with melt events is taken into consideration, as it leads to a fast sea level rise from melting ice sheets for the bulk of the global ocean. A linear relation between sea level rise and global meltwater input is further supported by experiments in which idealized melting occurs only in a region east or west of the Antarctic Peninsula, and when melting rates are varied between 0.01 Sv and 1.0 Sv. The results indicate that in ocean models that do not explicitly represent the barotropic signal, the barotropic component of sea level rise can be added off-line to the simulated steric signal.</t>
  </si>
  <si>
    <t>[Lorbacher, K.; Marsland, S. J.] CSIRO, Bur Meteorol, Ctr Australian Weather &amp; Climate Res, Aspendale, Vic 3195, Australia; [Church, J. A.] CSIRO, Bur Meteorol, Ctr Australian Weather &amp; Climate Res, Hobart, Tas, Australia; [Griffies, S. M.] NOAA, Geophys Fluid Dynam Lab, Princeton, NJ USA; [Stammer, D.] Univ Hamburg, CEN, Hamburg, Germany</t>
  </si>
  <si>
    <t>Commonwealth Scientific &amp; Industrial Research Organisation (CSIRO); Bureau of Meteorology - Australia; Bureau of Meteorology - Australia; Commonwealth Scientific &amp; Industrial Research Organisation (CSIRO); National Oceanic Atmospheric Admin (NOAA) - USA; University of Hamburg</t>
  </si>
  <si>
    <t>Marsland, SJ (corresponding author), CSIRO, Bur Meteorol, Ctr Australian Weather &amp; Climate Res, Private Bag 1, Aspendale, Vic 3195, Australia.</t>
  </si>
  <si>
    <t>simon.marsland@csiro.au</t>
  </si>
  <si>
    <t>Griffies, Stephen Matthew/N-9144-2019; Church, John A/A-1541-2012; Marsland, Simon J/A-1453-2012</t>
  </si>
  <si>
    <t>Griffies, Stephen Matthew/0000-0002-3711-236X; Church, John A/0000-0002-7037-8194; Marsland, Simon J/0000-0002-5664-5276</t>
  </si>
  <si>
    <t>NCI National Facility at the ANU; CNES; AusAID; Department of Climate Change and Energy Efficiency; Bureau of Meteorology and CSIRO; Australian Climate Change Science Program</t>
  </si>
  <si>
    <t>NCI National Facility at the ANU; CNES(Centre National D'etudes Spatiales); AusAID(Australian Aid (AusAID)); Department of Climate Change and Energy Efficiency; Bureau of Meteorology and CSIRO; Australian Climate Change Science Program</t>
  </si>
  <si>
    <t>This work was supported by the NCI National Facility at the ANU. The altimeter products were produced by SSALTO/DUACS and distributed by Aviso, with support from CNES (http://www.aviso.oceanobs.com/duacs). This work has been undertaken as part of the Pacific Climate Change Science Program, funded jointly by AusAID, the Department of Climate Change and Energy Efficiency, the Bureau of Meteorology and CSIRO, and as part of the Australian Climate Change Science Program, funded jointly by the Department of Climate Change and Energy Efficiency, the Bureau of Meteorology and CSIRO.</t>
  </si>
  <si>
    <t>C06003</t>
  </si>
  <si>
    <t>10.1029/2011JC007733</t>
  </si>
  <si>
    <t>957IK</t>
  </si>
  <si>
    <t>WOS:000305154700001</t>
  </si>
  <si>
    <t>Bindeman, IN; Kamenetsky, V; Palandri, J; Vennemann, T</t>
  </si>
  <si>
    <t>Bindeman, I. N.; Kamenetsky, V. S.; Palandri, J.; Vennemann, T.</t>
  </si>
  <si>
    <t>Hydrogen and oxygen isotope behaviors during variable degrees of upper mantle melting: Example from the basaltic glasses from Macquarie Island</t>
  </si>
  <si>
    <t>Mantle melting; Isotope fractionation; Macquarie Island; Hydrogen isotopes</t>
  </si>
  <si>
    <t>SILICATE-GLASSES; OCEANIC-CRUST; WATER; RIDGE; ORIGIN; FRACTIONATION; DIFFUSION; H2O; SYSTEMATICS; EVOLUTION</t>
  </si>
  <si>
    <t>We present measurements of hydrogen and oxygen isotopes in MORB glasses from Macquarie Island (SW. Pacific Ocean) coupled with determination of bulk H2O content by two independent techniques: total dehydration and FTIR. The incompatible trace elements in these glasses vary by a factor of 12 to 17, with K2O varying from 0.1 to 1.7 wt.%; these ranges reflect a variable degree of closed-system mantle melting, estimated from 1 to 15%. Water concentrations determined by the two techniques match well, yielding a range from 0.25 to 1.49 wt.% which correlates positively with all of the measured incompatible trace elements, suggesting that water is un-degassed, and behaves conservatively during mantle melting. Also, the agreement between the FTIR-determined and extracted water contents gives us confidence that the measured isotopic values of hydrogen reflect that of the mantle. Comparison of the range of water content with that of other incompatible trace elements allows estimation of the water partition coefficient in lherzolite, 0.0208 (ranging from 0.017 to 0.023), and the water content in the source, 386 ppm (ranging from 370 to 440 ppm). We observe a fairly narrow range in delta D and delta O-18 values of -75.5 +/- 4.5 parts per thousand and 5.50 +/- 0 .05 parts per thousand respectively, that can be explained by partial melting of normal lherzolitic mantle. The measured delta D and delta O-18 values of Macquarie Island glasses that range from nepheline- to hypersthene-normative, and from MORB to EMORB in composition, are identical to those in average global MORB. The observed lack of variation of delta D and delta O-18 with 1 to 15% degree of mantle melting is consistent with a bulk melting model of delta D and delta O-18 fractionation, in which water is rapidly scavenged into the first partial melt. The narrow ranges of delta D and delta O-18 in normal mantle are mostly due to the buffering effect of clino- and orthopyroxenes in the residual assemblage; additionally, fast wet diffusion of oxygen and hydrogen isotopes through the melting regions may further smooth isotopic differences. (C) 2012 Elsevier B.V. All rights reserved.</t>
  </si>
  <si>
    <t>[Bindeman, I. N.; Palandri, J.] 1272 Univ Oregon, Dept Geol Sci, Eugene, OR 97403 USA; [Bindeman, I. N.] Univ Geneva, Sect Sci Terre &amp; Environm, CH-1205 Geneva, Switzerland; [Bindeman, I. N.; Vennemann, T.] Univ Lausanne, Inst Mineral &amp; Geochim, CH-1015 Lausanne, Switzerland; [Kamenetsky, V. S.] Univ Tasmania, ARC Ctr Excellence Ore Deposits, Hobart, Tas 7001, Australia; [Kamenetsky, V. S.] Univ Tasmania, Sch Earth Sci, Hobart, Tas 7001, Australia; [Kamenetsky, V. S.] Univ Tasmania, Inst Marine &amp; Antarctic Studies, Hobart, Tas 7001, Australia</t>
  </si>
  <si>
    <t>University of Oregon; University of Geneva; University of Lausanne; University of Tasmania; University of Tasmania; University of Tasmania</t>
  </si>
  <si>
    <t>Bindeman, IN (corresponding author), 1272 Univ Oregon, Dept Geol Sci, Eugene, OR 97403 USA.</t>
  </si>
  <si>
    <t>Bindeman@uoregon.edu</t>
  </si>
  <si>
    <t>Kamenetsky, Vadim/K-2200-2019; Kamenetsky, Vadim/CAF-7424-2022; Bindeman, Ilya/D-2497-2012; Kamenetsky, Vadim/B-1019-2008</t>
  </si>
  <si>
    <t>Bindeman, Ilya/0000-0003-2778-9083; Kamenetsky, Vadim/0000-0002-2734-8790</t>
  </si>
  <si>
    <t>NSF [EAR-CAREER-0844772]; Herbette foundation grant; Australian Research Council; University of Tasmania; Directorate For Geosciences; Division Of Earth Sciences [0844772] Funding Source: National Science Foundation</t>
  </si>
  <si>
    <t>NSF(National Science Foundation (NSF)); Herbette foundation grant; Australian Research Council(Australian Research Council); University of Tasmania; Directorate For Geosciences; Division Of Earth Sciences(National Science Foundation (NSF)NSF - Directorate for Geosciences (GEO))</t>
  </si>
  <si>
    <t>This work was supported by NSF EAR-CAREER-0844772 grant to IB, a Herbette foundation grant to IB and TV during IB stay in Lausanne, Australian Research Council and University of Tasmania for VK. We thank editorial comments by Laurie Reisberg, Craig Lundstrom and an anonymous reviewer for their insightful and careful reviews, Paul Wallace for discussion, John Everard for providing some glass samples, and Maya Kamenetsky for help with sample preparation, Dana Johnston and Erwan Martin for help in synthesizing hydrous glass standards.</t>
  </si>
  <si>
    <t>JUN 5</t>
  </si>
  <si>
    <t>10.1016/j.chemgeo.2012.03.031</t>
  </si>
  <si>
    <t>959JD</t>
  </si>
  <si>
    <t>WOS:000305307800011</t>
  </si>
  <si>
    <t>Karsh, KL; Granger, J; Kritee, K; Sigman, DM</t>
  </si>
  <si>
    <t>Karsh, Kristen L.; Granger, Julie; Kritee, K.; Sigman, Daniel M.</t>
  </si>
  <si>
    <t>Eukaryotic Assimilatory Nitrate Reductase Fractionates N and O Isotopes with a Ratio near Unity</t>
  </si>
  <si>
    <t>SOUTHERN-OCEAN; NITROUS-OXIDE; FRESH-WATER; NITRITE; N-15/N-14; CONSUMPTION; MECHANISM; EVOLUTION; SEAWATER; ENZYME</t>
  </si>
  <si>
    <t>In order to (i) establish the biological systematics necessary to interpret nitrogen (N) and oxygen (0) isotope ratios of nitrate (N-15/N-14 and O-18/O-16) in the environment and (ii) investigate the potential for isotopes to elucidate the mechanism of a key N cycle enzyme, we measured the nitrate N and O isotope effects ((15)epsilon and (18)epsilon) for nitrate reduction by two assimilatory eukaryotic nitrate reductase (eukNR) enzymes. The (15)epsilon for purified extracts of NADPH eukNR from the fungus Aspergillus niger and the (15)epsilon for NADH eukNR from cell homogenates of the marine diatom Thalassiosira weissflogii were indistinguishable, yielding a mean (15)epsilon for the enzyme of 26.6 +/- 0.2 parts per thousand. Both forms of eukNR imparted near equivalent fractionation on N and O isotopes. The increase in O-18/O-16 versus the increase in N-15/N-14 (relative to their natural abundances) was 0.96 +/- 0.01 for NADPH eukNR and 1.09 +/- 0.03 for NADH eukNR. These results are the first reliable measurements of the coupled N and O isotope effects for any form of eukNR. They support the prevailing view that intracellular reduction by eukNR is the dominant step in isotope fractionation during nitrate assimilation and that it drives the (18)epsilon:(15)epsilon approximate to 1 observed in phytoplankton cultures, suggesting that this O-to-N isotope signature will apply broadly in the environment. Our measured (15)epsilon and (18)epsilon may represent the intrinsic isotope effects for eukNR-mediated N-O bond rupture, a potential constraint on the nature of the enzyme's transition state.</t>
  </si>
  <si>
    <t>[Karsh, Kristen L.; Granger, Julie; Kritee, K.; Sigman, Daniel M.] Princeton Univ, Dept Geosci, Princeton, NJ 08544 USA; [Karsh, Kristen L.] Univ Tasmania, Antarctic Climate &amp; Ecosyst Cooperat Res Ctr, Hobart, Tas 7001, Australia; [Karsh, Kristen L.] Univ Tasmania, Inst Marine &amp; Antarctic Studies, Hobart, Tas 7001, Australia; [Karsh, Kristen L.] CSIRO Marine &amp; Atmospher Res, Hobart, Tas 7001, Australia</t>
  </si>
  <si>
    <t>Princeton University; Antarctic Climate &amp; Ecosystems Cooperative Research Centre (ACE CRC); University of Tasmania; University of Tasmania; Commonwealth Scientific &amp; Industrial Research Organisation (CSIRO)</t>
  </si>
  <si>
    <t>Karsh, KL (corresponding author), Princeton Univ, Dept Geosci, Guyot Hall, Princeton, NJ 08544 USA.</t>
  </si>
  <si>
    <t>Kristen.Karsh@csiro.au</t>
  </si>
  <si>
    <t>Sigman, Daniel M./IYJ-2613-2023; K., Kritee/AAT-8370-2020; Sigman, Daniel M./A-2649-2008</t>
  </si>
  <si>
    <t>Sigman, Daniel M./0000-0002-7923-1973; Kritee, Kritee/0000-0001-9544-9078</t>
  </si>
  <si>
    <t>University of Tasmania; Antarctic Climate &amp; Ecosystems Cooperative Research Centre; U.S. NSF [OCE-0447570]</t>
  </si>
  <si>
    <t>University of Tasmania; Antarctic Climate &amp; Ecosystems Cooperative Research Centre(Australian GovernmentDepartment of Industry, Innovation and ScienceCooperative Research Centres (CRC) Programme); U.S. NSF(National Science Foundation (NSF))</t>
  </si>
  <si>
    <t>This work was supported by a University of Tasmania Postgraduate Scholarship awarded to K.L.K, the Antarctic Climate &amp; Ecosystems Cooperative Research Centre Ocean Control of CO2 program, and by U.S. NSF CAREER grant OCE-0447570 to D.M.S. Comments from Tom Trull and three anonymous reviewers improved the manuscript.</t>
  </si>
  <si>
    <t>10.1021/es204593q</t>
  </si>
  <si>
    <t>952HJ</t>
  </si>
  <si>
    <t>WOS:000304783000016</t>
  </si>
  <si>
    <t>Lee, WJ; Lavery, AC; Stanton, TK</t>
  </si>
  <si>
    <t>Lee, Wu-Jung; Lavery, Andone C.; Stanton, Timothy K.</t>
  </si>
  <si>
    <t>Orientation dependence of broadband acoustic backscattering from live squid</t>
  </si>
  <si>
    <t>TARGET STRENGTH MEASUREMENTS; TODARODES-PACIFICUS; ZOOPLANKTON GROUPS; SOUND-SCATTERING; ANTARCTIC KRILL; FISHERIES; INFERENCE; ANIMALS; DENSITY; FISH</t>
  </si>
  <si>
    <t>A controlled laboratory experiment of broadband acoustic backscattering from live squid (Loligo pealeii) was conducted using linear chirp signals (60-103 kHz) with data collected over the full 360 degrees of orientation in the lateral plane, in &lt;1 degrees increments. The acoustic measurements were compared with an analytical prolate spheroid model and a three-dimensional numerical model with randomized squid shape, both based on the distorted-wave Born approximation formulation. The data were consistent with the hypothesized fluid-like scattering properties of squid. The contributions from the front and back interfaces of the squid were found to dominate the scattering at normal incidence, while the arms had a significant effect at other angles. The three-dimensional numerical model predictions out-performed the prolate spheroid model over a wide range of orientations. The predictions were found to be sensitive to the shape parameters, including the arms and the fins. Accurate predictions require setting these shape parameters to best describe the most probable squid shape for different applications. The understanding developed here serves as a basis for the accurate interpretation of in situ acoustic scattering measurements of squid. (C) 2012 Acoustical Society of America. [http://dx.doi.org/10.1121/1.3701876]</t>
  </si>
  <si>
    <t>[Lee, Wu-Jung; Lavery, Andone C.; Stanton, Timothy K.] Woods Hole Oceanog Inst, Dept Appl Ocean Phys &amp; Engn, Woods Hole, MA 02543 USA</t>
  </si>
  <si>
    <t>Lee, WJ (corresponding author), Woods Hole Oceanog Inst, Dept Appl Ocean Phys &amp; Engn, Woods Hole, MA 02543 USA.</t>
  </si>
  <si>
    <t>Lee, Wu-Jung/0000-0002-4112-2034; Lavery, Andone/0000-0002-0713-1623</t>
  </si>
  <si>
    <t>Taiwan Merit Scholarship [NSC-095-SAF-I-564-021-TMS]; Academic Program Office at WHOI</t>
  </si>
  <si>
    <t>Taiwan Merit Scholarship; Academic Program Office at WHOI</t>
  </si>
  <si>
    <t>The authors would like to thank Benjamin Jones in the Naval Postgraduate School for providing the computer program for the three-dimensional DWBA numerical model and comments on the manuscript. We thank Dr. Roger Hanlon at the Marine Biological Laboratory (MBL) for providing information on the life history and behavior of squid, Dr. Aran Mooney at the Woods Hole Oceanographic Institution (WHOI) and Justine Allen at MBL for their assistance and suggestions on the sedation and handling of squid, and Dr. Michael Jech at the Northeast Fisheries Science Center for suggestions on the experimental setup. We also thank Ed Enos at MBL for providing live squid and Keenan Ball at WHOI for providing the linear power amplifier. Funding for this research was provided by the Taiwan Merit Scholarship (NSC-095-SAF-I-564-021-TMS) and the Academic Program Office at WHOI.</t>
  </si>
  <si>
    <t>JUN</t>
  </si>
  <si>
    <t>10.1121/1.3701876</t>
  </si>
  <si>
    <t>010ZQ</t>
  </si>
  <si>
    <t>WOS:000309133500036</t>
  </si>
  <si>
    <t>Gavrilov, AN; McCauley, RD; Gedamke, J</t>
  </si>
  <si>
    <t>Gavrilov, Alexander N.; McCauley, Robert D.; Gedamke, Jason</t>
  </si>
  <si>
    <t>Steady inter and intra-annual decrease in the vocalization frequency of Antarctic blue whales</t>
  </si>
  <si>
    <t>Time averaged narrow-band noise near 27 Hz produced by vocalizations of many distant Antarctic blue whales intensifies seasonally from early February to late October in the ocean off Australia's South West. Spectral characteristics of long term patterns in this noise band were analyzed using ambient noise data collected at the Comprehensive Nuclear-Test-Ban Treaty hydroacoustic station off Cape Leeuwin, Western Australia over 2002-2010. Within 7 day averaged noise spectra derived from 4096-point FFT (similar to 0.06 Hz frequency resolution), the -3-dB width of the spectral peak from the upper tone of Antarctic blue whale vocalization was about 0.5 Hz. The spectral frequency peak of this tonal call was regularly but not gradually decreasing over the 9 years of observation from similar to 27.7 Hz in 2002 to similar to 26.6 Hz in 2010. The average frequency peak steadily decreased at a greater rate within a season at 0.4-0.5 Hz/season but then in the next year recovered to approximately the mean value of the previous season. A regression analysis showed that the interannual decrease rate of the peak frequency of the upper tonal call was 0.135 +/- 0.003 Hz/year over 2002-2010 (R-2 approximate to 0.99). Possible causes of such a decline in the whale vocalization frequency are considered. (C) 2012 Acoustical Society of America. [http://dx.doi.org/10.1121/1.4707425]</t>
  </si>
  <si>
    <t>[Gavrilov, Alexander N.; McCauley, Robert D.] Curtin Univ Technol, Ctr Marine Sci &amp; Technol, Perth, WA 6845, Australia; [Gedamke, Jason] NOAA, Fisheries Ocean Acoust Program, Off Sci &amp; Technol, Silver Spring, MD 20910 USA</t>
  </si>
  <si>
    <t>Curtin University; National Oceanic Atmospheric Admin (NOAA) - USA</t>
  </si>
  <si>
    <t>Gavrilov, AN (corresponding author), Curtin Univ Technol, Ctr Marine Sci &amp; Technol, GPO Box U1987, Perth, WA 6845, Australia.</t>
  </si>
  <si>
    <t>a.gavrilov@cmst.curtin.edu.au</t>
  </si>
  <si>
    <t>Gavrilov, Alexander N/B-2812-2013</t>
  </si>
  <si>
    <t>Gavrilov, Alexander/0000-0003-1907-458X</t>
  </si>
  <si>
    <t>10.1121/1.4707425</t>
  </si>
  <si>
    <t>WOS:000309133500037</t>
  </si>
  <si>
    <t>Lawver, L; Lee, J; Kim, Y; Davey, F</t>
  </si>
  <si>
    <t>Lawver, L.; Lee, J.; Kim, Y.; Davey, F.</t>
  </si>
  <si>
    <t>Flat-topped mounds in western Ross Sea: Carbonate mounds or subglacial volcanic features?</t>
  </si>
  <si>
    <t>GEOSPHERE</t>
  </si>
  <si>
    <t>ANTARCTICA; POCKMARKS; ICELAND; ANOMALIES; EVOLUTION; LAND</t>
  </si>
  <si>
    <t>Detailed multibeam bathymetry data in the western Ross Sea, Antarctica, delineate a field of unusual flat-topped seafloor mounds located similar to 50 km west of Franklin Island and an arcuate zone of pockmarks to the northwest and west of Franklin Island. Sixteen mounds occur in an area about 30 km square at a depth of similar to 500 m, within the Terror Rift, the active extensional part of the Victoria Land Basin. The mounds tend to be circular in the east and linear in the west, with their steepest slope to the southeast, and shallowest slope to the northwest, consistent with erosion by northwest ice-sheet movement. The largest mound is similar to 4 km across and 100 m high. Five similar features were delineated to the south and east of Franklin Island at depths of 400-650 m. Seismic, gravity, and magnetic data indicate that the mounds are largely low-density, nonmagnetic bodies overlying a largely nondisrupted sedimentary section, but some mounds have an associated small (similar to 50 nT), short-wavelength, normal or reversed magnetic anomaly, indicating a magnetic core to the mounds. Their proximity to inferred subsurface gas hydrates suggests they may be carbonate banks, but they also occur close to volcanic centers including Franklin Island. Our preferred interpretation is that they are of volcanic origin, erupted during a geomagnetic reversal and under a grounded ice sheet forming hyaloclastite edifices, previously unknown under the Ross Sea. The pockmarks range from 200 m to 500 m in diameter.</t>
  </si>
  <si>
    <t>[Lawver, L.] Univ Texas Austin, Inst Geophys, Jackson Sch Geosci, Austin, TX 78758 USA; [Lee, J.; Kim, Y.] Korea Polar Res Inst KOPRI, Unit New Antarctic Stn, Inchon 406840, South Korea; [Davey, F.] GNS Sci, Lower Hutt 5040, New Zealand</t>
  </si>
  <si>
    <t>University of Texas System; University of Texas Austin; Korea Polar Research Institute (KOPRI); GNS Science - New Zealand</t>
  </si>
  <si>
    <t>Lawver, L (corresponding author), Univ Texas Austin, Inst Geophys, Jackson Sch Geosci, 10100 Burnet Rd,R2200, Austin, TX 78758 USA.</t>
  </si>
  <si>
    <t>Lawver, Lawrence/A-1630-2009</t>
  </si>
  <si>
    <t>Korean Polar Research Institute (KOPRI) [PM10050, PE11070]; GNS Science; NZGSF; U.S. National Science Foundation [OPP-0327626]</t>
  </si>
  <si>
    <t>Korean Polar Research Institute (KOPRI); GNS Science; NZGSF; U.S. National Science Foundation(National Science Foundation (NSF))</t>
  </si>
  <si>
    <t>JL and YK acknowledge the support of Korean Polar Research Institute (KOPRI) Project Codes PM10050 and PE11070. FJD acknowledges the support of KOPRI, GNS Science, and the NZGSF. LAL acknowledges support from the U.S. National Science Foundation grant OPP-0327626. We greatly appreciated reviews by the editor, W. Le Masurier, and an anonymous reviewer; these reviews greatly improved the manuscript. Generic Mapping Tools (GMT) software was used in the preparation of many of the figures. GeoMapApp was used for accessing RVIB Nathanial B. Palmer multibeam data.</t>
  </si>
  <si>
    <t>1553-040X</t>
  </si>
  <si>
    <t>Geosphere</t>
  </si>
  <si>
    <t>10.1130/GES00766.1</t>
  </si>
  <si>
    <t>008EN</t>
  </si>
  <si>
    <t>WOS:000308940300008</t>
  </si>
  <si>
    <t>Bycatch susceptibility in pelagic longline fisheries: are albatrosses affected by the diving behaviour of medium-sized petrels?</t>
  </si>
  <si>
    <t>AQUATIC CONSERVATION-MARINE AND FRESHWATER ECOSYSTEMS</t>
  </si>
  <si>
    <t>seabirds; bycatch; pelagic longline fisheries; susceptibility; south-west Atlantic</t>
  </si>
  <si>
    <t>MITIGATE SEABIRD BYCATCH; CATCH RATES; SINK RATES; MORTALITY; VIOLACEA; VESSELS; DEPTHS; TRAWL</t>
  </si>
  <si>
    <t>Species of petrels and shearwaters with high diving ability could facilitate the catch of albatrosses in pelagic longline fisheries, because they retrieve bait to the surface from depths that albatrosses cannot reach. Once on the surface, large seabirds such as albatrosses can easily displace smaller species thus gaining access to baited hooks which increases their likelihood of getting caught. This paper evaluates the extent to which diving species (i.e. Procellaria aequinoctialis, Procellaria conspicillata and Puffinus gravis) increase the susceptibility of albatross to bycatch in pelagic longline fisheries. In 48 sets, attacks on baits were quantified. When more than one bird (of the same or different species) tried to attack the same bait this was defined as a multiple attack. There were 384 attacks on baits, of which 260 were made by a single individual and 124 by more than one. Multiple attacks were the largest source of bycatch of albatrosses (22 of 27 albatrosses whose attacks were observed). Of the baits attacked by albatrosses (n?=?244), 17% were indirectly facilitated by diving medium-sized petrels. Considering only the multiple attacks in which albatrosses participated (n?=?114), 36% were initiated by these medium-sized petrels. Eleven (41%) of the albatrosses captured, and whose attacks were observed, resulted from a diving medium-sized seabird species first having contacted the terminal tackle. This paper shows that medium-sized petrels, with a strong ability to dive, increase considerably the access to bait, and indirectly, the incidental bycatch of albatrosses. Observations made in the absence of mitigation measures also provide useful information to improve the performance of tori lines. Based on the seabird behaviour, it is recommended that tori lines should have a minimum aerial coverage of 50 m. Copyright (c) 2012 John Wiley &amp; Sons, Ltd.</t>
  </si>
  <si>
    <t>[Jimenez, Sebastian; Domingo, Andres; Abreu, Martin] Ctr Invest &amp; Conservac Marina CICMAR, Proyecto Albatros &amp; Petreles Uruguay, Canelones, Uruguay; [Jimenez, Sebastian; Domingo, Andres] Direcc Nacl Recursos Acuat, Montevideo, Uruguay; [Jimenez, Sebastian; Brazeiro, Alejandro] Univ Republica, Fac Ciencias, Inst Ecol &amp; Ciencias Ambientales, Montevideo, Uruguay</t>
  </si>
  <si>
    <t>Jiménez, S (corresponding author), Ctr Invest &amp; Conservac Marina CICMAR, Proyecto Albatros &amp; Petreles Uruguay, Ave Giannattasio Km 30,5 CP 15008, Canelones, Uruguay.</t>
  </si>
  <si>
    <t>Brazeiro, Alejandro/0000-0001-8352-9900; Jimenez, Sebastian/0000-0003-3945-4619</t>
  </si>
  <si>
    <t>Birds Australia, and Birdlife International's 'Save the Albatross' campaign; Royal Society for the Protection of Birds (RSPB); BirdLife International; Agencia Nacional de Investigacion e Innovacion (ANII)</t>
  </si>
  <si>
    <t>The authors would like to thank the boat owners of the Uruguayan fleet and their crews for their continued cooperation. This work was made possible by the Programa Nacional de Observadores de la Flota Atunera Uruguaya (PNOFA), Departamento de Recursos Pelagicos, Direccion Nacional de Recursos Acuaticos (DINARA). Most of the field work was undertaken during two main programmes of the 'Proyecto Albatros y Petreles - Uruguay' (PAP): International Association of Antarctic Tour Operators (IAATO) [Birds Australia, and Birdlife International's 'Save the Albatross' campaign], funded the program 'Conservation of Albatrosses and Petrels in Uruguay', and Royal Society for the Protection of Birds (RSPB) and BirdLife International funded the programme 'Albatross Task Force'. S.J. received a Scholarship from Agencia Nacional de Investigacion e Innovacion (ANII). We thank the two anonymous referees and the editor, whose comments and recommendations helped us to improve this paper.</t>
  </si>
  <si>
    <t>1052-7613</t>
  </si>
  <si>
    <t>1099-0755</t>
  </si>
  <si>
    <t>AQUAT CONSERV</t>
  </si>
  <si>
    <t>Aquat. Conserv.-Mar. Freshw. Ecosyst.</t>
  </si>
  <si>
    <t>10.1002/aqc.2242</t>
  </si>
  <si>
    <t>Environmental Sciences; Marine &amp; Freshwater Biology; Water Resources</t>
  </si>
  <si>
    <t>Environmental Sciences &amp; Ecology; Marine &amp; Freshwater Biology; Water Resources</t>
  </si>
  <si>
    <t>983ED</t>
  </si>
  <si>
    <t>WOS:000307100400004</t>
  </si>
  <si>
    <t>Sevak, HP; Amsler, CD; McClintock, JB; Maschek, JA; Amsler, MO; Aumack, CF; Peters, KJ; Baker, BJ</t>
  </si>
  <si>
    <t>Sevak, Hamel P.; Amsler, Charles D.; McClintock, James B.; Maschek, J. Alan; Amsler, Margaret O.; Aumack, Craig F.; Peters, Kevin J.; Baker, Bill J.</t>
  </si>
  <si>
    <t>Algicidal activity and potential antifouling defenses in macroalgae from the western Antarctic Peninsula including probable synergistic effects of multiple compounds</t>
  </si>
  <si>
    <t>BOTANICA MARINA</t>
  </si>
  <si>
    <t>algicide; Antarctica; biofouling; chemical defenses; diatoms; synergy</t>
  </si>
  <si>
    <t>CHEMICAL DEFENSES; COMPREHENSIVE EVALUATION; PALATABILITY; ALGAE</t>
  </si>
  <si>
    <t>Insoluble crude extract fractions of 11 species of Antarctic macroalgae were screened for algicidal activity against sympatric diatoms. Medium pressure liquid chromatography (MPLC) fractions of soluble extracts of four species were also screened. Levels of activity in insoluble fractions were lower than in previously examined corresponding soluble fractions. Combined MPLC fractions had lower activity than unfractionated extracts in three species, but in two, specific fractions with activity were identified. Combined soluble fractions of a fourth species retained strong activity but no individual fraction had activity even at tenfold higher concentrations, indicating that activity probably results from synergistic interactions between multiple compounds.</t>
  </si>
  <si>
    <t>[Sevak, Hamel P.; Amsler, Charles D.; McClintock, James B.; Amsler, Margaret O.; Aumack, Craig F.; Peters, Kevin J.] Univ Alabama Birmingham, Dept Biol, Birmingham, AL 35294 USA; [Maschek, J. Alan; Baker, Bill J.] Univ S Florida, Dept Chem, Tampa, FL 33620 USA</t>
  </si>
  <si>
    <t>Amsler, CD (corresponding author), Univ Alabama Birmingham, Dept Biol, Birmingham, AL 35294 USA.</t>
  </si>
  <si>
    <t>Amsler, Charles/0000-0002-4843-3759</t>
  </si>
  <si>
    <t>National Science Foundation [OPP-0125181, OPP-0442769, ANT-0838773, OPP-0125152, OPP-0442857, ANT-0838776]; Office of Polar Programs (OPP); Directorate For Geosciences [0838776] Funding Source: National Science Foundation</t>
  </si>
  <si>
    <t>We are grateful to Dr. R. A. Angus for advice on statistical analyses and to the employees and subcontractors of Raytheon Polar Services Company for outstanding logistical support in Antarctica. We also thank G. Pohnert and two anonymous reviewers for constructive comments on an earlier version of the manuscript. This research was facilitated by National Science Foundation awards to CDA and JBM (OPP-0125181, OPP-0442769, ANT-0838773) and to BJB (OPP-0125152, OPP-0442857, ANT-0838776).</t>
  </si>
  <si>
    <t>WALTER DE GRUYTER GMBH</t>
  </si>
  <si>
    <t>GENTHINER STRASSE 13, D-10785 BERLIN, GERMANY</t>
  </si>
  <si>
    <t>0006-8055</t>
  </si>
  <si>
    <t>1437-4323</t>
  </si>
  <si>
    <t>BOT MAR</t>
  </si>
  <si>
    <t>Bot. Marina</t>
  </si>
  <si>
    <t>10.1515/bot-2012-0111</t>
  </si>
  <si>
    <t>974SW</t>
  </si>
  <si>
    <t>WOS:000306458300013</t>
  </si>
  <si>
    <t>Wang, HJ; Sun, JQ; Chen, HP; Zhu, YL; Zhang, Y; Jiang, DB; Lang, XM; Fan, K; Yu, ET; Yang, S</t>
  </si>
  <si>
    <t>Wang, Hui-Jun; Sun, Jian-Qi; Chen, Huo-Po; Zhu, Ya-Li; Zhang, Ying; Jiang, Da-Bang; Lang, Xian-Mei; Fan, Ke; Yu, En-Tao; Yang, Song</t>
  </si>
  <si>
    <t>Extreme Climate in China: Facts, Simulation and Projection</t>
  </si>
  <si>
    <t>METEOROLOGISCHE ZEITSCHRIFT</t>
  </si>
  <si>
    <t>WESTERN NORTH PACIFIC; TROPICAL CYCLONE ACTIVITY; ASIAN SUMMER MONSOON; DUST WEATHER FREQUENCY; GLOBAL WARMING SCENARIO; GENESIS POTENTIAL INDEX; YANGTZE-RIVER VALLEY; YELLOW-RIVER; INTERANNUAL VARIABILITY; ANTARCTIC OSCILLATION</t>
  </si>
  <si>
    <t>In this paper, studies on extreme climate in China including extreme temperature and precipitation, dust weather activity, tropical cyclone activity, intense snowfall and cold surge activity, floods, and droughts are reviewed based on the peer-reviewed publications in recent decades. The review is focused first on the climatological features, variability, and trends in the past half century and then on simulations and projections based on global and regional climate models. As the annual mean surface air temperature (SAT) increased throughout China, heat wave intensity and frequency overall increased in the past half century, with a large rate after the 1980s. The daily or yearly minimum SAT increased more significantly than the mean or maximum SAT. The long-term change in precipitation is predominantly characterized by the so-called southern flood and northern drought pattern in eastern China and by the overall increase over Northwest China. The interdecadal variation of monsoon, represented by the monsoon weakening in the end of 1970s, is largely responsible for this change in mean precipitation. Precipitation-related extreme events (e.g., heavy rainfall and intense snowfall) have become more frequent and intense generally over China in the recent years, with large spatial features. Dust weather activity, however, has become less frequent over northern China in the recent years, as result of weakened cold surge activity, reinforced precipitation, and improved vegetation condition. State-of-the-art climate models are capable of reproducing some features of the mean climate and extreme climate events. However, discrepancies among models in simulating and projecting the mean and extreme climate are also demonstrated by many recent studies. Regional models with higher resolutions often perform better than global models. To predict and project climate variations and extremes, many new approaches and schemes based on dynamical models, statistical methods, or their combinations have been developed, resulting in improved skills. With the improvements of climate model capability and resolution as well as our understanding of regional climate variability and extremes, these new approaches and techniques are expected to further improve the prediction and projection on regional climate variability and extremes over China in the future.</t>
  </si>
  <si>
    <t>[Wang, Hui-Jun] Chinese Acad Sci, Inst Atmospher Phys, Beijing 100029, Peoples R China</t>
  </si>
  <si>
    <t>Chinese Academy of Sciences; Institute of Atmospheric Physics, CAS</t>
  </si>
  <si>
    <t>Wang, HJ (corresponding author), Chinese Acad Sci, Inst Atmospher Phys, Beijing 100029, Peoples R China.</t>
  </si>
  <si>
    <t>wanghj@mail.iap.ac.cn</t>
  </si>
  <si>
    <t>Sun, Jianqi/A-7084-2016; Fan, Ke/AAJ-2315-2020; Huopo, Chen/B-7771-2013; Fan, K/GXH-3734-2022; Yang, Song/B-4952-2009; Jiang, Dabang/I-2243-2014</t>
  </si>
  <si>
    <t>Huopo, Chen/0000-0003-0760-8353;</t>
  </si>
  <si>
    <t>Major State Basic Research Development Program of China (973 Program) [2009CB421406]; Chinese Academy of Sciences [KZCX2-YW-Q1-02]; Special Fund for Public Welfare Industry (Meteorology) [GYHY200906018]; National Natural Science Foundation of China [40821092]</t>
  </si>
  <si>
    <t>Major State Basic Research Development Program of China (973 Program)(National Basic Research Program of China); Chinese Academy of Sciences(Chinese Academy of Sciences); Special Fund for Public Welfare Industry (Meteorology); National Natural Science Foundation of China(National Natural Science Foundation of China (NSFC))</t>
  </si>
  <si>
    <t>This research was supported by the Major State Basic Research Development Program of China (973 Program) under Grant No. 2009CB421406, the Chinese Academy of Sciences under Grant KZCX2-YW-Q1-02, Special Fund for Public Welfare Industry (Meteorology) (GYHY200906018), and the National Natural Science Foundation of China under Grant 40821092.</t>
  </si>
  <si>
    <t>E SCHWEIZERBARTSCHE VERLAGSBUCHHANDLUNG</t>
  </si>
  <si>
    <t>NAEGELE U OBERMILLER, SCIENCE PUBLISHERS, JOHANNESSTRASSE 3A, D 70176 STUTTGART, GERMANY</t>
  </si>
  <si>
    <t>0941-2948</t>
  </si>
  <si>
    <t>1610-1227</t>
  </si>
  <si>
    <t>METEOROL Z</t>
  </si>
  <si>
    <t>Meteorol. Z.</t>
  </si>
  <si>
    <t>10.1127/0941-2948/2012/0330</t>
  </si>
  <si>
    <t>974LM</t>
  </si>
  <si>
    <t>WOS:000306436800007</t>
  </si>
  <si>
    <t>Ivanov, NE; Ivanov, BV; Andreev, OM</t>
  </si>
  <si>
    <t>Ivanov, N. E.; Ivanov, B. V.; Andreev, O. M.</t>
  </si>
  <si>
    <t>Estimates of the maximum land-fast ice thickness probable once in 5, 10, 25, 50, and 100 years</t>
  </si>
  <si>
    <t>Presented are the empirical, nonparametric (quantile), parametric, and randomized estimates of the maximum land-fast ice thickness in the Northern Caspian probable once in 5, 10, 25, 50, and 100 years. The annual maxima of the land-fast ice thickness for the 72-year period from 1937 to 2008 are computed using the one-dimensional thermodynamic model of the sea ice developed at Arctic and Antarctic Research Institute.</t>
  </si>
  <si>
    <t>[Ivanov, N. E.; Ivanov, B. V.; Andreev, O. M.] Arctic &amp; Antarctic Res Inst, St Petersburg 199397, Russia</t>
  </si>
  <si>
    <t>Ivanov, NE (corresponding author), Arctic &amp; Antarctic Res Inst, Ul Beringa 38, St Petersburg 199397, Russia.</t>
  </si>
  <si>
    <t>Andreev, Oleg M./ABE-6472-2022</t>
  </si>
  <si>
    <t>Andreev, Oleg M./0009-0007-8558-7945</t>
  </si>
  <si>
    <t>10.3103/S1068373912060052</t>
  </si>
  <si>
    <t>975JY</t>
  </si>
  <si>
    <t>WOS:000306508800005</t>
  </si>
  <si>
    <t>Shirai, M; Yamamoto, M; Ebine, N; Yamamoto, T; Trathan, PN; Yoda, K; Oka, N; Niizuma, Y</t>
  </si>
  <si>
    <t>Shirai, Masaki; Yamamoto, Maki; Ebine, Naoyuki; Yamamoto, Takashi; Trathan, Philip N.; Yoda, Ken; Oka, Nariko; Niizuma, Yasuaki</t>
  </si>
  <si>
    <t>Basal and field metabolic rates of Streaked Shearwater during the chick-rearing period</t>
  </si>
  <si>
    <t>ORNITHOLOGICAL SCIENCE</t>
  </si>
  <si>
    <t>Basal metabolic rate; Doubly labelled water; Energetics; Field metabolic rate; Streaked Shearwater</t>
  </si>
  <si>
    <t>DOUBLY LABELED WATER; ANTARCTIC FULMARINE PETRELS; ENERGY-EXPENDITURE; WANDERING ALBATROSSES; DIOMEDEA-EXULANS; PELAGIC SEABIRD; PARENTAL EFFORT; FORAGING EFFORT; ENERGETICS; BIRDS</t>
  </si>
  <si>
    <t>The energetics of adult Streaked Shearwaters Calonectris leucomelas during the chick-rearing period were examined on Awa Island, Japan, in 2008 and 2009. Basal metabolic rates (BMR) were quantified using an open-flow respirometry system and field metabolic rates (FMR) were quantified using a doubly labelled water (DLW) method. In addition, we used activity loggers to estimate time allocations for different activities at sea. BMR was 0.0124 kJ g(-1) h(-1) (+/- 0.0153, N=4) on average and corresponded to 54% of the value predicted from allometric equations. FMR was 0.0634 kJ g(-1) h(-1) (+/- 0.0331, N=3) and was equivalent to 5.1 times BMR, which was higher than values reported for albatrosses (2-4 times BMR). Shearwaters made 50.3 landings a day (+/- 9.8, N=12) and spent 44.8% (+/- 8.0, N=12) of their time sitting on the water. They landed on water approximately twice as often as albatrosses (which have been well-studied using DLW), but they both spent similar proportions of their time on water. Frequent landings at sea, and frequent takeoffs, may generate incremental energetic expenses because of the use of flapping flight; therefore, the Streaked Shearwater's relatively high FMR may be related to its high number of landings.</t>
  </si>
  <si>
    <t>[Shirai, Masaki; Yoda, Ken] Nagoya Univ, Grad Sch Environm Studies, Chikusa Ku, Nagoya, Aichi 4648601, Japan; [Yamamoto, Maki] Nagaoka Univ Technol, Dept BioEngn, Nagaoka, Niigata 9402188, Japan; [Ebine, Naoyuki] Doshisha Univ, Fac Hlth &amp; Sports Sci, Kyotanabe, Kyoto 6100394, Japan; [Yamamoto, Takashi] Grad Univ Adv Studies, Dept Polar Sci, Tachikawa, Tokyo 1908518, Japan; [Trathan, Philip N.] British Antarctic Survey, NERC, Cambridge CB3 0ET, England; [Oka, Nariko] Yatnashina Inst Ornithol, Div Nat Hist, Abiko, Chiba 2701145, Japan; [Niizuma, Yasuaki] Meijo Univ, Fac Agr, Tempaku Ku, Nagoya, Aichi 4688502, Japan</t>
  </si>
  <si>
    <t>Nagoya University; Nagaoka University of Technology; Doshisha University; Graduate University for Advanced Studies - Japan; UK Research &amp; Innovation (UKRI); Natural Environment Research Council (NERC); NERC British Antarctic Survey; Meijo University</t>
  </si>
  <si>
    <t>Shirai, M (corresponding author), Nagoya Univ, Grad Sch Environm Studies, Chikusa Ku, Furo Cho, Nagoya, Aichi 4648601, Japan.</t>
  </si>
  <si>
    <t>shirai.masaki@h.mbox.nagoya-u.ac.jp</t>
  </si>
  <si>
    <t>Shirai, Masaki/0009-0002-2546-906X</t>
  </si>
  <si>
    <t>Japan Seaology Promotion Organization; Koshiji Nature Foundation; Meijo University AGRIOMICS project; NERC [bas0100025] Funding Source: UKRI; Grants-in-Aid for Scientific Research [23657024] Funding Source: KAKEN; Natural Environment Research Council [bas0100025] Funding Source: researchfish</t>
  </si>
  <si>
    <t>Japan Seaology Promotion Organization; Koshiji Nature Foundation; Meijo University AGRIOMICS project; NERC(UK Research &amp; Innovation (UKRI)Natural Environment Research Council (NERC));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t>
  </si>
  <si>
    <t>We are very grateful to Emiko Oda and Akemi Ushijima for help with the respirometry and DLW procedures in the laboratory and the field. We also thank Tateo Honbo, Tuguyo Honbo and the staff at Matsutaya for their kind logistic support; Madoka Yamaguchi and Yuki Tamura for their assistance in the field; Alice Carravieri and Carlos B. Zavalaga for improving the manuscript; Naoki Tomita for help with the isotope analysis; and Akinori Takahashi for providing the activity loggers. This study was supported financially by research funds from the Japan Seaology Promotion Organization and Koshiji Nature Foundation. This work was conducted with permits from the Ministry of the Environment and the Agency for Cultural Affairs. Parts of this study were conducted with the support of the Meijo University AGRIOMICS project.</t>
  </si>
  <si>
    <t>ORNITHOLOGICAL SOC JAPAN, UNIV TOKYO, SCH AGR</t>
  </si>
  <si>
    <t>YAYOI 1-1-1, TOKYO, 113-8657, JAPAN</t>
  </si>
  <si>
    <t>1347-0558</t>
  </si>
  <si>
    <t>ORNITHOL SCI</t>
  </si>
  <si>
    <t>Ornithol. Sci.</t>
  </si>
  <si>
    <t>10.2326/osj.11.47</t>
  </si>
  <si>
    <t>970QH</t>
  </si>
  <si>
    <t>WOS:000306146900006</t>
  </si>
  <si>
    <t>Schwach, V</t>
  </si>
  <si>
    <t>Schwach, Vera</t>
  </si>
  <si>
    <t>An Empire of Ice: Scott, Shackleton, and the Heroic Age of Antarctic Science</t>
  </si>
  <si>
    <t>ISIS</t>
  </si>
  <si>
    <t>0021-1753</t>
  </si>
  <si>
    <t>Isis</t>
  </si>
  <si>
    <t>10.1086/667503</t>
  </si>
  <si>
    <t>968DB</t>
  </si>
  <si>
    <t>WOS:000305956100041</t>
  </si>
  <si>
    <t>Correa-Llantén, DN; Amenábar, MJ; Blamey, JM</t>
  </si>
  <si>
    <t>Correa-Llanten, Daniela N.; Amenabar, Maximiliano J.; Blamey, Jenny M.</t>
  </si>
  <si>
    <t>Antioxidant Capacity of Novel Pigments from an Antarctic Bacterium</t>
  </si>
  <si>
    <t>JOURNAL OF MICROBIOLOGY</t>
  </si>
  <si>
    <t>ROS; antioxidant capacity assays; liposomes; Antarctica; pigments</t>
  </si>
  <si>
    <t>EXTREMELY HALOPHILIC BACTERIA; FREE-RADICAL METHOD; SYNTHETIC MEMBRANES; CAROTENOID-PIGMENTS; OXIDATIVE DAMAGE; COLD ADAPTATION; SYSTEMS; ACCUMULATION; KINETICS; FRUITS</t>
  </si>
  <si>
    <t>In Antarctica microorganisms are exposed to several conditions that trigger the generation of reactive oxygen species, such as high UV radiation. Under these conditions they must have an important antioxidant defense system in order to prevent oxidative damage. One of these defenses are pigments which are part of the non-enzymatic antioxidant mechanisms. In this work we focused on the antioxidant capacity of pigments from an Antarctic microorganism belonging to Pedobacter genus. This microorganism produces different types of pigments which belong to the carotenoids group. The antioxidant capacity of a mix of pigments was analyzed by three different methods: 1,1-diphenyl-2-picrylhydrazyl, ROS detection and oxygen electrode. The results obtained from these approaches indicate that the mix of pigments has a strong antioxidant capacity. The oxidative damage induced by UVB exposure to Liposomes was also analyzed. Intercalated pigments within the liposomes improved its resistance to lipid peroxidation. Based on the analysis carried out along this research we conclude that the antioxidant properties of the mix of pigments protect this bacterium against oxidative damage. These properties make this mix of pigments a powerful antioxidant mixture with potential biotechnological applications.</t>
  </si>
  <si>
    <t>[Correa-Llanten, Daniela N.; Amenabar, Maximiliano J.; Blamey, Jenny M.] Sci &amp; Cultural Biosci Fdn, Santiago, Chile; [Correa-Llanten, Daniela N.] Univ Santiago Chile, Santiago, Chile</t>
  </si>
  <si>
    <t>Universidad de Santiago de Chile</t>
  </si>
  <si>
    <t>Correa-Llantén, DN (corresponding author), Sci &amp; Cultural Biosci Fdn, Jose Domingo Canas 2280, Santiago, Chile.</t>
  </si>
  <si>
    <t>dcorrea@bioscience.cl</t>
  </si>
  <si>
    <t>Amenabar, Maximiliano/AAD-5354-2020; Blamey, Jenny M/M-2637-2014</t>
  </si>
  <si>
    <t>Amenabar, Maximiliano/0000-0003-1890-5353; Blamey, Jenny M/0000-0002-7640-316X</t>
  </si>
  <si>
    <t>project Innova-CORFO [07CN13PXT264]; Instituto Antartico Chileno</t>
  </si>
  <si>
    <t>project Innova-CORFO; Instituto Antartico Chileno</t>
  </si>
  <si>
    <t>We would like to thank Instituto Antartico Chileno for its support. This work was funded by the project Innova-CORFO grant #07CN13PXT264, 2008-2012.</t>
  </si>
  <si>
    <t>MICROBIOLOGICAL SOCIETY KOREA</t>
  </si>
  <si>
    <t>KOREA SCIENCE &amp; TECHNOLOGY CENTER 803, 635-4 YEOGSAM-DONG, KANGNAM-KU, SEOUL 135-703, SOUTH KOREA</t>
  </si>
  <si>
    <t>1225-8873</t>
  </si>
  <si>
    <t>J MICROBIOL</t>
  </si>
  <si>
    <t>J. Microbiol.</t>
  </si>
  <si>
    <t>10.1007/s12275-012-2029-1</t>
  </si>
  <si>
    <t>966PF</t>
  </si>
  <si>
    <t>WOS:000305849200002</t>
  </si>
  <si>
    <t>Murray, SA; Wiese, M; Neilan, BA; Orr, RJS; de Salas, M; Brett, S; Hallegraeff, G</t>
  </si>
  <si>
    <t>Murray, Shauna A.; Wiese, Maria; Neilan, Brett A.; Orr, Russell J. S.; de Salas, Miguel; Brett, Steve; Hallegraeff, Gustaaf</t>
  </si>
  <si>
    <t>A reinvestigation of saxitoxin production and sxtA in the 'non-toxic' Alexandrium tamarense Group V clade</t>
  </si>
  <si>
    <t>HARMFUL ALGAE</t>
  </si>
  <si>
    <t>Alexandrium tamarense; A. catenella; Saxitoxin; sxtA; Sydney Rock Oysters</t>
  </si>
  <si>
    <t>PARALYTIC SHELLFISH TOXINS; RIBOSOMAL-RNA GENE; JAPANESE COASTAL WATERS; MICROSATELLITE MARKERS; COMPLEX DINOPHYCEAE; PROTOGONYAULAX-TAMARENSIS; CATENELLA WHEDON; LEBOUR BALECH; DINOFLAGELLATE; SEQUENCES</t>
  </si>
  <si>
    <t>The three Alexandrium species A. tamarense, A. fundyense and A. catenella include strains that can be potent producers of the neurotoxin saxitoxin (STX) and its analogues, the causative agents of paralytic shellfish poisoning (PSP). These three species are morphologically highly similar, differing from each other only in the possession of a ventral pore, or in the ability to form chains. The appropriateness of these morphological characters for species delimitation has been extensively debated. A distinctive clade of this species complex, Group V, Tasmanian clade, is found in southern Australia, and occasionally occurs in bloom proportions. This clade has been considered non-toxic, and no PSP toxins have been found in shellfish following blooms of this species. In the present study, we report on a Tasmanian strain of A. tamarense, Group V that produces STX and possesses the gene, sxtA that is putatively involved in STX production. The toxin profile was determined and is unusual, including a high proportion of GTX5 and a small amount of STX, and differs from that of co-occurring A. catenella (Group IV). A putative bloom of A. tamarense that occurred in October 2010, and the subsequent finding of STX in Sydney Rock Oysters (Saccostrea glomerata), may suggest that some naturally occurring strains of this species could produce STX. (C) 2012 Elsevier B.V. All rights reserved.</t>
  </si>
  <si>
    <t>[Murray, Shauna A.; Wiese, Maria] Sydney Inst Marine Sci, Mosman, NSW, Australia; [Murray, Shauna A.; Wiese, Maria; Neilan, Brett A.] Univ New S Wales, Sch Biotechnol &amp; Biomol Sci, Sydney, NSW 2052, Australia; [Murray, Shauna A.; Wiese, Maria; Neilan, Brett A.] Univ New S Wales, Evolut &amp; Ecol Res Ctr, Sydney, NSW 2052, Australia; [Orr, Russell J. S.] Univ Oslo, Dept Biol, Microbial Evolut Res Grp, N-0316 Oslo, Norway; [de Salas, Miguel] Univ Tasmania, Tasmanian Herbarium, Hobart, Tas 7001, Australia; [Brett, Steve] Microalgal Serv, Ormond, Vic 3204, Australia; [Hallegraeff, Gustaaf] Univ Tasmania, Inst Marine &amp; Antarctic Studies, Hobart, Tas 7001, Australia</t>
  </si>
  <si>
    <t>Sydney Institute of Marine Science; University of New South Wales Sydney; University of New South Wales Sydney; University of Oslo; University of Tasmania; University of Tasmania</t>
  </si>
  <si>
    <t>Murray, SA (corresponding author), Sydney Inst Marine Sci, Chowder Bay Rd, Mosman, NSW, Australia.</t>
  </si>
  <si>
    <t>s.murray@unsw.edu.au</t>
  </si>
  <si>
    <t>Neilan, Brett A/I-5767-2012; Wiese, Maria/P-5020-2014; Murray, Shauna/JAN-6668-2023; Murray, Shauna/K-5781-2015; Hallegraeff, Gustaaf/C-8351-2013</t>
  </si>
  <si>
    <t>Neilan, Brett A/0000-0001-6113-772X; Wiese, Maria/0000-0002-1010-1927; Murray, Shauna/0000-0001-7096-1307; Hallegraeff, Gustaaf/0000-0001-8464-7343</t>
  </si>
  <si>
    <t>NSW Food Authority; Wayne O'Connor of Industry and Investment NSW; Tasmanian Department of Health and Human Services; Primary Industries and Resources South Australia; Australian Research Council [LP0776759]; EMBIO program, University of Oslo; Diagnostic Technology; Australian Research Council [LP0776759] Funding Source: Australian Research Council</t>
  </si>
  <si>
    <t>NSW Food Authority; Wayne O'Connor of Industry and Investment NSW; Tasmanian Department of Health and Human Services; Primary Industries and Resources South Australia; Australian Research Council(Australian Research Council); EMBIO program, University of Oslo; Diagnostic Technology; Australian Research Council(Australian Research Council)</t>
  </si>
  <si>
    <t>We thank Anthony Zammit and Melanie Field, for sample collection of oysters and phytoplankton. We thank the NSW Food Authority, Wayne O'Connor of Industry and Investment NSW, Diagnostic Technology, Ray Brown and Alison Turnbull of the Tasmanian Department of Health and Human Services, and Ken Lee of Primary Industries and Resources South Australia for co-funding and supporting this research. We thank the Cawthron Institute for conducting the HPLC analyses and Rouna Yauwenas for laboratory assistance. This study was funded by the Australian Research Council Grant LP0776759 to BN, SM and GH. RO was supported by a PhD grant from the EMBIO program, University of Oslo. This is contribution number 70 from the Sydney Institute of Marine Sciences.[SS]</t>
  </si>
  <si>
    <t>1568-9883</t>
  </si>
  <si>
    <t>Harmful Algae</t>
  </si>
  <si>
    <t>10.1016/j.hal.2012.05.001</t>
  </si>
  <si>
    <t>966TP</t>
  </si>
  <si>
    <t>WOS:000305860600010</t>
  </si>
  <si>
    <t>Bratchkova, A; Ivanova, V; Gousterova, A; Laatsch, H</t>
  </si>
  <si>
    <t>Bratchkova, Anna; Ivanova, Veneta; Gousterova, Adriana; Laatsch, Hartmut</t>
  </si>
  <si>
    <t>β-CARBOLINE ALKALOID CONSTITUENTS FROM A THERMOACTINOMYCES SP. STRAIN ISOLATED FROM LIVINGSTON ISLAND, ANTARCTICA</t>
  </si>
  <si>
    <t>Thermoactinomyces sp imbas-14; Antarctica; beta-carboline alkaloids</t>
  </si>
  <si>
    <t>HARMAN; 1-METHYL-BETA-CARBOLINE; IDENTIFICATION; BACTERIUM; COMPOUND; RATS</t>
  </si>
  <si>
    <t>Two natural beta-carboline alkaloids were isolated from the culture filtrate of Thermoactinomyces sp. imbas-14 strain. The organism was isolated from penguin excrements collected on the Antarctic Livingston Island. Based on the effect of temperature on its growth rate, the strain is thermophilic with an optimal growth temperature at 50 degrees C. The compounds were purified by solvent extraction, silica gel column chromatography and preparative TLC and HPLC consecutively. The structures of the two compounds were elucidated by using high-performance liquid chromatography, using double online detection with a diode array spectrophotometer and a mass spectrometer (HPLC-DAD-ESI-MS), and extensive one- and two-dimensional NMR experiments. Both substances - 1-methyl-beta-carboline (harmane)(1) and 1-acetyl-4-methyl-beta-carboline (2), are natural products and are isolated for the first time from the culture filtrate of the antarctic strain Thermoactinomyces sp. imbas-14. These compounds showed activity against important Gram-positive (Bacillus mycoides, Bacillus subtilis) and Gram-negative bacteria (Escherichia colt), yeasts (Candida tropicalis) and filamentous fungi (Penicillium notatum).</t>
  </si>
  <si>
    <t>[Bratchkova, Anna; Ivanova, Veneta; Gousterova, Adriana] Bulgarian Acad Sci, Stephan Angeloff Inst Microbiol, Sofia, Bulgaria; [Laatsch, Hartmut] Univ Gottingen, Inst Organ &amp; Biomol Chem, D-3400 Gottingen, Germany</t>
  </si>
  <si>
    <t>Bulgarian Academy of Sciences; Stephan Angeloff Institute of Microbiology, Bulgarian Academy of Sciences; University of Gottingen</t>
  </si>
  <si>
    <t>Ivanova, V (corresponding author), Bulgarian Acad Sci, Stephan Angeloff Inst Microbiol, Sofia, Bulgaria.</t>
  </si>
  <si>
    <t>venibiva@microbio.bas.bg</t>
  </si>
  <si>
    <t>Operational Programme Human Resources Development; European Social Fund of the European Union; [BG051PO001-3.3.04/32]</t>
  </si>
  <si>
    <t>Operational Programme Human Resources Development; European Social Fund of the European Union;</t>
  </si>
  <si>
    <t>This work was supported by grant BG051PO001-3.3.04/32 financed by Operational Programme Human Resources Development (2007 - 2013) and co-financed by the European Social Fund of the European Union.</t>
  </si>
  <si>
    <t>DIAGNOSIS PRESS LTD</t>
  </si>
  <si>
    <t>SOFIA</t>
  </si>
  <si>
    <t>67 DONDUKOV BLVD, 1504 SOFIA, BULGARIA</t>
  </si>
  <si>
    <t>10.5504/BBEQ.2012.0021</t>
  </si>
  <si>
    <t>961XH</t>
  </si>
  <si>
    <t>WOS:000305502300012</t>
  </si>
  <si>
    <t>Kehew, AE; Piotrowski, JA; Jorgensen, F</t>
  </si>
  <si>
    <t>Kehew, Alan E.; Piotrowski, Jan A.; Jorgensen, Flemming</t>
  </si>
  <si>
    <t>Tunnel valleys: Concepts and controversies - A review</t>
  </si>
  <si>
    <t>EARTH-SCIENCE REVIEWS</t>
  </si>
  <si>
    <t>Tunnel valley; Tunnel channel; Glaciation; Glacial meltwater</t>
  </si>
  <si>
    <t>LAURENTIDE-ICE-SHEET; BURIED QUATERNARY VALLEYS; SOUTH-CENTRAL ALBERTA; NORTH-SEA BASIN; GROUNDWATER-FLOW; SUBGLACIAL DRAINAGE; DRUMLIN FORMATION; LATE PLEISTOCENE; BED CONDITIONS; MEGAFLOOD HYPOTHESIS</t>
  </si>
  <si>
    <t>Although erosion of valleys by subglacial meltwater was first proposed more than 100 years ago, the processes that produced these valleys under past ice sheets have remained a topic of vigorous debate. The most commonly hypothesized mechanisms have included gradual formation by sediment deformation into the incipient valleys under steady state conditions and subsequent transport by meltwater to the ice margin; time-transgressive formation along a retreating ice margin by drainage of surface meltwater to the bed or release of impounded meltwater behind a marginal permafrost wedge, probably catastrophically: and rapid erosion during widespread, catastrophic basal sheetflood events. Recent application of new and enhanced imaging techniques has led to the identification of many new tunnel valleys both on land and offshore throughout the regions glaciated during former ice ages. In addition, new advances in understanding of subglacial hydrology, both from modelling and field instrumentation have helped to constrain the drainage of meltwater from past ice sheet beds. This work elucidates the role of subglacial groundwater flow systems in evacuating meltwater from the bed, but also shows that groundwater flow alone was not enough to maintain ice bed meltwater pore pressures below the level of ice flotation. Both modelling and field observations indicate that subglacial conduits oriented parallel to glacial flow lines reorganize groundwater flow systems into basins containing lateral flow toward conduits cut upward into the ice or downward into the bed. Because of the inability of groundwater flow to account for all the meltwater produced by basal melting, other drainage mechanisms involving both non-channelized and channelized meltwater flow have been proposed. The notion of catastrophic drainage of impounded basal meltwater is still favored by many, and the discovery of hundreds of subglacial lakes beneath the Antarctic Ice Sheet and the likelihood of similar lakes beneath Pleistocene ice sheets provides a source of water for those advocating catastrophic formation for tunnel valleys. Proponents of catastrophic drainage consider the valleys to be channels reflecting the width and perhaps depths of flows that formed them. Tunnel valleys produced by the Scandinavian Ice Sheet have been described and mapped on land as well as on the sea bed. Valleys and networks of valleys, some of which are totally buried, have been linked to 3 or more glaciations. Tunnel valley networks from the last (Weichselian) glaciation in Denmark can be related to specific ice margins developed during ice retreat In North America. most research has focused on tunnel valleys associated with ice margins formed by the last (Wisconsin) glaciation along the southern margin of the Laurentide Ice Sheet (C) 2012 Elsevier B.V. All rights reserved.</t>
  </si>
  <si>
    <t>[Kehew, Alan E.] Western Michigan Univ, Dept Geosci, Kalamazoo, MI 49008 USA; [Piotrowski, Jan A.] Aarhus Univ, Aarhus, Denmark; [Jorgensen, Flemming] Geol Survey Denmark &amp; Greenland, Aarhus, Denmark</t>
  </si>
  <si>
    <t>Western Michigan University; Aarhus University; Geological Survey Of Denmark &amp; Greenland</t>
  </si>
  <si>
    <t>Kehew, AE (corresponding author), Western Michigan Univ, Dept Geosci, Kalamazoo, MI 49008 USA.</t>
  </si>
  <si>
    <t>alan.kehew@wmich.edu</t>
  </si>
  <si>
    <t>Jørgensen, Flemming/C-2233-2009; Piotrowski, Jan A/A-5289-2012</t>
  </si>
  <si>
    <t>Jørgensen, Flemming/0000-0002-2940-5808;</t>
  </si>
  <si>
    <t>0012-8252</t>
  </si>
  <si>
    <t>1872-6828</t>
  </si>
  <si>
    <t>EARTH-SCI REV</t>
  </si>
  <si>
    <t>Earth-Sci. Rev.</t>
  </si>
  <si>
    <t>10.1016/j.earscirev.2012.02.002</t>
  </si>
  <si>
    <t>963BY</t>
  </si>
  <si>
    <t>WOS:000305596300003</t>
  </si>
  <si>
    <t>de Boer, B; van de Wal, RSW; Lourens, LJ; Bintanja, R</t>
  </si>
  <si>
    <t>de Boer, Bas; van de Wal, Roderik S. W.; Lourens, Lucas J.; Bintanja, Richard</t>
  </si>
  <si>
    <t>Transient nature of the Earth's climate and the implications for the interpretation of benthic δ18O records</t>
  </si>
  <si>
    <t>Cenozoic; Transient climate change; Sea level; Temperature; Ice sheet; Oxygen isotopes</t>
  </si>
  <si>
    <t>SEA-LEVEL FLUCTUATIONS; LAST GLACIAL MAXIMUM; OXYGEN-ISOTOPE RATIO; ICE-SHEET; AREAL DISTRIBUTION; TEMPERATURE; OCEAN; GREENLAND; CIRCULATION; ANTARCTICA</t>
  </si>
  <si>
    <t>From the marine benthic delta O-18 records it is known that the Earth's climate has experienced significant variability over the past 40 million years. In general, a number of assumptions are often needed to disentangle the benthic delta O-18 data into its temperature and ice-volume contributions. In this study, a transient (1-D ice-sheet) model is used which overcomes these shortcomings by relating temperature to the benthic delta O-18 data, leading to a self-consistent and continuous record of delta O-18, temperature and sea level. The contribution of land ice to benthic delta O-18 is examined with a set of sensitivity experiments. varying the mean delta O-18 of the ice for different ice sheets. It is shown that the scaling factor of sea-water delta O-18 (delta(w)) to sea level is not constant over the long time scales. However, our sensitivity experiments do show that over the long time scale, the general assumed 1.0-1.1 parts per thousand per 100 m of sea level is in reasonable agreement with our model results. Moreover, the sea-level (ice volume) response to temperature (Delta S/Delta T) is shown to vary through time, with the largest response found when variations in Antarctic ice volume dominates the sea-level variations during the Oligocene to Early Miocene. Furthermore, this response is quite large compared to the individual response of ice sheets during the Plio-Pleistocene, whereas the combined Delta S/Delta T in this period is comparable to that during the Oligocene. Accordingly, the transient behaviour is very important for the interpretation of data records, with respect to climate sensitivity and climate change during the past 40 million years. (c) 2011 Elsevier B.V. All rights reserved.</t>
  </si>
  <si>
    <t>[de Boer, Bas; van de Wal, Roderik S. W.] Univ Utrecht, Inst Marine, NL-3584 CC Utrecht, Netherlands; [Lourens, Lucas J.] Univ Utrecht, Fac Geosci, Dept Earth Sci, NL-3584 CC Utrecht, Netherlands; [Bintanja, Richard] Royal Netherlands Meteorol Inst KNMI, NL-3732 GK De Bilt, Netherlands</t>
  </si>
  <si>
    <t>Utrecht University; Utrecht University; Royal Netherlands Meteorological Institute</t>
  </si>
  <si>
    <t>de Boer, B (corresponding author), Univ Utrecht, Inst Marine, Princetonpl 5, NL-3584 CC Utrecht, Netherlands.</t>
  </si>
  <si>
    <t>b.deboer@uu.nl</t>
  </si>
  <si>
    <t>van de wal, roderik/D-1705-2011</t>
  </si>
  <si>
    <t>van de wal, roderik/0000-0003-2543-3892; Bintanja, Richard/0000-0002-0465-5923; de Boer, Bas/0000-0002-3696-6654</t>
  </si>
  <si>
    <t>Netherlands Organisation of Scientific Research (NWO)</t>
  </si>
  <si>
    <t>Netherlands Organisation of Scientific Research (NWO)(Netherlands Organization for Scientific Research (NWO))</t>
  </si>
  <si>
    <t>Financial support was provided by the Netherlands Organisation of Scientific Research (NWO), in the framework of the Netherlands Polar Programme (NPP). We greatly acknowledge the anonymous reviewers for useful comments which contributed to improvements on the manuscript.</t>
  </si>
  <si>
    <t>JUN 1</t>
  </si>
  <si>
    <t>10.1016/j.palaeo.2011.02.001</t>
  </si>
  <si>
    <t>960HM</t>
  </si>
  <si>
    <t>WOS:000305378600002</t>
  </si>
  <si>
    <t>Gohl, K</t>
  </si>
  <si>
    <t>Gohl, Karsten</t>
  </si>
  <si>
    <t>Basement control on past ice sheet dynamics in the Amundsen Sea Embayment, West Antarctica</t>
  </si>
  <si>
    <t>Geophysics; Bathymetry; Tectonics; Rifting; Plate boundaries; Erosion; Paleo-ice streams</t>
  </si>
  <si>
    <t>PINE ISLAND BAY; SUBGLACIAL TOPOGRAPHY; BOUNDARY-CONDITIONS; MARGIN; RECONSTRUCTION; TECTONICS; GEOMETRY; PACIFIC; SMITH; RIFT</t>
  </si>
  <si>
    <t>The development of landscapes and morphologies follows initially the tectonic displacement structures of the basement and sediments. Such fault zones or lineaments are often exploited by surface erosional processes and play, therefore, an important role in reconstructing past ice sheet dynamics. Observations of bathymetric features of the continental shelf of the Amundsen Sea Embayment and identification of tectonic lineaments from geophysical mapping indicate that the erosional processes of paleo-ice stream flows across the continental shelf followed primarily such lineaments inherited from the tectonic history since the Cretaceous break-up between New Zealand and West Antarctica. Three major ice flow trends correspond to different tectonic phases in east-west, northwest-southeast and north-south directions. East-west oriented basement trends correlate with coastline trends and overlay tectonic lineaments caused by former rift activities. Directional trends with northwest-southeast orientation are observed for the glacial troughs of the western embayment outer shelf, the western Pine Island Bay coastal zones, and the inner Pine Island glacial trough and are associated with a distributed southern plate boundary zone of the former Bellingshausen Plate. The north-south trend of the main Pine Island glacial trough and the north-northeast trend of the Abbot Ice Shelf trough on the outer shelf follow the predicted lineation trend of an eastern branch of the West Antarctic Rift System extending from the Thwaites drainage basin northward into Pine Island Bay. An understanding of this context helps better constrain the geometries and sea-bed substrate conditions for regional paleo-ice sheet models. (c) 2011 Elsevier B.V. All rights reserved.</t>
  </si>
  <si>
    <t>Alfred Wegener Inst Polar &amp; Marine Res, Dept Geosci, D-27568 Bremerhaven, Germany</t>
  </si>
  <si>
    <t>Gohl, K (corresponding author), Alfred Wegener Inst Polar &amp; Marine Res, Dept Geosci, Alten Hafen 26, D-27568 Bremerhaven, Germany.</t>
  </si>
  <si>
    <t>karsten.gohl@awi.de</t>
  </si>
  <si>
    <t>Gohl, Karsten/0000-0002-9558-2116</t>
  </si>
  <si>
    <t>10.1016/j.palaeo.2011.02.022</t>
  </si>
  <si>
    <t>WOS:000305378600005</t>
  </si>
  <si>
    <t>Bart, PJ; Iwai, M</t>
  </si>
  <si>
    <t>Bart, Philip J.; Iwai, Masao</t>
  </si>
  <si>
    <t>The overdeepening hypothesis: How erosional modification of the marine-scape during the early Pliocene altered glacial dynamics on the Antarctic Peninsula's Pacific margin</t>
  </si>
  <si>
    <t>Antarctic Peninsula; Early Pliocene; Overdeepening; Warm water intrusion; Grounding event; ODP Leg 178</t>
  </si>
  <si>
    <t>CONTINENTAL RISE WEST; TROUGH-MOUTH FAN; ROSS ICE SHELF; SOUTHERN-OCEAN; PRYDZ BAY; THERMOHALINE CIRCULATION; SHEET; SEA; DIATOM; SEDIMENTATION</t>
  </si>
  <si>
    <t>A new synthesis of diatom assemblage data from Ocean Drilling Program (ODP) Leg 178 suggests that the Pacific margin of the Antarctic Peninsula underwent a transition from a shallow shelf to an overdeepened shelf in the early Pliocene. This modification of the marine-scape was due to a relatively brief interval of erosion begun at 5.2 Ma. The erosion was caused by high frequency advances of a super-inflated Antarctic Peninsula Ice Sheet (APIS). The frequent advances of the higher elevation ice sheet were a consequence of abundant moisture delivered to the region as the Polar Front migrated southward. By 5.12 Ma, ice streams incised foredeepened glacial troughs into basement on the inner shelf. Sediment eroded from the inner shelf was transported through cross-shelf troughs and deposited in large trough-mouth-fan depocenters on the upper slope. Overdeepened shelf conditions became widespread as troughs widened and intra-trough banks beveled. By 4.25 Ma, trough-mouth-fan construction ceased and subsequent advances of the APIS have been infrequent. We propose that the reduced frequency of grounding events signaled the transition to a modern foredeepened and overdeepened shelf. We hypothesize that a new glacial dynamic emerged in the early Pliocene because overdeepening led to accelerated heat exchange between the ocean and APIS in two ways. Firstly, the overdeepened shelf required that a larger area of the grounded ice sheet's marine terminus be in contact with the ocean. Secondly, erosional deepening of the outer shelf was equivalent to lowering a shelf edge sill that permitted frequent and voluminous intrusion of warm circumpolar deep waters that upwell in the region. The resultant accelerated melting at the APIS marine terminus, caused the super-inflated APIS to deflate on the mainland, which further decreased the possibility that grounded ice could advance on the overdeepened shelf. (c) 2011 Elsevier B.V. All rights reserved.</t>
  </si>
  <si>
    <t>[Bart, Philip J.] Louisiana State Univ, Dept Geol &amp; Geophys, Baton Rouge, LA 70803 USA; [Iwai, Masao] Kochi Univ, Dept Nat Environm Sci, Kochi 7808520, Japan</t>
  </si>
  <si>
    <t>Louisiana State University System; Louisiana State University; Kochi University</t>
  </si>
  <si>
    <t>Bart, PJ (corresponding author), Louisiana State Univ, Dept Geol &amp; Geophys, Howe Russell Complex E235, Baton Rouge, LA 70803 USA.</t>
  </si>
  <si>
    <t>pbart@lsu.edu; iwaim@kochi-u.ac.jp</t>
  </si>
  <si>
    <t>Iwai, Masao/0000-0001-7489-1262</t>
  </si>
  <si>
    <t>US National Science Foundation Office of Polar Programs</t>
  </si>
  <si>
    <t>US National Science Foundation Office of Polar Programs(National Science Foundation (NSF))</t>
  </si>
  <si>
    <t>This research was funded by the US National Science Foundation Office of Polar Programs. Seismic grid PD88 was acquired by John Anderson. Seismic grid NBPO2 was acquired by Phil Bart.</t>
  </si>
  <si>
    <t>10.1016/j.palaeo.2011.06.010</t>
  </si>
  <si>
    <t>WOS:000305378600006</t>
  </si>
  <si>
    <t>Bart, PJ; Cone, AN</t>
  </si>
  <si>
    <t>Bart, Philip J.; Cone, Amy N.</t>
  </si>
  <si>
    <t>Early stall of West Antarctic Ice Sheet advance on the eastern Ross Sea middle shelf followed by retreat at 27,500 14C yr BP</t>
  </si>
  <si>
    <t>Last Glacial Maximum; Antarctica; Ross Sea; Radiocarbon; Foraminifera</t>
  </si>
  <si>
    <t>PLEISTOCENE-HOLOCENE RETREAT; GROUNDING-LINE RETREAT; LAST GLACIAL MAXIMUM; TERRA-NOVA BAY; VICTORIA LAND; TAYLOR VALLEY; PRYDZ BAY; RADIOCARBON; LEVEL; RECORD</t>
  </si>
  <si>
    <t>Marine geological and geophysical data suggest that the West Antarctic Ice Sheet (WAIS) deposited three thick seismically-resolvable units in the eastern Ross Sea since the Last Glacial Maximum (LGM) but the chronology of these grounding events is debated. Existing ice-retreat chronologies for the eastern Ross Sea are considered suspect because nearly all have been developed using radiocarbon dating of acid-insoluble organics (AID) from bulk sediment. We used a new strategy to isolate in situ forams from diamict sediment deposited at the middle-shelf grounding-zone wedge (GZW) - a subaqueous ice-marginal landform previously interpreted to represent deposition during the third grounding event since the LGM advance to the shelf edge. Here we present a synthesis of our new radiocarbon dates of foram tests and AIO with previously published radiocarbon dates. We propose that the WAIS's LGM advance in the eastern-Ross Sea sector reached the middle shelf circa 27,500 C-14 yr BP and that open-marine sedimentation began shortly thereafter. There is as of yet no clear explanation for why WAIS retreat in this sector of Antarctica apparently began prior to the peak of the last glacial cold period. A precipitation deficit, localized warm water intrusion, an ice dynamic response in the absence of climate forcing or another as of yet unknown forcing mechanism could be responsible. (c) 2011 Elsevier B.V. All rights reserved.</t>
  </si>
  <si>
    <t>[Bart, Philip J.; Cone, Amy N.] Louisiana State Univ, Dept Geol &amp; Geophys, Baton Rouge, LA 70803 USA</t>
  </si>
  <si>
    <t>Bart, PJ (corresponding author), Louisiana State Univ, Dept Geol &amp; Geophys, Howe Russell Bldg E235, Baton Rouge, LA 70802 USA.</t>
  </si>
  <si>
    <t>NSF Office of Polar Programs</t>
  </si>
  <si>
    <t>Funding for this project was provided by at grant to Bart from the NSF Office of Polar Programs. A 2-year teaching assistantship was provided to Cone by the LSU Department of Geology and Geophysics. Dr. Charlotte Sjunneskog provided assistance in the design of the floatation technique. Dr. Barun Sen Gupta identified forams from SEM images. Dr. Xiaogang Xie instructed Cone with SEM imaging at LSU. Dr. Brad Rosenheim provided valuable assistance on the proper use of his binary-mixing calculations that helped guide our interpretation of radiocarbon results. The members of the NBP0802-03 expedition (Edison Chouset ship crew and Raytheon Polar Services support) assisted the geophysical and geological data acquisition.</t>
  </si>
  <si>
    <t>10.1016/j.palaeo.2011.08.007</t>
  </si>
  <si>
    <t>WOS:000305378600007</t>
  </si>
  <si>
    <t>Galeotti, S; Lanci, L; Florindo, F; Naish, TR; Sagnotti, L; Sandroni, S; Talarico, FM</t>
  </si>
  <si>
    <t>Galeotti, Simone; Lanci, Luca; Florindo, Fabio; Naish, Tim R.; Sagnotti, Leonardo; Sandroni, Sonia; Talarico, Franco M.</t>
  </si>
  <si>
    <t>Cyclochronology of the Eocene-Oligocene transition from the Cape Roberts Project-3 core, Victoria Land basin, Antarctica</t>
  </si>
  <si>
    <t>Antarctica; CRP-3 drill hole; Cyclostratigraphy; Eocene-Oligocene climate transition</t>
  </si>
  <si>
    <t>ICE-SHEET; CLIMATE; SEA; GLACIATION; OSCILLATIONS; MARGIN</t>
  </si>
  <si>
    <t>About 34 million years ago, at the Eocene-Oligocene (E-O) transition, Earth's climate underwent a substantial change from relatively ice-free green house conditions to a glacial state marked by the establishment of a permanent ice sheet on Antarctica. Our understanding of the Antarctic cryospheric evolution across the E-O climate transition relies on indirect marine geochemical proxies and, hitherto, it has not been possible to reconcile the pattern of inferred ice-sheet growth from these far-field proxy records with direct physical evidence of ice sheet behaviour from the proximal Antarctic continental margin. Here we present a correlation of cyclical changes recorded in the CRP-3 drill hole sediment core from the western Ross Sea, that are related to oscillations in the volume of a growing East Antarctic Ice Sheet, with well dated lower latitude records of orbital forcing and climate change across the E-O transition. We evaluate the results in the light of the age model available for the CRP-3A succession. Our cyclostratigraphy developed on the basis of repetitive vertical facies changes and clast peak abundances within sequences matches the floating cyclochronology developed in deep-sea successions for major glacial events. The astrochronological calibration of the CRP-3 succession represents the first high-resolution correlation of direct physical evidence of orbitally controlled glaciation from the Antarctic margin to geochemical records of paleoclimate changes across the E-O climate transition. (c) 2011 Elsevier B.V. All rights reserved.</t>
  </si>
  <si>
    <t>[Galeotti, Simone; Lanci, Luca] Univ Urbino, Dipartimento Sci Terra Vita &amp; Ambiente, I-61029 Urbino, Italy; [Florindo, Fabio; Sagnotti, Leonardo] Ist Nazl Geofis &amp; Vulcanol, I-00143 Rome, Italy; [Naish, Tim R.] Victoria Univ Wellington, Antarctic Res Ctr, Wellington, New Zealand; [Naish, Tim R.] GNS Sci, Lower Hutt, New Zealand; [Sandroni, Sonia] Univ Siena, Museo Nazl Antartide, I-53100 Siena, Italy; [Talarico, Franco M.] Univ Siena, Dipartimento Sci Terra, I-53100 Siena, Italy</t>
  </si>
  <si>
    <t>University of Urbino; Istituto Nazionale Geofisica e Vulcanologia (INGV); Victoria University Wellington; GNS Science - New Zealand; University of Siena; University of Siena</t>
  </si>
  <si>
    <t>Galeotti, S (corresponding author), Univ Urbino, Dipartimento Sci Terra Vita &amp; Ambiente, Campus Sci Enrico Mattei, I-61029 Urbino, Italy.</t>
  </si>
  <si>
    <t>simone.galeotti@uniurb.it</t>
  </si>
  <si>
    <t>Sagnotti, Leonardo/AFM-3916-2022; Florindo, Fabio/M-1459-2019; Florindo, Fabio/F-4119-2010; Sandroni, Sonia/C-7188-2008; Florindo, Fabio/AAU-2548-2021; talarico, franco/G-9472-2012; Lanci, Luca/J-8823-2015</t>
  </si>
  <si>
    <t>Sagnotti, Leonardo/0000-0003-3944-201X; Florindo, Fabio/0000-0002-6058-9748; Florindo, Fabio/0000-0002-6058-9748; Sandroni, Sonia/0000-0002-7941-7145; Galeotti, Simone/0000-0001-9636-9344; Naish, Tim/0000-0002-1185-9932; talarico, franco/0000-0002-7254-4301; Lanci, Luca/0000-0002-3389-6371</t>
  </si>
  <si>
    <t>10.1016/j.palaeo.2011.08.011</t>
  </si>
  <si>
    <t>WOS:000305378600011</t>
  </si>
  <si>
    <t>Hájek, J; Váczi, P; Barták, M; Jahnová, L</t>
  </si>
  <si>
    <t>Hajek, J.; Vaczi, P.; Bartak, M.; Jahnova, L.</t>
  </si>
  <si>
    <t>Interspecific differences in cryoresistance of lichen symbiotic algae of genus Trebouxia assessed by cell viability and chlorophyll fluorescence</t>
  </si>
  <si>
    <t>CRYOBIOLOGY</t>
  </si>
  <si>
    <t>Freezing temperature; Sub-zero temperature; Cooling protocols; Lichenised algae; Quantum yield</t>
  </si>
  <si>
    <t>PHOTOSYNTHETIC ELECTRON-TRANSPORT; CRYOPRESERVATION-RECALCITRANCE; ANTARCTIC LICHENS; ICE NUCLEATION; STRESS; RESISTANCE; TEMPERATURES; IRRADIANCE; MITIS; PLANT</t>
  </si>
  <si>
    <t>Unicellular algae of genus Trebouxia are the most frequent symbiotic photobionts found in lichen species adapted to extreme environments. When lichenised, they cope well with freezing temperature of polar regions, high-mountains environments and were successfully tested in open-space experiments. Trebouxia sp. is considered potential model species for exobiological experiments. The aim of this paper is to evaluate cryoresistence of Trebouxia sp. when isolated from lichen thalli and cultivated on media. In our study, six algal strains were exposed to repeated freezing/thawing cycles. The strains of Trebouxia sp. (freshly isolated from lichen Lasallia pustulata), Trebouxia erici, Trebouxia asymmetrica, Trebouxia glomerata, Trebouxia irregularis, and Trebouxia jamesii from culture collection were cooled from 25 to -40 degrees C at two different rates. The strains were also shock frozen in liquid nitrogen. After repeated treatment, the strains were inoculated and cultivated on a BBM agar for 7 days. Then, cell viability was assessed as relative share of living cells. Potential quantum yield of photochemical reactions in PS IIl (F-V/F-M), and effective quantum yield of photochemical reactions in PS II (Phi(PSIII)) were measured. While the slow cooling rate (0.5 degrees C min(-1)) did not cause any change in viability, F-V/F-M, and Phi(PSIII), the fast cooling rate (6.0 degrees C min(-1)) caused species-specific decrease in all parameters. The most pronounced interspecific differences in cryoresistance were found after shock freezing and consequent cultivation. While T. asymmetrica and T. jamesii exhibited low viability of living cells (18.9% and 34.7%) and full suppression of photosynthetic processes, the other strains had viability over 60%, and unaffected values of F-V/F-M, and Phi(PSIII). This indicated a high degree of cryoresistance of T. glomerata, T. erici, T. irregularis and Trebouxia sp. strains. These strains could be used for detailed investigation of underlying physiological mechanisms and as models for astrobiological tests taken in the Earth facilities. (C) 2012 Elsevier Inc. All rights reserved.</t>
  </si>
  <si>
    <t>[Hajek, J.; Vaczi, P.; Bartak, M.; Jahnova, L.] Masaryk Univ, Dept Expt Biol, Div Plant Physiol, Fac Sci, CZ-62500 Brno, Czech Republic</t>
  </si>
  <si>
    <t>Masaryk University Brno</t>
  </si>
  <si>
    <t>Hájek, J (corresponding author), Masaryk Univ, Dept Expt Biol, Div Plant Physiol, Fac Sci, Kamenice 5, CZ-62500 Brno, Czech Republic.</t>
  </si>
  <si>
    <t>jhajek@sci.muni.cz</t>
  </si>
  <si>
    <t>Hájek, Josef/F-4694-2019; Barták, Miloš/F-4714-2019; , Peter/AAF-2323-2021</t>
  </si>
  <si>
    <t>Hájek, Josef/0000-0002-2679-1707; , Peter/0000-0003-1200-8934; Bartak, Milos/0000-0002-3898-3626</t>
  </si>
  <si>
    <t>CzechPolar, Ministry of Education, Sports and Youth of the Czech Republic [KJB601630808 GAAV, LM2010009]</t>
  </si>
  <si>
    <t>CzechPolar, Ministry of Education, Sports and Youth of the Czech Republic</t>
  </si>
  <si>
    <t>The experiments reported in this study were supported by the Projects Nos. KJB601630808 GAAV, and LM2010009 (CzechPolar, Ministry of Education, Sports and Youth of the Czech Republic). The experiments were realised in Laboratory of Extreme Enviroment Life (Czech Polar infrastructure).</t>
  </si>
  <si>
    <t>0011-2240</t>
  </si>
  <si>
    <t>1090-2392</t>
  </si>
  <si>
    <t>Cryobiology</t>
  </si>
  <si>
    <t>10.1016/j.cryobiol.2012.02.002</t>
  </si>
  <si>
    <t>957MP</t>
  </si>
  <si>
    <t>WOS:000305167400011</t>
  </si>
  <si>
    <t>Park, KS; Do, H; Lee, JH; Park, SI; Kim, EJ; Kim, SJ; Kang, SH; Kim, HJ</t>
  </si>
  <si>
    <t>Park, Kyoung Sun; Do, Hackwon; Lee, Jun Hyuck; Park, Seung Il; Kim, Eun Jung; Kim, Soon-Jong; Kang, Sung-Ho; Kim, Hak Jun</t>
  </si>
  <si>
    <t>Characterization of the ice-binding protein from Arctic yeast Leucosporidium sp AY30</t>
  </si>
  <si>
    <t>Ice-binding protein; Reversible dimer; Thermal hysteresis; N-linked glycosylation; Leucosporidium sp.</t>
  </si>
  <si>
    <t>HYPERACTIVE ANTIFREEZE PROTEIN; THERMAL HYSTERESIS PROTEIN; FRAGILARIOPSIS-CYLINDRUS BACILLARIOPHYCEAE; SEA-ICE; ANTARCTIC BACTERIUM; TENEBRIO-MOLITOR; FUNCTIONAL-CHARACTERIZATION; PURIFICATION; EXPRESSION; PLANT</t>
  </si>
  <si>
    <t>Previously, we reported the ice-binding protein (LeIBP) from the Arctic yeast Leucosporidium sp. AY30. In this study we provide physicochemical characterization of this IBP, which belongs to a class of IBPs that exhibited no significant similarity in primary structure to other known antifreeze proteins (AFPs). We compared native, glycosylated and non-glycosylated recombinant LeIBPs. Interestingly, size-exclusion chromatography and analytical ultracentrifugation revealed that LeIBP self-associates with a reversible dimer with K-d values in the range 3.45-7.24 x 10(-6) M. Circular dichroism (CD) spectra showed that LeIBP, glycosylated or non-glycosylated, is predominantly composed of beta-strand secondary structural elements (54.6%), similar to other beta-helical antifreeze proteins (AFPs). In thermal hysteresis (TH) activity measurements, native LeIBP was twice more active (0.87 degrees C at 15 mg/mL) than that of the recombinant IBPs (0.43-0.42 degrees C at 10.8 mg/mL). This discrepancy is probably due to uncharacterized enhancing factors carried over during ice affinity purification, because glycosylated and non-glycosylated recombinant proteins displayed similarly low activity. Ice recrystallization inhibition (RI) activities of the native and recombinant LeIBPs were comparable. Measurements of CD, TH activity, and RI showed that glycosylation does not cause structural changes and is not required for function. An ice-etching experiment using green fluorescent protein-tagged IBP revealed that LeIBP binds, just as hyperactive AFPs, to both basal and pyramidal prism planes of the ice crystal. Taken together, our results indicate that LeIBP, structurally similar to hyperactive AFPs, is moderately active and that a reversible dimer has no effect on its activity. (C) 2012 Elsevier Inc. All rights reserved.</t>
  </si>
  <si>
    <t>[Park, Kyoung Sun; Do, Hackwon; Lee, Jun Hyuck; Kim, Eun Jung; Kang, Sung-Ho; Kim, Hak Jun] Korea Polar Res Inst, Div Polar Life Sci, Inchon 406840, South Korea; [Park, Kyoung Sun; Do, Hackwon; Lee, Jun Hyuck; Kang, Sung-Ho; Kim, Hak Jun] Univ Sci &amp; Technol, Dept Polar Sci, Inchon 406840, South Korea; [Park, Seung Il] Korea Ocean Res &amp; Dev Inst, Ansan 426744, South Korea; [Kim, Soon-Jong] Mokpo Natl Univ, Dept Chem, Chonam 534729, South Korea</t>
  </si>
  <si>
    <t>Korea Polar Research Institute (KOPRI); Korea Institute of Ocean Science &amp; Technology (KIOST); Korea Institute of Ocean Science &amp; Technology (KIOST); Mokpo National University</t>
  </si>
  <si>
    <t>Korea Research Council of Fundamental Science &amp; Technology (KRCF); Korea Polar Research Institute (KOPRI) [PG11010, PE11100]</t>
  </si>
  <si>
    <t>This work was supported by the National Agenda Project from The Korea Research Council of Fundamental Science &amp; Technology (KRCF) and Korea Polar Research Institute (KOPRI) (Grant Nos. PG11010 and PE11100).</t>
  </si>
  <si>
    <t>10.1016/j.cryobiol.2012.02.014</t>
  </si>
  <si>
    <t>WOS:000305167400021</t>
  </si>
  <si>
    <t>Fort, J; Pettex, E; Tremblay, Y; Lorentsen, SH; Garthe, S; Votier, S; Pons, JB; Siorat, F; Furness, RW; Grecian, WJ; Bearhop, S; Montevecchi, WA; Grémillet, D</t>
  </si>
  <si>
    <t>Fort, Jerome; Pettex, Emeline; Tremblay, Yann; Lorentsen, Svein-Hakon; Garthe, Stefan; Votier, Stephen; Pons, Jean Baptiste; Siorat, Francois; Furness, Robert W.; Grecian, W. James; Bearhop, Stuart; Montevecchi, William A.; Gremillet, David</t>
  </si>
  <si>
    <t>Meta-population evidence of oriented chain migration in northern gannets (Morus bassanus)</t>
  </si>
  <si>
    <t>FRONTIERS IN ECOLOGY AND THE ENVIRONMENT</t>
  </si>
  <si>
    <t>TRACKING; SEABIRDS</t>
  </si>
  <si>
    <t>Although oriented migrations have been identified in many terrestrial bird species, the post-breeding-season movements of seabirds are generally regarded as dispersive. We used geolocator tags to reveal post-breeding movements and winter distribution of northern gannets (Morus bassanus) at a meta-population scale. By focusing on five breeding colonies of European gannets, we show that their breeding and wintering grounds are connected by a major flyway running along the coasts of Western Europe and Africa. Moreover, maximum winter distance to colony was similar across colonies despite their wide latitudinal range. In contrast with the general opinion that large pelagic birds such as gannets have unlimited ranges beyond the breeding season, our findings strongly suggest oriented chain migration in northern gannets (a pattern in which populations move uniformly southward) and highlight the benefit of meta-population approaches for studying seabird movements. We argue that the inclusion of such processes in ocean management plans is essential to improve efforts in marine biodiversity conservation.</t>
  </si>
  <si>
    <t>[Fort, Jerome] Aarhus Univ, Dept Biosci, Roskilde, Denmark; [Pettex, Emeline; Pons, Jean Baptiste; Gremillet, David] Ctr Ecol Fonct &amp; Evolut, Montpellier, France; [Pettex, Emeline] Ctr Rech Ecosyst Altitude, Observ Mt Blanc, Chamonix Mt Blanc, France; [Tremblay, Yann] Ctr Rech Halieut Mediterraneenne &amp; Trop, Inst Rech Dev, Sete, France; [Lorentsen, Svein-Hakon] Norwegian Inst Nat Res, N-7004 Trondheim, Norway; [Garthe, Stefan] Univ Kiel, Res &amp; Technol Ctr, Busum, Germany; [Votier, Stephen; Grecian, W. James] Univ Plymouth, Marine Biol &amp; Ecol Res Ctr, Plymouth PL4 8AA, Devon, England; [Siorat, Francois] Stn LPO Ile Grande, Pleumeur Boudou, France; [Furness, Robert W.] Univ Glasgow, Coll Med Vet &amp; Life Sci, Glasgow, Lanark, Scotland; [Bearhop, Stuart] Univ Exeter, Sch Biosci, Penryn, England; [Montevecchi, William A.] Mem Univ Newfoundland, Cognit &amp; Behav Ecol Program, St John, NF, Canada; [Gremillet, David] Univ Cape Town, Percy FitzPatrick Inst, Ctr Excellence, ZA-7700 Rondebosch, South Africa</t>
  </si>
  <si>
    <t>Aarhus University; Universite PSL; Ecole Pratique des Hautes Etudes (EPHE); Institut Agro; Montpellier SupAgro; CIRAD; Centre National de la Recherche Scientifique (CNRS); Institut de Recherche pour le Developpement (IRD); Universite Paul-Valery; Universite de Montpellier; Institut de Recherche pour le Developpement (IRD); Norwegian Institute Nature Research; University of Kiel; University of Plymouth; University of Glasgow; University of Exeter; Memorial University Newfoundland; University of Cape Town</t>
  </si>
  <si>
    <t>Fort, Jerome/F-1157-2016; Grecian, James/A-7689-2012; Pettex, Emeline/AAD-1850-2021; Votier, Stephen/IUO-0154-2023; Gremillet, David/W-1946-2018; Bearhop, Stuart/G-3105-2012</t>
  </si>
  <si>
    <t>Fort, Jerome/0000-0002-0860-6707; Grecian, James/0000-0002-6428-719X; Pettex, Emeline/0000-0002-3395-8405; Votier, Stephen/0000-0002-0976-0167; Gremillet, David/0000-0002-7711-9398; Bearhop, Stuart/0000-0002-5864-0129</t>
  </si>
  <si>
    <t>European Union [Q5RS-2001-00839]; Directorate for Nature Management and SEAPOP; Marie Curie lntra-European Fellowship</t>
  </si>
  <si>
    <t>European Union(European Union (EU)); Directorate for Nature Management and SEAPOP; Marie Curie lntra-European Fellowship(Marie Curie ActionsEuropean Union (EU))</t>
  </si>
  <si>
    <t>We thank G Morgan, L Morgan, M Witt, N El Ksaby, and M Le Nuz for field assistance, RA Phillips for having provided and analyzed data from two GLS units from the British Antarctic Survey, and L Pichegru for comments on an earlier version of the paper. Permission to enter the Norwegian colonies was issued by the County Governors of Nordland and Finmark; permission to handle the birds was given by the Norwegian Directorate for Nature Management and the Norwegian Animal Research Authority. Fieldwork at Rouzic was performed by permission of the Ministere Francais de l'Alimentation, de l'Agriculture et de la Peche (permit 34369). H Hamilton-Dalrymple allowed us to work on Bass Rock, where fieldwork was permitted by Scottish Natural Heritage and the British Trust for Ornithology (permit A2282), and funded by European Union project DISCBIRD (contract Q5RS-2001-00839). Fieldwork on Grassholm Island was performed by permission of the Royal Society for the Protection of Birds and the Countryside Council for Wales. The Norwegian part of the study was financed by the Directorate for Nature Management and SEAPOP (www.seapop.no). JF is supported by a Marie Curie lntra-European Fellowship within the 7th Framework Programme.</t>
  </si>
  <si>
    <t>1540-9295</t>
  </si>
  <si>
    <t>1540-9309</t>
  </si>
  <si>
    <t>FRONT ECOL ENVIRON</t>
  </si>
  <si>
    <t>Front. Ecol. Environ.</t>
  </si>
  <si>
    <t>10.1890/110194</t>
  </si>
  <si>
    <t>957NV</t>
  </si>
  <si>
    <t>WOS:000305170600014</t>
  </si>
  <si>
    <t>Millar, CD; Subramanian, S; Heupink, TH; Swaminathan, S; Baroni, C; Lambert, DM</t>
  </si>
  <si>
    <t>Millar, Craig D.; Subramanian, Sankar; Heupink, Tim H.; Swaminathan, Siva; Baroni, Carlo; Lambert, David M.</t>
  </si>
  <si>
    <t>Adelie penguins and temperature changes in Antarctica: a long-term view</t>
  </si>
  <si>
    <t>INTEGRATIVE ZOOLOGY</t>
  </si>
  <si>
    <t>Adelie penguins; climate change; global warming; penguin evolution</t>
  </si>
  <si>
    <t>RECENT CLIMATE-CHANGE; ANCIENT-DNA; EMPEROR PENGUIN; SOUTHERN-OCEAN; RANGE SHIFTS; RESPONSES; POPULATION; EVOLUTION; BIOGEOGRAPHY; INSTABILITY</t>
  </si>
  <si>
    <t>During the summer months, Adelie penguins represent the dominant biomass of terrestrial Antarctica. Literally millions of individuals nest in ice-free areas around the coast of the continent. Hence, these modern populations of Adelie penguins have often been championed as an ideal biological indicator of ecological and environmental changes that we currently face. In addition, Adelie penguins show an extraordinary record of sub-fossil remains, dating back to the late Pleistocene. At this time, temperatures were much lower than now. Hence, this species offers unique long-term information, at both the genomic and ecological levels, about how a species has responded to climate change over more than 40 000 years.</t>
  </si>
  <si>
    <t>[Subramanian, Sankar; Heupink, Tim H.; Lambert, David M.] Griffith Univ, Griffith Sch Environm, Nathan, Qld 4111, Australia; [Millar, Craig D.] Univ Auckland, Allan Wilson Ctr Mol Ecol &amp; Evolut, Auckland 1, New Zealand; [Subramanian, Sankar; Heupink, Tim H.; Lambert, David M.] Griffith Univ, Sch Biomol &amp; Phys Sci, Nathan, Qld 4111, Australia; [Swaminathan, Siva] Environm Protect Training &amp; Res Inst, Hyderabad, Andhra Pradesh, India; [Baroni, Carlo] Univ Pisa, Dept Earth Sci, Pisa, Italy</t>
  </si>
  <si>
    <t>Griffith University; University of Auckland; Massey University; Griffith University; University of Pisa</t>
  </si>
  <si>
    <t>Lambert, DM (corresponding author), Griffith Univ, Griffith Sch Environm, 170 Kessels Rd, Nathan, Qld 4111, Australia.</t>
  </si>
  <si>
    <t>Heupink, Tim H/B-3609-2014; Baroni, Carlo/D-8184-2012; Subramanian, Sankar/B-6647-2008</t>
  </si>
  <si>
    <t>Baroni, Carlo/0000-0001-5905-4650; Lambert, David/0000-0002-5821-3637; Subramanian, Sankar/0000-0002-2375-3254; Heupink, Tim/0000-0001-6237-3898</t>
  </si>
  <si>
    <t>Antarctica New Zealand; Italian Antarctic Programme; Australia-India Strategic Research Fund; Australian Research Council; Griffith University</t>
  </si>
  <si>
    <t>Antarctica New Zealand; Italian Antarctic Programme; Australia-India Strategic Research Fund(Australian GovernmentDepartment of Industry, Innovation and Science); Australian Research Council(Australian Research Council); Griffith University(Griffith University - Gold Coast Campus)</t>
  </si>
  <si>
    <t>This research has been supported by Antarctica New Zealand and the Italian Antarctic Programme. Genomic studies have been made possible by a grant from the Australia-India Strategic Research Fund to Lambert and Swaminathan and support from the Australian Research Council in the form of a Linkage Grant. We are also grateful for support from respective institutions and Heupink thanks Griffith University for postgraduate support.</t>
  </si>
  <si>
    <t>1749-4877</t>
  </si>
  <si>
    <t>INTEGR ZOOL</t>
  </si>
  <si>
    <t>Integr. Zool.</t>
  </si>
  <si>
    <t>10.1111/j.1749-4877.2012.00288.x</t>
  </si>
  <si>
    <t>957TB</t>
  </si>
  <si>
    <t>WOS:000305184600002</t>
  </si>
  <si>
    <t>Qin, QL; Xie, BB; Shu, YL; Rong, JC; Zhao, DL; Zhang, XY; Chen, XL; Zhou, BC; Zhang, YZ</t>
  </si>
  <si>
    <t>Qin, Qi-Long; Xie, Bin-Bin; Shu, Yan-Li; Rong, Jin-Cheng; Zhao, Dian-Li; Zhang, Xi-Ying; Chen, Xiu-Lan; Zhou, Bai-Cheng; Zhang, Yu-Zhong</t>
  </si>
  <si>
    <t>Genome Sequence of Proteorhodopsin-Containing Sea Ice Bacterium Glaciecola punicea ACAM 611T</t>
  </si>
  <si>
    <t>GENES</t>
  </si>
  <si>
    <t>Here, we report the draft genome sequence of Antarctic sea ice bacterium Glaciecola punicea ACAM 611(T), the type species of the genus Glaciecola. A blue-light-absorbing proteorhodopsin gene is present in the 3.08-Mb genome. This genome sequence can facilitate the study of the physiological metabolisms and ecological roles of sea ice bacteria.</t>
  </si>
  <si>
    <t>[Qin, Qi-Long; Xie, Bin-Bin; Shu, Yan-Li; Rong, Jin-Cheng; Zhao, Dian-Li; Zhang, Xi-Ying; Chen, Xiu-Lan; Zhou, Bai-Cheng; Zhang, Yu-Zhong] Shandong Univ, State Key Lab Microbial Technol, Marine Biotechnol Res Ctr, Jinan 250100, Peoples R China; [Qin, Qi-Long] Shandong Univ, Key Lab Colloid &amp; Interface Chem, Minist Educ, Jinan 250100, Peoples R China</t>
  </si>
  <si>
    <t>Shandong University; Shandong University</t>
  </si>
  <si>
    <t>Zhang, YZ (corresponding author), Shandong Univ, State Key Lab Microbial Technol, Marine Biotechnol Res Ctr, Jinan 250100, Peoples R China.</t>
  </si>
  <si>
    <t>zhangyz@sdu.edu.cn</t>
  </si>
  <si>
    <t>Rong, Jin-Cheng/JRW-4323-2023; Yan, Miaochen/JLL-5061-2023; Zhang, Xi/HJH-1211-2023; Lin, Fan/JZT-1441-2024</t>
  </si>
  <si>
    <t>Lin, Fan/0000-0002-7330-3833</t>
  </si>
  <si>
    <t>National Natural Science Foundation of China [31025001, 31070061, 40876072, 31000034, 31170055]; Natural Science Foundation of Shandong Province, China [JQ200910, ZR2009DZ002]; Foundation for Young Scientists in Shandong Province [2007BS07007]; Independent Innovation Foundation of Shandong University [2009TS079, 2011DX002]</t>
  </si>
  <si>
    <t>National Natural Science Foundation of China(National Natural Science Foundation of China (NSFC)); Natural Science Foundation of Shandong Province, China(Natural Science Foundation of Shandong Province); Foundation for Young Scientists in Shandong Province; Independent Innovation Foundation of Shandong University</t>
  </si>
  <si>
    <t>The work was supported by the National Natural Science Foundation of China (grants 31025001, 31070061, 40876072, 31000034, and 31170055), the Natural Science Foundation of Shandong Province, China (grants JQ200910 and ZR2009DZ002), the Foundation for Young Scientists in Shandong Province (grant 2007BS07007), and the Independent Innovation Foundation of Shandong University (grants 2009TS079 and 2011DX002).</t>
  </si>
  <si>
    <t>10.1128/JB.00463-12</t>
  </si>
  <si>
    <t>954WJ</t>
  </si>
  <si>
    <t>WOS:000304978400029</t>
  </si>
  <si>
    <t>Wake, BD; Hassler, CS; Bowie, AR; Haddad, PR; Butler, ECV</t>
  </si>
  <si>
    <t>Wake, Bronwyn D.; Hassler, Christel S.; Bowie, Andrew R.; Haddad, Paul R.; Butler, Edward C. V.</t>
  </si>
  <si>
    <t>PHYTOPLANKTON SELENIUM REQUIREMENTS: THE CASE FOR SPECIES ISOLATED FROM TEMPERATE AND POLAR REGIONS OF THE SOUTHERN HEMISPHERE</t>
  </si>
  <si>
    <t>Antarctic; diatom; Emiliania huxleyi; marine; micronutrient; Phaeocystis; photosynthesis; phytoplankton; selenium</t>
  </si>
  <si>
    <t>DIATOM THALASSIOSIRA-PSEUDONANA; EMILIANIA-HUXLEYI; MARINE DIATOM; GLUTATHIONE-PEROXIDASE; GYMNODINIUM-CATENATUM; HAPTOPHYTE ALGA; ATLANTIC-OCEAN; MICROALGAE; GROWTH; SELENOPROTEIN</t>
  </si>
  <si>
    <t>A series of laboratory culture experiments was used to investigate the effect of selenium (Se, 010 nM) on the growth, cellular volume, photophysiology, and pigments of two temperate and four polar oceanic phytoplankton species [coccolithophore Emiliania huxleyi (Lohmann) W. W. Hay et H. P. Mohler, cyanobacterium Synechococcus sp., prymnesiophyte Phaeocystis sp., and three diatomsFragilariopsis cylindrus (Grunow) Kriegar, Chaetoceros sp., and Thalassiosira antarctica G. Karst.]. Only Synechoccocus sp. and Phaeocystis sp. did not show any requirement for Se. Under Se-deficient conditions, the growth rate of E. huxleyi was decreased by 1.6-fold, whereas cellular volume was increased by 1.9-fold. Se limitation also decreased chl a (2.5-fold), maximum relative electron transport rate (1.9-fold), and saturating light intensity (2.8-fold), suggesting that Se plays a role in photosynthesis or high-light acclimation. Pigment analysis for Antarctic taxa provided an interesting counterpoint to the physiology of E. huxleyi. For all Se-dependent Antarctic diatoms, Se limitation decreased growth rate and chl a content, whereas cellular volume was not affected. Pigment analysis revealed that other pigments were affected under Se deficiency. Photoprotective pigments increased by 1.4-fold, while diadinoxanthin:diatoxanthin ratios decreased by 1.5- to 4.9-fold under Se limitation, supporting a role for Se in photoprotection. Our results demonstrate an Se growth requirement for polar diatoms and indicate that Se could play a role in the biogeochemical cycles of other nutrients, such as silicic acid in the Southern Ocean. Se measurements made during the austral summer in the Southern Ocean and Se biological requirement were used to discuss possible Se limitation in phytoplankton from contrasting oceanographic regions.</t>
  </si>
  <si>
    <t>[Wake, Bronwyn D.; Hassler, Christel S.; Butler, Edward C. V.] CSIRO Marine &amp; Atmospher Res, Hobart, Tas 7001, Australia; [Wake, Bronwyn D.] Univ Tasmania, Inst Marine &amp; Antarctic Studies IMAS, Hobart, Tas 7001, Australia; [Wake, Bronwyn D.; Bowie, Andrew R.; Haddad, Paul R.] Univ Tasmania, Sch Chem, Australian Ctr Res Separat Sci ACROSS, Hobart, Tas 7001, Australia; [Wake, Bronwyn D.; Bowie, Andrew R.; Butler, Edward C. V.] Univ Tasmania, Antarctic Climate &amp; Ecosyst Cooperat Res Ctr ACE, Hobart, Tas 7001, Australia</t>
  </si>
  <si>
    <t>Commonwealth Scientific &amp; Industrial Research Organisation (CSIRO); University of Tasmania; University of Tasmania; University of Tasmania; Antarctic Climate &amp; Ecosystems Cooperative Research Centre (ACE CRC)</t>
  </si>
  <si>
    <t>Hassler, CS (corresponding author), Univ Technol Sydney, POB 123 Broadway, Sydney, NSW 2007, Australia.</t>
  </si>
  <si>
    <t>christel.hassler@uts.edu.au</t>
  </si>
  <si>
    <t>; Bowie, Andrew/C-8677-2013</t>
  </si>
  <si>
    <t>Haddad, Paul/0000-0001-9579-7363; Bowie, Andrew/0000-0002-5144-7799; Hassler, Christel/0000-0002-8976-5469; Butler, Edward/0000-0002-6660-3985; Wake, Bronwyn/0000-0002-9053-1264</t>
  </si>
  <si>
    <t>University of Tasmania; CSIRO; Australian Government through Antarctic Climate and Ecosystems Cooperative Research Centre (ACE CRC)</t>
  </si>
  <si>
    <t>University of Tasmania; CSIRO(Commonwealth Scientific &amp; Industrial Research Organisation (CSIRO)); Australian Government through Antarctic Climate and Ecosystems Cooperative Research Centre (ACE CRC)(Australian GovernmentDepartment of Industry, Innovation and ScienceCooperative Research Centres (CRC) Programme)</t>
  </si>
  <si>
    <t>We thank Lesley Clementson for pigments analysis; Peter Thompson for use of PhytoPAM system; the Australian National Algal Culture Collection (CSIRO) and A. Pankowski (University of Tasmania) for the supply of biological strains; Kristen Karsh and Andrew Davidson for internal reviews; and Katherina Petrou for comments. We are also grateful for the input of three anonymous reviewers in improving the original manuscript. B. D. W. acknowledges University of Tasmania for a Tasmanian Postgraduate Research Scholarship and CSIRO for a CSIRO Postgraduate Award. This work was supported by the Australian Government's Cooperative Research Centres Program through the Antarctic Climate and Ecosystems Cooperative Research Centre (ACE CRC).</t>
  </si>
  <si>
    <t>10.1111/j.1529-8817.2012.01153.x</t>
  </si>
  <si>
    <t>952RP</t>
  </si>
  <si>
    <t>WOS:000304810200010</t>
  </si>
  <si>
    <t>Giordano, D; Russo, R; Di Prisco, G; Verde, C</t>
  </si>
  <si>
    <t>Giordano, Daniela; Russo, Roberta; Di Prisco, Guido; Verde, Cinzia</t>
  </si>
  <si>
    <t>Molecular adaptations in Antarctic fish and marine microorganisms</t>
  </si>
  <si>
    <t>MARINE GENOMICS</t>
  </si>
  <si>
    <t>Adaptation; Antarctica; Fish; Bacterium; Hemoprotein</t>
  </si>
  <si>
    <t>PSEUDOALTEROMONAS-HALOPLANKTIS TAC125; TRUNCATED HEMOGLOBINS; LOW-TEMPERATURES; COLD ADAPTATION; LIGAND-BINDING; NITRIC-OXIDE; CONFORMATIONAL-CHANGES; NOTOTHENIOID FISHES; HUMAN NEUROGLOBIN; GENE-EXPRESSION</t>
  </si>
  <si>
    <t>The Antarctic marine environment is one of the most extreme on Earth due to its stably low temperature and high oxygen content. Here we discuss various aspects of the molecular adaptations evolved by Antarctic fish and marine microorganisms living in this environment. This review will in particular focus on: (i) the genetic/genomic bases of adaptation in Antarctic notothenioid fish; (ii) the role of neuroglobin recently identified in the brain of Antarctic icefish; (iii) the structural and functional features of globins of the Antarctic marine bacterium Pseudoalteromonas haloplanktis TAC125. (C) 2011 Elsevier B.V. All rights reserved.</t>
  </si>
  <si>
    <t>[Giordano, Daniela; Russo, Roberta; Di Prisco, Guido; Verde, Cinzia] CNR, Inst Prot Biochem, I-80131 Naples, Italy</t>
  </si>
  <si>
    <t>Consiglio Nazionale delle Ricerche (CNR); Istituto di Biochimica delle Proteine (IBP-CNR)</t>
  </si>
  <si>
    <t>Verde, C (corresponding author), CNR, Inst Prot Biochem, Via Pietro Castellino 111, I-80131 Naples, Italy.</t>
  </si>
  <si>
    <t>c.verde@ibp.cnr.it</t>
  </si>
  <si>
    <t>Giordano, Daniela/AFK-7772-2022</t>
  </si>
  <si>
    <t>Giordano, Daniela/0000-0002-8891-6245; VERDE, Cinzia/0000-0001-6185-282X</t>
  </si>
  <si>
    <t>Italian National Programme for Antarctic Research (PNRA)</t>
  </si>
  <si>
    <t>This study is financially supported by the Italian National Programme for Antarctic Research (PNRA). It is in the framework of the SCAR programme Evolution and Biodiversity in the Antarctic (EBA), and of the project CAREX (Coordination Action for Research Activities on Life in Extreme Environments), European Commission FP7 call ENV.2007.2.2.1.6.</t>
  </si>
  <si>
    <t>1874-7787</t>
  </si>
  <si>
    <t>MAR GENOM</t>
  </si>
  <si>
    <t>Mar. Genom.</t>
  </si>
  <si>
    <t>10.1016/j.margen.2011.09.003</t>
  </si>
  <si>
    <t>Genetics &amp; Heredity; Marine &amp; Freshwater Biology</t>
  </si>
  <si>
    <t>953DQ</t>
  </si>
  <si>
    <t>WOS:000304847500001</t>
  </si>
  <si>
    <t>Guly, HR</t>
  </si>
  <si>
    <t>Guly, Henry R.</t>
  </si>
  <si>
    <t>The Role of the Expedition Doctor: Lessons From 100 Years Ago</t>
  </si>
  <si>
    <t>expedition medicine; Antarctica; history of medicine</t>
  </si>
  <si>
    <t>This paper explores the role of the doctor on the expeditions of the heroic age of Antarctic exploration. The medical role includes medical screening of prospective expedition members, choosing medical equipment so as to maintain a balance between being able to cope with any eventuality and the cost and weight of equipment and drugs, health screening during an expedition, first aid training for field parties without a doctor, and, obviously, treatment of any injury or disease that occurs. If injury or illness occurs, the presence of a doctor is of great psychological benefit to the expedition. Although medical experience is important, it is probably more important that the doctor is a team member, playing a full part in the expedition's aims, whether these are scientific, exploration, or reaching some goal. Most of the lessons learned during these expeditions a hundred years ago are just as relevant today.</t>
  </si>
  <si>
    <t>[Guly, Henry R.] Derriford Hosp, British Antarctic Survey, Med Unit, Plymouth PL6 8DH, Devon, England</t>
  </si>
  <si>
    <t>UK Research &amp; Innovation (UKRI); Natural Environment Research Council (NERC); NERC British Antarctic Survey; Derriford Hospital</t>
  </si>
  <si>
    <t>Guly, HR (corresponding author), Bedford Rd, Yelverton PL20 7QH, Devon, England.</t>
  </si>
  <si>
    <t>Wellcome Trust</t>
  </si>
  <si>
    <t>Wellcome Trust(Wellcome Trust)</t>
  </si>
  <si>
    <t>This paper was made possible by a research grant from the Wellcome Trust to study medicine during the heroic age of Antarctic exploration. I would also like to thank Dr Paulina Witt for translating part of Dr Gazert's medical report.</t>
  </si>
  <si>
    <t>SUM</t>
  </si>
  <si>
    <t>10.1016/j.wem.2012.02.011</t>
  </si>
  <si>
    <t>956OD</t>
  </si>
  <si>
    <t>WOS:000305098100015</t>
  </si>
  <si>
    <t>Shu, Q; Qiao, FL; Song, ZY; Wang, CZ</t>
  </si>
  <si>
    <t>Shu, Qi; Qiao, Fangli; Song, Zhenya; Wang, Chunzai</t>
  </si>
  <si>
    <t>Sea ice trends in the Antarctic and their relationship to surface air temperature during 1979-2009</t>
  </si>
  <si>
    <t>EMPIRICAL MODE DECOMPOSITION</t>
  </si>
  <si>
    <t>Surface air temperature (SAT) from four reanalysis/analysis datasets are analyzed and compared with the observed SAT from 11 stations in the Antarctic. It is found that the SAT variation from Goddard Institute for Space Studies (GISS) is the best to represent the observed SAT. Then we use the sea ice concentration (SIC) data from satellite measurements, the SAT data from the GISS dataset and station observations to examine the trends and variations of sea ice and SAT in the Antarctic during 1979-2009. The Antarctic sea ice extent (SIE) shows an increased trend during 1979-2009, with a trend rate of 1.36 +/- A 0.43% per decade. Ensemble empirical mode decomposition analysis shows that the rate of the increased trend has been accelerating in the past decade. Antarctic SIE trend depends on the season, with the maximum increase occurring in autumn. If the relationship between SIC and GISS SAT trends is examined regionally, Antarctic SIC trends agree well with the local SAT trends in the most Antarctic regions. That is, Antarctic SIC and SAT show an inverse relationship: a cooling (warming) SAT trend is associated with an upward (downward) SIC trend. It is also concluded that the relationship between sea ice and SAT trends in the Antarctic should be examined regionally rather than integrally.</t>
  </si>
  <si>
    <t>[Shu, Qi; Qiao, Fangli; Song, Zhenya] State Ocean Adm, Inst Oceanog 1, Qingdao 266061, Peoples R China; [Shu, Qi; Qiao, Fangli; Song, Zhenya] State Ocean Adm, Key Lab Marine Sci &amp; Numer Modeling, Qingdao 266061, Peoples R China; [Wang, Chunzai] NOAA, Atlantic Oceanog &amp; Meteorol Lab, Miami, FL 33149 USA</t>
  </si>
  <si>
    <t>First Institute of Oceanography, Ministry of Natural Resources; National Oceanic Atmospheric Admin (NOAA) - USA; Atlantic Oceanographic &amp; Meteorological Laboratory (AOML)</t>
  </si>
  <si>
    <t>Song, Zhenya/AAC-2044-2019; Song, Zhenya/F-9819-2013; Wang, Chunzai/C-9712-2009</t>
  </si>
  <si>
    <t>Song, Zhenya/0000-0002-8098-5529; Song, Zhenya/0000-0002-8098-5529; Wang, Chunzai/0000-0002-7611-0308; SHU, Qi/0000-0003-4781-571X</t>
  </si>
  <si>
    <t>973 Project [2010CB950301, 2010CB950502]; National Natural Science Foundation of China [40730842]</t>
  </si>
  <si>
    <t>973 Project(National Basic Research Program of China); National Natural Science Foundation of China(National Natural Science Foundation of China (NSFC))</t>
  </si>
  <si>
    <t>SIC data is provided by http://nsidc.org/data/nsidc-0051.html, GISS SAT data is available from http://data.giss.nasa.gov/gistemp/, NCEP/NCAR reanalysis SAT data is from http://www.esrl.noaa.gov/psd/data/gridded/data.ncep.reanalysis.html, COREs SAT data is provided by http://data1.gfdl.noaa.gov/nomads/forms/mom4/COREv2.html, and ECMWF SAT data is available from http://data.ecmwf.int/data/, 11 stations SAT data are download from http://www.antarctica.ac.uk/met/gjma/. The authors thank the above data providers. This study is supported by 973 Project (No. 2010CB950301; No. 2010CB950502) and the Key Project of National Natural Science Foundation of China (No. 40730842).</t>
  </si>
  <si>
    <t>10.1007/s00382-011-1143-9</t>
  </si>
  <si>
    <t>951BS</t>
  </si>
  <si>
    <t>WOS:000304696300014</t>
  </si>
  <si>
    <t>Burns, GB; Tinsley, BA; Frank-Kamenetsky, AV; Troshichev, OA; French, WJR; Klekociuk, AR</t>
  </si>
  <si>
    <t>Burns, G. B.; Tinsley, B. A.; Frank-Kamenetsky, A. V.; Troshichev, O. A.; French, W. J. R.; Klekociuk, A. R.</t>
  </si>
  <si>
    <t>Monthly Diurnal Global Atmospheric Circuit Estimates Derived from Vostok Electric Field Measurements Adjusted for Local Meteorological and Solar Wind Influences</t>
  </si>
  <si>
    <t>CLOUD MICROPHYSICS; SHOWER CLOUDS; MODEL; THUNDERSTORMS; OSCILLATION; POTENTIALS; MODULATION; DYNAMICS; CLIMATE; CALIPSO</t>
  </si>
  <si>
    <t>Local temperature, wind speed, pressure, and solar wind-imposed influences on the vertical electric field observed at Vostok, Antarctica, are evaluated by multivariate analysis. Local meteorology can influence electric field measurements via local conductivity. The results are used to improve monthly diurnal averages of the electric field attributable to changes in the global convective storm contribution to the ionosphere-to-earth potential difference. Statistically significant average influences are found for temperature (-0.47 +/- 0.13% V m(-1) degrees C-1) and wind speed [2.1 +/- 0.5% V m(-1) (m s(-1))(-1)]. Both associations are seasonally variable. After adjusting the electric field values to uniform meteorological conditions typical of the Antarctic plateau winter (-70 degrees C, 4.4 m s(-1), and 623 hPa), the sensitivity of the electric field to the solar wind external generator influence is found to be 0.80 +/- 0.07 V m(-1) kV(-1). This compares with the sensitivity of 0.82 V m(-1) kV(-1) to the convective meteorology generator that is inferred assuming an average ionosphere-to-ground potential difference of 240 kV taken with the annual mean electric field value of 198 V m(-1). Monthly means of the Vostok electric field corrected for the influence of both local meteorology and the solar wind show equinoctial (March and September) and July local maxima. The July mean electric field is greater than the December value by approximately 8%, consistent with a Northern Hemisphere summer maximum. The solar wind-imposed potential variations in the overhead ionosphere are evaluated for three models that fit satellite measurements of ionospheric potential changes to solar wind data. Correlations with Vostok electric field variations peak with a 23-min interpolated delay relative to solar wind changes at the magnetopause.</t>
  </si>
  <si>
    <t>[Burns, G. B.; French, W. J. R.; Klekociuk, A. R.] Australian Govt, Australian Antarctic Div, Kingston, Tas 7050, Australia; [Burns, G. B.] Univ Tasmania, Hobart, Tas, Australia; [Tinsley, B. A.] Univ Texas Dallas, Richardson, TX 75083 USA; [Frank-Kamenetsky, A. V.; Troshichev, O. A.] Arctic &amp; Antarctic Res Inst, St Petersburg 199226, Russia</t>
  </si>
  <si>
    <t>Australian Antarctic Division; University of Tasmania; University of Texas System; University of Texas Dallas; Arctic &amp; Antarctic Research Institute</t>
  </si>
  <si>
    <t>Burns, GB (corresponding author), Australian Govt, Australian Antarctic Div, Kingston, Tas 7050, Australia.</t>
  </si>
  <si>
    <t>gary.burns@aad.gov.au</t>
  </si>
  <si>
    <t>Klekociuk, Andrew/A-4498-2015</t>
  </si>
  <si>
    <t>Klekociuk, Andrew/0000-0003-3335-0034; French, John/0000-0001-9305-6190</t>
  </si>
  <si>
    <t>National Science Foundation [ATM0836171]; Directorate For Geosciences; Div Atmospheric &amp; Geospace Sciences [0836171] Funding Source: National Science Foundation</t>
  </si>
  <si>
    <t>National Science Foundation(National Science Foundation (NSF)); Directorate For Geosciences; Div Atmospheric &amp; Geospace Sciences(National Science Foundation (NSF)NSF - Directorate for Geosciences (GEO))</t>
  </si>
  <si>
    <t>This research was approved by the Australian Antarctic Science Advisory Committee (AAS 974) and is supported by the National Science Foundation (Award ATM0836171 to the University of Texas at Dallas). Lloyd Symons, Australian Antarctic Division, developed the electric field mill electronics and data collection software. The Vostok electric field measurements were collected by specialists of the Russian Antarctic program. Solar wind parameters were obtained from the National Space Science Data Center (NSSDC) OMNIWeb database (http://omniweb.gsfc.nasa.gov/) and the AL index from the World Data Centre for Geomagnetism, Kyoto (http://wdc.kugi.kyoto-u.ac.jp/aeasy/index.html). Daniel Weimer's models were obtained via the CEDAR database. Vostok AWS and 6-hourly meteorological data were kindly provided by the Russian Antarctic Expedition.</t>
  </si>
  <si>
    <t>10.1175/JAS-D-11-0212.1</t>
  </si>
  <si>
    <t>951RA</t>
  </si>
  <si>
    <t>WOS:000304736500019</t>
  </si>
  <si>
    <t>Fraser, CI</t>
  </si>
  <si>
    <t>Fraser, C. I.</t>
  </si>
  <si>
    <t>Is bull-kelp kelp? The role of common names in science</t>
  </si>
  <si>
    <t>NEW ZEALAND JOURNAL OF MARINE AND FRESHWATER RESEARCH</t>
  </si>
  <si>
    <t>word; term; Laminariales; Fucales; macroalga</t>
  </si>
  <si>
    <t>ANTARCTIC MACQUARIE ISLAND; DURVILLAEA-ANTARCTICA; MARION-ISLAND; NEW-ZEALAND; COMMUNITY STRUCTURE; SOUTHERN-OCEAN; SUPPLEMENTS; HABITATS; ECOLOGY; MODEL</t>
  </si>
  <si>
    <t>Common names are non-specific by definition, and scientists should naturally avoid placing strict rules on their usage. There are many examples of common names applying to numerous, often only distantly related taxa, yet the term 'kelp' is increasingly being used to refer solely to members of the macroalgal order Laminariales, and some scientists now assert that any other use is incorrect. A brief examination of the word's etymology, however, demonstrates that kelp can with equal validity also refer to non-laminarialean taxa. Many people do still use the word 'kelp' in its broader sense, and these conflicting definitions of the word can lead to confusion and miscommunication between scientists and the general public. This review demonstrates that the definition of 'kelp' should remain relaxed, in accordance with its role as a common name.</t>
  </si>
  <si>
    <t>[Fraser, C. I.] Univ Otago, Dept Zool, Allan Wilson Ctr Mol Ecol &amp; Evolut, Dunedin, New Zealand</t>
  </si>
  <si>
    <t>Fraser, CI (corresponding author), Univ Libre Brussels, Biol Control &amp; Spatial Ecol Lab, 50 FD Roosevelt CP 160-12, B-1050 Brussels, Belgium.</t>
  </si>
  <si>
    <t>4 PARK SQUARE, MILTON PARK, ABINGDON OX14 4RN, OXON, ENGLAND</t>
  </si>
  <si>
    <t>0028-8330</t>
  </si>
  <si>
    <t>1175-8805</t>
  </si>
  <si>
    <t>NEW ZEAL J MAR FRESH</t>
  </si>
  <si>
    <t>N. Z. J. Mar. Freshw. Res.</t>
  </si>
  <si>
    <t>10.1080/00288330.2011.621130</t>
  </si>
  <si>
    <t>950UO</t>
  </si>
  <si>
    <t>WOS:000304675900009</t>
  </si>
  <si>
    <t>Shanklin, J</t>
  </si>
  <si>
    <t>Shanklin, Jonathan</t>
  </si>
  <si>
    <t>Fixing a hole</t>
  </si>
  <si>
    <t>PHYSICS WORLD</t>
  </si>
  <si>
    <t>Shanklin, J (corresponding author), British Antarctic Survey, Cambridge CB3 0ET, England.</t>
  </si>
  <si>
    <t>jdsh@bas.ac.uk</t>
  </si>
  <si>
    <t>0953-8585</t>
  </si>
  <si>
    <t>PHYS WORLD</t>
  </si>
  <si>
    <t>Phys. World</t>
  </si>
  <si>
    <t>955SX</t>
  </si>
  <si>
    <t>WOS:000305042300022</t>
  </si>
  <si>
    <t>Grew, ES; Carson, CJ; Christy, AG; Maas, R; Yaxley, GM; Boger, SD; Fanning, CM</t>
  </si>
  <si>
    <t>Grew, Edward S.; Carson, Christopher J.; Christy, Andrew G.; Maas, Roland; Yaxley, Greg M.; Boger, Steven D.; Fanning, C. Mark</t>
  </si>
  <si>
    <t>New constraints from U-Pb, Lu-Hf and Sm-Nd isotopic data on the timing of sedimentation and felsic magmatism in the Larsemann Hills, Prydz Bay, East Antarctica</t>
  </si>
  <si>
    <t>Prydz Bay; Antarctica; Zircon; SHRIMP ages; U-Pb; Lu-Hf; Sm-Nd</t>
  </si>
  <si>
    <t>PRINCE-CHARLES-MOUNTAINS; GRANULITE-FACIES PARAGNEISS; GHATS BELT; METAPELITIC GRANULITES; METAMORPHIC EVOLUTION; METAVOLCANIC ROCKS; MAWSON-ESCARPMENT; CONTINENTAL-CRUST; BATTYE GLACIER; FISHER MASSIF</t>
  </si>
  <si>
    <t>Complexly deformed gneisses in the Larsemann Hills, southern Prydz Bay, are customarily divided into a basement igneous complex (Sostrene Orthogneiss) and overlying metasediments (Brattstrand Paragneiss). New ion microprobe U-Pb zircon ages support this geological model and provide further age constraints for sediment deposition at ca. 1000 Ma and high-grade metamorphism at ca. 900 Ma. U-Pb zircon data for the Sostrene Orthogneiss, a prominent unit of the basement complex, indicate an. igneous protolith age of 1126 +/- 11 Ma. The igneous protolith of the Blundell Orthogneiss was emplaced at 968 +/- 13 Ma. The Tassie Tarn Metaquartzite, a unit of the Brattstrand Paragneiss, has an estimated maxi mum depositional age of 1023 +/- 19 Ma based on the weighted mean Pb-207*/Pb-206* age of 1023 +/- 19 Ma for the three youngest recognized detrital zircons, whereas the oldest inheritance is 2.54 Ga. Metamorphic rims on the detrital zircons define a broad discordia array between ca. 900 Ma and ca. 530 Ma which is interpreted to reflect metamorphic zircon growth or resetting at these times. Magmatic zircons in the Sostrene orthogneisses have narrow ranges of initial epsilon(Hf) (-2.8 to +3.6) and Hf model ages (T-DM2 1.53-1.93 Ga), compared with much wider ranges (epsilon(Hf) = -16.4 to +6.6, T-DM2 1.44-2.91 Ga) recorded in detrital zircons of similar age in the Tassie Tarn Metaquartzite. This allows a partial provenance link between Sostrene-type basement and overlying metasediments but suggests additional sedimentary contributions to the metaquartzite from older crustal sources. Such contributions may be represented in the metaquartzite by the older detrital zircons, which have significantly older Hf model ages (Tow 2.45-2.91 Ga). A contribution from older crust is consistent with Nd isotope evidence for the Tassie Tarn Metaquartzite which has Nd model ages (T-DM2) near 2.0 Ga, similar to Brattstrand Paragneiss in general, and older than Nd model ages in Sostrene Orthogneiss (T-DM2 ca. 1.7 Ga). Relative age relationships between the Blundell Orthogneiss and lassie Tarn Metaquartzite have been obscured by deformation, but our U-Pb zircon results permit Blundell Orthogneiss to be younger than the Brattstrand Paragneiss. Zircon Hf (epsilon(Hf) -1.0 to -3.7, T-DM2 1.83-1.95 Ga) and whole rock Nd (epsilon(Nd) = -3.0 and -5.9: T-DM2 1.77-1.98 Ga) isotopic data for the former allow the igneous protolith for this orthogneiss to be derived by partial melting or assimilation of both Sostrene Orthogneiss and Brattstrand Paragneiss. The rocks exposed in southern Prydz Bay bear similarities with those exposed the northern Prince Charles Mountains and we argue these regions probably represent a contiguous terrane, albeit with differing degrees of early Cambrian overprinting. We suggest that precursors of the Brattstrand Paragneiss were deposited in a back-arc basin located inboard of a ca. 1000 Ma continental arc that was active along the leading edge of the Indo-Antarctic craton. Collision with the Australo-Antarctic craton (ca. 530 Ma) merged these rocks into Gondwana and sutured them into their present position in Antarctica. (C) 2012 Elsevier B.V. All rights reserved.</t>
  </si>
  <si>
    <t>[Grew, Edward S.] Univ Maine, Dept Earth Sci, Bryand Global Sci Ctr 5790, Orono, ME 04469 USA; [Carson, Christopher J.; Christy, Andrew G.; Yaxley, Greg M.; Fanning, C. Mark] Australian Natl Univ, Res Sch Earth Sci, Canberra, ACT 0200, Australia; [Christy, Andrew G.] Australian Natl Univ, Ctr Adv Microscopy, Canberra, ACT 0200, Australia; [Maas, Roland; Boger, Steven D.] Univ Melbourne, Sch Earth Sci, Parkville, Vic 3010, Australia</t>
  </si>
  <si>
    <t>University of Maine System; University of Maine Orono; Australian National University; Australian National University; University of Melbourne</t>
  </si>
  <si>
    <t>Grew, ES (corresponding author), Univ Maine, Dept Earth Sci, Bryand Global Sci Ctr 5790, Orono, ME 04469 USA.</t>
  </si>
  <si>
    <t>esgrew@maine.edu</t>
  </si>
  <si>
    <t>Boger, Steven/B-8799-2013; Christy, Andrew G/C-3205-2013; Fanning, Christopher Mark/I-6449-2016; Yaxley, Greg/A-1167-2008; Carson, Christopher J./M-8795-2014</t>
  </si>
  <si>
    <t>Fanning, Christopher Mark/0000-0003-3331-3145; Boger, Steven/0000-0003-0739-6266; Christy, Andrew/0000-0002-2203-1444; Yaxley, Greg/0000-0003-0445-8812; Carson, Christopher J./0000-0002-2575-6125</t>
  </si>
  <si>
    <t>NSF [OPP-0228842, EAR-0837980, MRI 0820946, ASAC 2350]; Directorate For Geosciences; Division Of Earth Sciences [0820946] Funding Source: National Science Foundation; Division Of Earth Sciences; Directorate For Geosciences [0837980] Funding Source: National Science Foundation</t>
  </si>
  <si>
    <t>NSF(National Science Foundation (NSF)); Directorate For Geosciences; Division Of Earth Sciences(National Science Foundation (NSF)NSF - Directorate for Geosciences (GEO)); Division Of Earth Sciences; Directorate For Geosciences(National Science Foundation (NSF)NSF - Directorate for Geosciences (GEO))</t>
  </si>
  <si>
    <t>Fieldwork during the 2003/2004 field season and laboratory expenses were supported by NSF grants OPP-0228842 and EAR-0837980 to University of Maine and ASAC 2350 to C.J.C. and E.S.G. C.J.C. conducted ion microprobe (SHRIMP) analysis for this research whilst a holding a honorary position of Visiting Fellow at the Research School of Earth Sciences, Australian National University, Canberra, Australia. Simon Harley is thanked for giving us permission to cite unpublished information on his find of prismatine on Lunar Island. The very detailed, constructive and thoughtful reviews by Ian Fitzsimons and Nigel Kelly are gratefully acknowledged. We thank Davis Station leader Bob Jones and members of the 2003-2004 Australian National Antarctic Research Expedition for logistic support; Professor Eizo Nakamura for facilitating the Li and B analyses at the Okayama University at Misasa, and Chris Gerbi for assistance with preparation of the cathodoluminescence images of zircon on the Tescan SEM in the Department of Earth Sciences, University of Maine. The SEM was funded by NSF MRI 0820946.</t>
  </si>
  <si>
    <t>10.1016/j.precamres.2012.02.016</t>
  </si>
  <si>
    <t>952MM</t>
  </si>
  <si>
    <t>WOS:000304796600006</t>
  </si>
  <si>
    <t>Plisson, F; Conte, M; Khalil, Z; Huang, XC; Piggott, AM; Capon, RJ</t>
  </si>
  <si>
    <t>Plisson, Fabien; Conte, Melissa; Khalil, Zeinab; Huang, Xiao-Cong; Piggott, Andrew M.; Capon, Robert J.</t>
  </si>
  <si>
    <t>Kinase Inhibitor Scaffolds against Neurodegenerative Diseases from a Southern Australian Ascidian, Didemnum sp.</t>
  </si>
  <si>
    <t>CHEMMEDCHEM</t>
  </si>
  <si>
    <t>enzyme inhibitors; kinases; natural products; neurodegenerative diseases; ningalins</t>
  </si>
  <si>
    <t>RESISTANCE REVERSAL ACTIVITY; NINGALIN-B; MULTIDRUG-RESISTANCE; PERMETHYL STORNIAMIDE; ALZHEIMERS-DISEASE; MARINE ALKALOIDS; PROTEIN-KINASES; BETA-SECRETASE; LAMELLARIN; CHARTACEUM</t>
  </si>
  <si>
    <t>Screening a library of Southern Australian and Antarctic marine invertebrates and algae for inhibitors of neurodegenerative disease kinase targets casein kinase 1 (CK1d), cyclin-dependent kinase 5 (CDK5) and glycogen synthase kinase 3 beta (GSK3 beta) identified a Western Australian Didemnum species (CMB-02127) as a high-priority specimen. Chemical fractionation returned the known aromatic alkaloids ningalins BD as the major metabolites, together with six minor metabolites, the new ningalins EG and the known hexacyclic pyrrole alkaloids lamellarins Z, G and A6. All structures were assigned by detailed spectroscopic analysis and literature comparisons, and the structural assignments were supported by biosynthetic considerations. The ningalins showed potent and broad inhibition across the three kinases, while the lamellarins were generally more selective for CDK5. Docking studies using published X-ray crystal structures of CDK5 revealed both scaffolds target the ATP binding pocket.</t>
  </si>
  <si>
    <t>[Plisson, Fabien; Conte, Melissa; Khalil, Zeinab; Huang, Xiao-Cong; Piggott, Andrew M.; Capon, Robert J.] Univ Queensland, Inst Mol Biosci IMB, St Lucia, Qld 4072, Australia</t>
  </si>
  <si>
    <t>University of Queensland</t>
  </si>
  <si>
    <t>Plisson, F (corresponding author), Univ Queensland, Inst Mol Biosci IMB, St Lucia, Qld 4072, Australia.</t>
  </si>
  <si>
    <t>r.capon@uq.edu.au</t>
  </si>
  <si>
    <t>Khalil, Zeinab/J-2150-2014; Plisson, Fabien/AAG-5322-2019; Capon, Robert/G-9238-2012; Piggott, Andrew/G-9259-2012</t>
  </si>
  <si>
    <t>Khalil, Zeinab/0000-0002-9285-1720; Plisson, Fabien/0000-0003-2246-9347; Capon, Robert/0000-0002-8341-7754; Piggott, Andrew/0000-0002-5308-5314</t>
  </si>
  <si>
    <t>University of Queensland; Institute for Molecular Bioscience; University of Queensland (Australia); Australian Research Council (ARC) [LP0775547, LP0989954]; Noscira S.A. (Madrid, Spain); Australian Research Council [LP0775547, LP0989954] Funding Source: Australian Research Council</t>
  </si>
  <si>
    <t>University of Queensland(University of Queensland); Institute for Molecular Bioscience; University of Queensland (Australia)(University of Queensland); Australian Research Council (ARC)(Australian Research Council); Noscira S.A. (Madrid, Spain); Australian Research Council(Australian Research Council)</t>
  </si>
  <si>
    <t>The authors thank Noscira S. A. (Madrid, Spain) for preliminary kinase inhibitor screening of the marine extract library, the Commonwealth Scientific and Industrial Research Organisation (CSIRO) Division of Oceanography and crew of the R. V. Franklin for the collection of Didemnum sp. (CMB-02127), Dr. Susan E. Bates and Dr. Robert W. Robey (US National Cancer Institute, National Institutes of Health, Bethesda, Maryland, USA) for providing the SW620 and SW620 Ad300 cell lines, and Dr. Martin Stoermer (The University of Queensland, Australia) for useful discussions regarding molecular modelling. F. P acknowledges provision of an Institute for Molecular Bioscience (IMB) Postgraduate Award, and X. H and Z.K acknowledge the provision of International Postgraduate Scholarships from the University of Queensland. This work was funded partially by the Institute for Molecular Bioscience, the University of Queensland (Australia), the Australian Research Council (ARC LP0775547, LP0989954) and Noscira S.A. (Madrid, Spain).</t>
  </si>
  <si>
    <t>BOSCHSTRASSE 12, D-69469 WEINHEIM, GERMANY</t>
  </si>
  <si>
    <t>1860-7179</t>
  </si>
  <si>
    <t>ChemMedChem</t>
  </si>
  <si>
    <t>10.1002/cmdc.201200169</t>
  </si>
  <si>
    <t>947OI</t>
  </si>
  <si>
    <t>WOS:000304438900004</t>
  </si>
  <si>
    <t>Zhang, LL; Sun, C; Hu, DX</t>
  </si>
  <si>
    <t>Zhang LinLin; Sun Che; Hu DunXin</t>
  </si>
  <si>
    <t>Interannual variability of the Antarctic Circumpolar Current strength based on merged altimeter data</t>
  </si>
  <si>
    <t>ACC strength; interannual variability; stream-coordinate; altimetry; westerly wind</t>
  </si>
  <si>
    <t>SOUTHERN-OCEAN; TRANSPORT VARIABILITY; ANNULAR MODE; WIND STRESS; CIRCULATION; OSCILLATION; SUMMER</t>
  </si>
  <si>
    <t>Interannual variability of the Antarctic Circumpolar Current (ACC) strength is studied in stream-coordinate with twenty-year Absolute Dynamic Topography data from satellite altimetry. The stream-coordinate projection method separates the ACC from adjacent subtropical and subpolar gyres, enabling consideration of the zonal asymmetry of the ACC rather than assuming that the ACC is a purely zonal flow. It is shown that the ACC strength has large interannual variations with two recent peaks around 2000 and 2009. The interannual variability appears mainly in the Indo-Pacific sector of the Southern Ocean and the strongest signal is located south of Australia. The intensification of the westerly wind in 1998 and 2008 appears to cause the strengthening of the ACC via baroclinic processes.</t>
  </si>
  <si>
    <t>[Zhang LinLin; Sun Che; Hu DunXin] Chinese Acad Sci, Key Lab Ocean Circulat &amp; Waves, Inst Oceanol, Qingdao 266071, Peoples R China</t>
  </si>
  <si>
    <t>Sun, C (corresponding author), Chinese Acad Sci, Key Lab Ocean Circulat &amp; Waves, Inst Oceanol, Qingdao 266071, Peoples R China.</t>
  </si>
  <si>
    <t>Zhang, Linlin/I-4970-2014</t>
  </si>
  <si>
    <t>Zhang, Linlin/0000-0003-0247-7710</t>
  </si>
  <si>
    <t>Chinese Academy of Sciences [KZCX2-YW-Q11-02]; National Natural Science Foundation of China [41006114, 40890151]</t>
  </si>
  <si>
    <t>Chinese Academy of Sciences(Chinese Academy of Sciences); National Natural Science Foundation of China(National Natural Science Foundation of China (NSFC))</t>
  </si>
  <si>
    <t>The authors would like to thank the two anonymous reviewers for their valuable suggestions and comments. This work was supported by the Knowledge Innovation Program of Chinese Academy of Sciences (KZCX2-YW-Q11-02) and the National Natural Science Foundation of China (41006114 and 40890151).</t>
  </si>
  <si>
    <t>10.1007/s11434-012-5040-3</t>
  </si>
  <si>
    <t>950MZ</t>
  </si>
  <si>
    <t>WOS:000304654700016</t>
  </si>
  <si>
    <t>Desjardins, M; Graham, LA; Davies, PL; Fletcher, GL</t>
  </si>
  <si>
    <t>Desjardins, Marieve; Graham, Laurie A.; Davies, Peter L.; Fletcher, Garth L.</t>
  </si>
  <si>
    <t>Antifreeze protein gene amplification facilitated niche exploitation and speciation in wolffish</t>
  </si>
  <si>
    <t>FEBS JOURNAL</t>
  </si>
  <si>
    <t>freeze resistance; gene amplification; glaciation; multigene family; speciation</t>
  </si>
  <si>
    <t>POUT MACROZOARCES-AMERICANUS; SIALIC-ACID SYNTHASE; ANTARCTIC EEL POUT; ICE-BINDING SITE; OCEAN POUT; ANARHICHAS-LUPUS; PEPTIDE HETEROGENEITY; MOLECULAR-WEIGHT; FISH; EVOLUTION</t>
  </si>
  <si>
    <t>During winter, the coastal waters of Newfoundland can be considered a freeze risk ecozone for teleost fishes, where the shallower habitats pose a high (and the deeper habitats a low) risk of freezing. Atlantic (Anarhichas lupus) and spotted (Anarhichas minor) wolffish, which inhabit these waters, reside at opposite ends of this ecozone, with the Atlantic wolffish being the species facing the greatest risk, because of its shallower niche. In order to resist freezing, this species secretes five times the level of antifreeze protein (AFP) activity into the plasma than does the spotted wolffish. The main basis for this interspecific difference in AFP levels is gene dosage, as the Atlantic wolffish has approximately three times as many AFP gene copies as the spotted wolffish. In addition, AFP transcript levels in liver (the primary source of circulating AFPs) are several times higher in the Atlantic wolffish. One explanation for the difference in gene dosage and transcript levels is the presence of tandemly arrayed repeats in the latter, which make up two-thirds of its AFP gene pool. Such repeats are not present in the spotted wolffish. The available evidence indicates that the two species diverged from a common ancestor at a time when the ebb and flow of northern glaciations would have resulted in the emergence of shallow water freeze risk ecozones. The results of this study suggest that the duplication/amplification of AFP genes in a subpopulation of ancestral wolffish would have facilitated the exploitation of this high-risk habitat, resulting in the divergence and evolution of modern-day Atlantic and spotted wolffish species. Database ?Nucleotide sequence data are available in the GenBank database under the accession numbers AWG1-4, , , , , AWE1-3, , , , SWG1-3, , , and</t>
  </si>
  <si>
    <t>[Desjardins, Marieve; Fletcher, Garth L.] Mem Univ Newfoundland, Ctr Ocean Sci, St John, NF A1C 5S7, Canada; [Desjardins, Marieve; Graham, Laurie A.; Davies, Peter L.] Queens Univ, Dept Biomed &amp; Mol Sci, Kingston, ON, Canada</t>
  </si>
  <si>
    <t>Memorial University Newfoundland; Queens University - Canada</t>
  </si>
  <si>
    <t>Fletcher, GL (corresponding author), Mem Univ Newfoundland, Ctr Ocean Sci, St John, NF A1C 5S7, Canada.</t>
  </si>
  <si>
    <t>fletcher@mun.ca</t>
  </si>
  <si>
    <t>NSERC [6836-06]; CIHR [1066142]</t>
  </si>
  <si>
    <t>NSERC(Natural Sciences and Engineering Research Council of Canada (NSERC)); CIHR(Canadian Institutes of Health Research (CIHR))</t>
  </si>
  <si>
    <t>We thank J.-D. Dutil from l'Institut Maurice-Lamontagne for the donation of live wolffish. We are also grateful to M. Shears, M. King, R. Hobbs, J. Hall and S, Gauthier for their invaluable help. P. L. Davies holds a Canada Research Chair in Protein Engineering. M, Desjardins was awarded an NSERC Alexander Graham Bell Canada Graduate Scholarship. This work was supported by research grants from NSERC (6836-06) and CIHR (1066142) to G. L. Fletcher and P. L. Davies, respectively.</t>
  </si>
  <si>
    <t>1742-464X</t>
  </si>
  <si>
    <t>1742-4658</t>
  </si>
  <si>
    <t>FEBS J</t>
  </si>
  <si>
    <t>FEBS J.</t>
  </si>
  <si>
    <t>10.1111/j.1742-4658.2012.08605.x</t>
  </si>
  <si>
    <t>948VA</t>
  </si>
  <si>
    <t>WOS:000304529700011</t>
  </si>
  <si>
    <t>Ling, SD; Johnson, CR; Mundy, CN; Morris, A; Ross, DJ</t>
  </si>
  <si>
    <t>Ling, Scott D.; Johnson, Craig R.; Mundy, Craig N.; Morris, Alice; Ross, D. Jeff</t>
  </si>
  <si>
    <t>Hotspots of exotic free-spawning sex: man-made environment facilitates success of an invasive seastar</t>
  </si>
  <si>
    <t>allee effect; anthropogenic habitat; artificial habitat; Asterias amurensis; coastal infrastructure; ecological restoration; fertilization modelling; free-spawning ecology; introduced marine pest; pest management</t>
  </si>
  <si>
    <t>ASTERIAS-AMURENSIS; FERTILIZATION; CONSEQUENCES; MODELS; URCHIN</t>
  </si>
  <si>
    <t>1. The introduction of exotic species to new areas poses a major threat to the environment. For those introduced species that establish and survive beyond the short term, the opportunities to manage the risk of continuing spread often rest with limiting reproductive output. The introduced northern Pacific seastar Asterias amurensis is an ecologically important pest that has established in the Derwent Estuary (Australia). Driven by oversupply of bivalve prey, it is persistent, abundant and fecund when associated with man-made structures such as docks, marinas, jetties and piers, that is, wharves. 2. As a free-spawning invertebrate, fertilization by A. amurensis is a critical life-history stage constrained by strong Allee effects. Eggs must be released in close proximity to sperm sources because the chances of achieving fertilization drastically reduce with increasing distances of spawner separation. 3. Investigation of zygote production in the Derwent Estuary using a spatially explicit model of free-spawning fertilization shows that A. amurensis at wharves, while representing &lt;10% of the total population in the estuary and concentrated in &lt;0.1% of the total area, may contribute &gt;90% of total zygote production. Given the seastars long-lived and highly dispersive larvae, we show that wharves not only represent important sites of invasion but also facilitate propagule pressure promoting secondary invasions. 4. Synthesis and applications. In the absence of effective pest control solutions, focusing on reproductive hotspots has the potential to reduce further spread of established marine pests and to alleviate ongoing ecological impacts. In the case of the northern Pacific seastar, elimination of highly localized wharf populations annually prior to spawning can reduce overall zygote production by up to estimated 90%. The long-term protection of key sources of larval production is a common goal for marine reserve design and fisheries management. However, the same concept but in reverse, whereby larval production is minimized at key sources, could be effective in the management of introduced pests in subtidal marine environments.</t>
  </si>
  <si>
    <t>[Ling, Scott D.; Johnson, Craig R.] Univ Tasmania, Inst Marine &amp; Antarctic Studies, Hobart, Tas 7005, Australia; [Mundy, Craig N.; Ross, D. Jeff] Univ Tasmania, Inst Marine &amp; Antarctic Studies, Taroona, Tas 7053, Australia; [Morris, Alice] Dept Primary Ind Pk Water &amp; Environm, Hobart, Tas 7001, Australia</t>
  </si>
  <si>
    <t>Ling, SD (corresponding author), Univ Tasmania, Inst Marine &amp; Antarctic Studies, Hobart, Tas 7005, Australia.</t>
  </si>
  <si>
    <t>scott.ling@utas.edu.au</t>
  </si>
  <si>
    <t>Ling, Scott/J-7161-2014; Mundy, Craig/G-3390-2014; Johnson, Craig/E-1788-2013; Ross, Donald/F-7607-2012</t>
  </si>
  <si>
    <t>Ling, Scott/0000-0002-5544-8174; Mundy, Craig/0000-0002-1945-3750; Johnson, Craig/0000-0002-9511-905X; Ross, Donald/0000-0002-8659-3833</t>
  </si>
  <si>
    <t>10.1111/j.1365-2664.2012.02133.x</t>
  </si>
  <si>
    <t>950PF</t>
  </si>
  <si>
    <t>WOS:000304660500024</t>
  </si>
  <si>
    <t>Takahashi, T; Kondo, T; Tanaka, K; Hattori, S; Irie, S; Kudoh, S; Imura, S; Kanda, H</t>
  </si>
  <si>
    <t>Takahashi, Tetsuya; Kondo, Tetsuo; Tanaka, Keisuke; Hattori, Shunji; Irie, Shinkichi; Kudoh, Sakae; Imura, Satoshi; Kanda, Hiroshi</t>
  </si>
  <si>
    <t>Using collagen artificial skin to estimate the protection effects UV-cut materials of against sunlight under the Antarctic ozone hole</t>
  </si>
  <si>
    <t>POLYMER DEGRADATION AND STABILITY</t>
  </si>
  <si>
    <t>Antarctica; Ozone hole; UV light; Collagen; Zinc oxide; UV-cut material</t>
  </si>
  <si>
    <t>DEPLETION</t>
  </si>
  <si>
    <t>Collagen sheets that simulate human skin were employed to study the protection effects of ultraviolet-cut (UV-cut) films on the skin when the Antarctic ozone hole appeared. A collagen sheet was covered with a polypropylene film containing zinc oxide and exposed outdoors in the Antarctic. Exposed sheets were dissolved to determine total amino acid amounts. The results show that nearly 2.8 times as much total amino acids were produced in collagen sheets exposed in spring, when the ozone hole appeared, as those produced in collagen sheets exposed in autumn. However, total amino acids in a collagen sheet covered by a film with a zinc oxide content of 0.40 v% decreased to nearly one-fourth the amount in a collagen sheet covered with a zinc-free film, even during spring exposure. Furthermore, analysis shows that total protein and terminal amino group concentration decreased substantially in extracts from collagen sheets with increasing levels of zinc oxide in the film. In other words, the addition of zinc oxide is confirmed to suppress collagen deterioration by UV light very effectively, even if exposure lasts 50 d in spring, when the ozone hole appears. As described above, the collagen sheet method used for evaluation could be used to quantify the protection effects of UV-cut film against high-energy UV light that reaches the ground when the ozone hole appears. (C) 2012 Elsevier Ltd. All rights reserved.</t>
  </si>
  <si>
    <t>[Takahashi, Tetsuya] Shimane Univ, Fac Educ, Matsue, Shimane 6908504, Japan; [Kondo, Tetsuo] Kyushu Univ, Fac Agr, Higashi Ku, Fukuoka 8128581, Japan; [Tanaka, Keisuke; Hattori, Shunji; Irie, Shinkichi] Nippi Res Inst Biomatrix, Toride, Ibaragi 3020017, Japan; [Kudoh, Sakae; Imura, Satoshi; Kanda, Hiroshi] Natl Inst Polar Res, Tachikawa, Tokyo 1908518, Japan</t>
  </si>
  <si>
    <t>Shimane University; Kyushu University; Research Organization of Information &amp; Systems (ROIS); National Institute of Polar Research (NIPR) - Japan</t>
  </si>
  <si>
    <t>Takahashi, T (corresponding author), Shimane Univ, Fac Educ, 1060 Nishikawatsu Cho, Matsue, Shimane 6908504, Japan.</t>
  </si>
  <si>
    <t>ttetsuya@edu.shimane-u.ac.jp</t>
  </si>
  <si>
    <t>Grants-in-Aid for Scientific Research [22510029] Funding Source: KAKEN</t>
  </si>
  <si>
    <t>0141-3910</t>
  </si>
  <si>
    <t>POLYM DEGRAD STABIL</t>
  </si>
  <si>
    <t>Polym. Degrad. Stabil.</t>
  </si>
  <si>
    <t>10.1016/j.polymdegradstab.2012.03.018</t>
  </si>
  <si>
    <t>Polymer Science</t>
  </si>
  <si>
    <t>950HX</t>
  </si>
  <si>
    <t>WOS:000304641300023</t>
  </si>
  <si>
    <t>Ovalle, EM; Vidal, SE; Foppiano, AJ; Weatherwax, AT; Stepanova, MV</t>
  </si>
  <si>
    <t>Ovalle, Elias M.; Vidal, Sergio E.; Foppiano, Alberto J.; Weatherwax, Allan T.; Stepanova, Marina V.</t>
  </si>
  <si>
    <t>Comparison of Antarctic riometer radio wave absorption and THEMIS mission energetic electron fluxes</t>
  </si>
  <si>
    <t>Riometer absorption; THEMIS mission; Magnetosphere; Antarctic ionosphere</t>
  </si>
  <si>
    <t>AURORAL ABSORPTION</t>
  </si>
  <si>
    <t>Simultaneous observations of in situ plasma properties in the tail of the Earth's magnetosphere and of ground based instruments, lying on the same geomagnetic field lines, have recently proved to yield significant new results. In most cases magnetosphere ionosphere interactions during the night-time northern hemisphere conditions are studied. Here, observations of energetic electrons in the tail of the Earth's magnetosphere made by the THEM IS mission satellites are compared with auroral radio wave absorption determined by riometers in the Antarctic for sunlit conditions. Days for which satellites and riometers are connected by the same geomagnetic field line are selected using a geomagnetic field model. The six days analysed show clear associations between fluxes and absorptions in some cases. However, these do not necessarily correspond to conjugacy intervals. Hours of positive associations are 1.65 times those for negative associations, all hours and days considered (1.42-3.6 on five days and 0.58 on the other day). These computations are assumed appropriate since the footprints of the satellites used approximately follow corrected geomagnetic parallels for all six days studied. The use of a finer parameterization of geomagnetic models to determine conjugacy may be needed. (C) 2012 COSPAR. Published by Elsevier Ltd. All rights reserved.</t>
  </si>
  <si>
    <t>[Ovalle, Elias M.; Vidal, Sergio E.; Foppiano, Alberto J.] Univ Concepcion, Dept Geofis, Concepcion, Chile; [Weatherwax, Allan T.] Siena Coll, Dept Phys &amp; Astron, Loudonville, NY 12211 USA; [Stepanova, Marina V.] Univ Santiago Chile, Dept Fis, Santiago, Chile</t>
  </si>
  <si>
    <t>Universidad de Concepcion; Universidad de Santiago de Chile</t>
  </si>
  <si>
    <t>Foppiano, AJ (corresponding author), Univ Concepcion, Dept Geofis, Casilla 160-C, Concepcion, Chile.</t>
  </si>
  <si>
    <t>foppiano@udec.cl; awatherwax@siena.edu; marina.stepanova@usach.cl</t>
  </si>
  <si>
    <t>Stepanova, Marina V/D-6329-2011; Ovalle, Elias/AAD-9289-2020</t>
  </si>
  <si>
    <t>Stepanova, Marina V/0000-0002-1053-3375; Weatherwax, Allan/0000-0003-4732-358X</t>
  </si>
  <si>
    <t>NASA [NAS5-02099]; National Science Foundation [ANT-0840158, ANT-0638587]; Chilean Fondo Nacional de Desarrollo Cientifico y Tecnologico [1070131, 1110729]; Office of Polar Programs (OPP); Directorate For Geosciences [0638587] Funding Source: National Science Foundation</t>
  </si>
  <si>
    <t>NASA(National Aeronautics &amp; Space Administration (NASA)); National Science Foundation(National Science Foundation (NSF)); Chilean Fondo Nacional de Desarrollo Cientifico y Tecnologico; Office of Polar Programs (OPP); Directorate For Geosciences(National Science Foundation (NSF)NSF - Directorate for Geosciences (GEO))</t>
  </si>
  <si>
    <t>We acknowledge NASA contract NAS5-02099 and V. Angelopoulos for use of data from the THEMIS Mission. Specifically: D. Larson and R. P. Lin for use of SST data and C. W. Carlson and J. P. McFadden for use of ESA data. The USA Antarctic riometer program is managed by the University of Maryland and Siena College with the support of National Science Foundation grants ANT-0840158 and ANT-0638587 to Siena College. The work was supported by the Chilean Fondo Nacional de Desarrollo Cientifico y Tecnologico, grants Nos. 1070131 and 1110729. Comments received from two referees are most appreciated.</t>
  </si>
  <si>
    <t>10.1016/j.asr.2012.02.019</t>
  </si>
  <si>
    <t>948KL</t>
  </si>
  <si>
    <t>WOS:000304502000002</t>
  </si>
  <si>
    <t>Tamppari, LK; Anderson, RM; Archer, PD; Douglas, S; Kounaves, SP; McKay, CP; Ming, DW; Moore, Q; Quinn, JE; Smith, PH; Stroble, S; Zent, AP</t>
  </si>
  <si>
    <t>Tamppari, L. K.; Anderson, R. M.; Archer, P. D., Jr.; Douglas, S.; Kounaves, S. P.; McKay, C. P.; Ming, D. W.; Moore, Q.; Quinn, J. E.; Smith, P. H.; Stroble, S.; Zent, A. P.</t>
  </si>
  <si>
    <t>Effects of extreme cold and aridity on soils and habitability: McMurdo Dry Valleys as an analogue for the Mars Phoenix landing site</t>
  </si>
  <si>
    <t>dry permafrost; habitability; Taylor Valley; University Valley</t>
  </si>
  <si>
    <t>MICROBIAL BIOMASS; ROSS SEA; ANTARCTICA; ICE; CLASSIFICATION; COMPONENTS; SNOW; TIME</t>
  </si>
  <si>
    <t>The McMurdo Dry Valleys are among the driest, coldest environments on Earth and are excellent analogues for the Martian northern plains. In preparation for the 2008 Phoenix Mars mission, we conducted an interdisciplinary investigation comparing the biological, mineralogical, chemical, and physical properties of wetter lower Taylor Valley (TV) soils to colder, drier University Valley (UV) soils. Our analyses were performed for each horizon from the surface to the ice table. In TV, clay-sized particle distribution and less abundant soluble salts both suggested vertical and possible horizontal transport by water, and microbial biomass was higher. Alteration of mica to short-order phyllosilicates suggested aqueous weathering. In UV, salts, clay-sized materials, and biomass were more abundant near the surface, suggesting minimal downward translocation by water. The presence of microorganisms in each horizon was established for the first time in an ultraxerous zone. Higher biomass numbers were seen near the surface and ice table, perhaps representing locally more clement environments. Currently, water activity is too low to support metabolism at the Phoenix site, but obliquity changes may produce higher temperatures and sufficient water activity to permit microbial growth, if the populations could survive long dormancy periods (similar to 10(6) years).</t>
  </si>
  <si>
    <t>[Tamppari, L. K.; Douglas, S.] CALTECH, Jet Prop Lab, Pasadena, CA 91109 USA; [Anderson, R. M.; Kounaves, S. P.; Moore, Q.; Stroble, S.] Tufts Univ, Medford, MA 02155 USA; [Archer, P. D., Jr.; Ming, D. W.] NASA, Lyndon B Johnson Space Ctr, Houston, TX 77058 USA; [McKay, C. P.; Zent, A. P.] NASA, Ames Res Ctr, Moffett Field, CA 94035 USA; [Quinn, J. E.] ESCG NASA, Houston, TX USA; [Smith, P. H.] Univ Arizona, Tucson, AZ USA</t>
  </si>
  <si>
    <t>National Aeronautics &amp; Space Administration (NASA); NASA Jet Propulsion Laboratory (JPL); California Institute of Technology; Tufts University; National Aeronautics &amp; Space Administration (NASA); NASA Johnson Space Center; National Aeronautics &amp; Space Administration (NASA); NASA Ames Research Center; National Aeronautics &amp; Space Administration (NASA); University of Arizona</t>
  </si>
  <si>
    <t>Tamppari, LK (corresponding author), CALTECH, Jet Prop Lab, 4800 Oak Grove Dr, Pasadena, CA 91109 USA.</t>
  </si>
  <si>
    <t>leslie.tamppari@jpl.nasa.gov</t>
  </si>
  <si>
    <t>Kounaves, Samuel/0000-0002-2629-4831; McKay, Christopher/0000-0002-6243-1362</t>
  </si>
  <si>
    <t>NASA; International Polar Year research opportunity</t>
  </si>
  <si>
    <t>NASA(National Aeronautics &amp; Space Administration (NASA)); International Polar Year research opportunity</t>
  </si>
  <si>
    <t>The authors would like to thank two anonymous reviewers for very thorough reviews of this paper that helped substantially improve it. Part of this work was conducted at the Jet Propulsion Laboratory/Caltech under a grant funded through the International Polar Year research opportunity with NASA. We thank the NSF Office of Polar Programs and the men and women of the US Antarctic Program for outstanding support of field operations.</t>
  </si>
  <si>
    <t>10.1017/S0954102011000800</t>
  </si>
  <si>
    <t>947OZ</t>
  </si>
  <si>
    <t>WOS:000304440700002</t>
  </si>
  <si>
    <t>Fernández-Carazo, R; Namsaraev, Z; Mano, MJ; Ertz, D; Wilmotte, A</t>
  </si>
  <si>
    <t>Fernandez-Carazo, Rafael; Namsaraev, Zorigto; Mano, Marie-Jose; Ertz, Damien; Wilmotte, Annick</t>
  </si>
  <si>
    <t>Cyanobacterial diversity for an anthropogenic impact assessment in the Sor Rondane Mountains area, Antarctica</t>
  </si>
  <si>
    <t>Antarctic; biodiversity; Dronning Maud Land; Princess Elisabeth Station; Utsteinen Nunatak; 16S rRNA</t>
  </si>
  <si>
    <t>BACTERIAL DIVERSITY; SOILS; LAKE; ICE; DNA; BIOGEOGRAPHY; COMMUNITIES; SEQUENCES; PRIMERS; ORIGIN</t>
  </si>
  <si>
    <t>The recently inaugurated Belgian Princess Elisabeth Station has been built in the Sor Rondane Mountains (Dronning Maud Land). The construction site is situated close to the Utsteinen Nunatak (71 degrees 57'S, 23 degrees 20'E), on a granite ridge. Prior to the survey and construction activities, the site had been subject to limited or no direct human impacts. Therefore, a biological inventory has been started for future evaluations of human impacts in the area. This study presents the cyanobacterial diversity of ten samples from the Utsteinen ridge, the Utsteinen Nunatak in the vicinity of the station's site and the more distant Ketelersbreen Dry Valley. All samples were taken before the station was built and were studied by light microscopy and Denaturing Gradient Gel Electrophoresis. Two strains were also isolated. Two different phenol-based extraction methods, with and without detergent-based steps, were tested to improve the quality of molecular detection from these environmental samples. We observed high cyanobacterial diversity (ten morphotypes and 13 operational taxonomic units) in comparison to other Antarctic terrestrial locations and a widespread distribution pattern within the Sor Rondane Mountains area. This might reflect the habitat similarities and/or the easy local dispersal capabilities of microorganisms within the region. The high diversity and proportion of potential endemic (46%) operational taxonomic units, of which 23% were newly described, suggest that this area could have acted as a biological refuge during past glaciations.</t>
  </si>
  <si>
    <t>[Fernandez-Carazo, Rafael; Namsaraev, Zorigto; Mano, Marie-Jose; Wilmotte, Annick] Univ Liege, Ctr Prot Engn, Inst Chem B6, B-4000 Liege, Belgium; [Namsaraev, Zorigto] Russian Acad Sci, Winogradsky Inst Microbiol, Moscow 117312, Russia; [Ertz, Damien] Natl Bot Garden Belgium, Dept Bryophyta Thallophyta, B-1860 Domain Of Bouchout, Meise, Belgium</t>
  </si>
  <si>
    <t>University of Liege; Research Center of Biotechnology RAS; Russian Academy of Sciences</t>
  </si>
  <si>
    <t>Fernández-Carazo, R (corresponding author), Univ Liege, Ctr Prot Engn, Inst Chem B6, B-4000 Liege, Belgium.</t>
  </si>
  <si>
    <t>rafafercaraz@gmail.com</t>
  </si>
  <si>
    <t>Wilmotte, Annick/H-1686-2011; Namsaraev, Zorigto/A-3696-2014</t>
  </si>
  <si>
    <t>Namsaraev, Zorigto/0000-0002-9701-5721; Wilmotte, Annick/0000-0003-3546-3489</t>
  </si>
  <si>
    <t>BelSPO; Foundation Alfonso Martin Escudero</t>
  </si>
  <si>
    <t>BelSPO(Belgian Federal Science Policy Office); Foundation Alfonso Martin Escudero</t>
  </si>
  <si>
    <t>This paper forms a contribution to the Belgian Research Programme on the Antarctic (Belgian Federal Science Policy Office (BelSPO)), Project no. SD/BA/853 (ANTAR-IMPACT, www.antar-impact.ulg.ac.be). The BELARE 2007 expedition was also funded by BelSPO. Thanks are due to the IPF for the organization of the expedition. The authors are indebted to A. Hubert, N. Johnson, and J. Berte for their valuable assistance with field samplings. We would like to thank the Foundation Alfonso Martin Escudero for the funding of Rafael Fernandez-Carazo. Annick Wilmotte is Research Associate of the FRS-FNRS and benefited from the Credit FNRS 1.5.104.04. Thanks are due to Dominic Hodgson (British Antarctic Survey) and an anonymous reviewer for their critical revision of this manuscript. This paper also contributes to the SCAR Evolution and Biodiversity in Antarctica (EBA) research programme, and the MERGE IPY project.</t>
  </si>
  <si>
    <t>10.1017/S0954102011000824</t>
  </si>
  <si>
    <t>WOS:000304440700003</t>
  </si>
  <si>
    <t>McKay, CP</t>
  </si>
  <si>
    <t>McKay, Christopher P.</t>
  </si>
  <si>
    <t>Full solar spectrum measurements of absorption of light in a sample of the Beacon Sandstone containing the Antarctic cryptoendolithic microbial community</t>
  </si>
  <si>
    <t>habitability; IR light; UV light; wet transmissivity</t>
  </si>
  <si>
    <t>FIBEROPTIC MICROPROBES; MARINE-SEDIMENTS; COLD DESERT; CYANOBACTERIA; PENETRATION; TRANSMISSION; ATTENUATION; TEMPERATURE; ENVIRONMENT; REFLECTION</t>
  </si>
  <si>
    <t>We report measures of absorption (negative log10 of the transmissivity) of a collimated beam through a 2.27mm surface layer of Beacon Sandstone that harbours a cryptoendolithic microbial community. Consistent with the findings of previous work in the visible light range with these rocks, and in analogous sediments, blue wavelengths are more strongly attenuated than red. At wavelengths from 2400-1200 nm the absorption of the dry rock layer is roughly constant at 3.1 except in the water bands at 2000 nm and 1600 nm. From 1200-300 nm the absorption increases from 3.1 to 6.4, below 300-190 nm (the lowest wavelength measured) the absorption exceeds 6.4. When the rock is saturated with water the absorption uniformly decreases by about 0.1-0.2 over the 700-400 nm region but decreases sharply for lower wavelengths, with the decrease equal to 0.5 at 300 nm. Thus, the relative protection against UV is attenuated when the rock is wet. Even with this decreased absorption the UV absorption is still greater than that for the visible. The absorption at wavelengths less than 300 nm was too large to measure (&gt;6.4) for both the wet and dry rocks.</t>
  </si>
  <si>
    <t>NASA, Ames Res Ctr, Div Space Sci, Moffett Field, CA 94035 USA</t>
  </si>
  <si>
    <t>National Aeronautics &amp; Space Administration (NASA); NASA Ames Research Center</t>
  </si>
  <si>
    <t>McKay, CP (corresponding author), NASA, Ames Res Ctr, Div Space Sci, Moffett Field, CA 94035 USA.</t>
  </si>
  <si>
    <t>chris.mckay@nasa.gov</t>
  </si>
  <si>
    <t>McKay, Christopher/0000-0002-6243-1362</t>
  </si>
  <si>
    <t>Field support was provided by the US Antarctic Research Program. Laboratory work and analysis was supported by the NASA Astrobiology program. I thank two high school students, Lisa Lockyer and Terence Lung, for assistance with the measurements and analysis. I thank the two reviewers for their constructive comments. This paper is dedicated to the memory of Imre Friedmann, who recruited me to the study of endoliths and hypoliths.</t>
  </si>
  <si>
    <t>10.1017/S0954102011000915</t>
  </si>
  <si>
    <t>WOS:000304440700004</t>
  </si>
  <si>
    <t>Schroeter, B; Green, TGA; Kulle, D; Pannewitz, S; Schlensog, M; Sancho, LG</t>
  </si>
  <si>
    <t>Schroeter, B.; Green, T. G. A.; Kulle, Daniel; Pannewitz, S.; Schlensog, M.; Sancho, L. G.</t>
  </si>
  <si>
    <t>The moss Bryum argenteum var. muticum Brid. is well adapted to cope with high light in continental Antarctica</t>
  </si>
  <si>
    <t>acclimation; carotenoids; chlorophyll fluorescence; glutathione; photosynthesis; VAZ</t>
  </si>
  <si>
    <t>UNCINATA HEDW. LOESKE; PIGMENT COMPOSITION; ENERGY-DISSIPATION; XANTHOPHYLL CYCLE; PHOTOSYNTHESIS; BRYOPHYTES; PHOTOINHIBITION; PHOTOPROTECTION; RADIATION; PATTERN</t>
  </si>
  <si>
    <t>The net photosynthetic rate (NP), chlorophyll fluorescence, carotenoid content and chlorophyll content of the cosmopolitan moss Bryum argenteum were measured in the field at Botany Bay, southern Victoria Land, continental Antarctica (77 degrees S). Comparisons were made between sun-and shade-adapted forms, and changes were followed as the moss emerged from under the snow and during exposure of shade and sun forms to ambient light. Shade forms had lower light compensation and saturation values for NP but little difference in maximal NP rates. Shade forms exposed to ambient light changed rapidly (within five days) towards the performance of the sun forms. Surprisingly, this change was not by acclimation of shoots but by the production of new shoots. Chlorophyll and carotenoid levels measured on a molar chlorophyll basis showed no difference between sun and shade forms and also little change during emergence. The constant molar relationship between carotenoids and chlorophyll plus the high levels of the xanthophyll cycle pigments suggest that protection of the chlorophyll antenna was constitutive. This is an adaptation to the very high light levels that occur when the plants are active in continental Antarctica and contrasts to the situation in more temperate areas where high light is normally avoided by desiccation.</t>
  </si>
  <si>
    <t>[Green, T. G. A.] Univ Waikato, Hamilton, New Zealand; [Green, T. G. A.; Sancho, L. G.] Univ Complutense, Dept Biol Vegetal 2, Fac Farm, E-28040 Madrid, Spain; [Schroeter, B.; Kulle, Daniel; Pannewitz, S.; Schlensog, M.] Univ Kiel, Inst Bot, D-24105 Kiel, Germany</t>
  </si>
  <si>
    <t>University of Waikato; Complutense University of Madrid; University of Kiel</t>
  </si>
  <si>
    <t>Schroeter, B (corresponding author), Univ Kiel, Leibniz Inst Sci &amp; Math Educ, Olshausenstr 62, D-24098 Kiel, Germany.</t>
  </si>
  <si>
    <t>schroeter@ipn.uni-kiel.de</t>
  </si>
  <si>
    <t>Sancho, leopoldo G./H-2974-2013; SANCHO, LEOPOLDO/G-9120-2015</t>
  </si>
  <si>
    <t>SANCHO, LEOPOLDO/0000-0002-4751-7475</t>
  </si>
  <si>
    <t>Deutsche Forschungsgemeinschaft [SCHR 473/4-3]; Spanish Ministry of Science [POL2006-08405, CTM2009-12838-C04-01]; Vegetal II, Farmacia, Universidad Complutense, Madrid, Spain; FRST</t>
  </si>
  <si>
    <t>Deutsche Forschungsgemeinschaft(German Research Foundation (DFG)); Spanish Ministry of Science(Spanish Government); Vegetal II, Farmacia, Universidad Complutense, Madrid, Spain; FRST(New Zealand Foundation for Research, Science and Technology)</t>
  </si>
  <si>
    <t>We thank Antarctica New Zealand for provision of logistic support and the University of Waikato, through their Antarctic Research Program, for their continuing support for Antarctic research over many years. BS, DK, SP and MS gratefully acknowledge financial support from the Deutsche Forschungsgemeinschaft (SCHR 473/4-3). LGS and TGAG were supported by the Spanish Ministry of Science (POL2006-08405 and CTM2009-12838-C04-01). TGAG was supported by a Ramon y Cajal Fellowship at Vegetal II, Farmacia, Universidad Complutense, Madrid, Spain, and by FRST grant: Understanding, valuing and protecting Antarctica's unique terrestrial ecosystems: predicting biocomplexity in Dry Valley ecosystems, during the writing of this paper. A special thank you goes to Prof Ute Harms, IPN, Kiel, Germany for support to BS. We thank three anonymous reviewers for their comments which helped to substantially improve the manuscript.</t>
  </si>
  <si>
    <t>10.1017/S095410201200003X</t>
  </si>
  <si>
    <t>WOS:000304440700008</t>
  </si>
  <si>
    <t>Li, RX; Xiao, CD; Sneed, SB; Yan, M</t>
  </si>
  <si>
    <t>Li, R. X.; Xiao, C. D.; Sneed, S. B.; Yan, M.</t>
  </si>
  <si>
    <t>A continuous 293-year record of volcanic events in an ice core from Lambert Glacier basin, East Antarctica</t>
  </si>
  <si>
    <t>ice core dating; non-sea salt sulphate; Princess Elizabeth Land; volcanic activity</t>
  </si>
  <si>
    <t>EXPLOSIVE VOLCANISM; GREENLAND; ERUPTION; CLIMATE; SNOW; DOME</t>
  </si>
  <si>
    <t>During the 18th Chinese National Antarctic Research Expedition (CHINARE-18, 2001-2002), a 102.18m ice core was drilled at site LGB69 (70 degrees 50'06.6 '' S, 77 degrees 04'28.9 '' E, 1850m a.s.l., accumulation rate 70 cm yr(-1)), located to the east of the Lambert Glacier basin. This ice core has been analysed for chemical composition. Based on the high definition of seasonal variations of major ions, the ice core was dated to cover 293 years (AD 1708-2001), with errors at the bottom end within +/- 2 years. The non-sea salt SO42- time series provides a proxy for historical volcanic eruptions preserved in the core, and high non-sea salt SO42- concentrations are well correlated to some documented volcanic events, such as Tambora (AD 1815), Cosiguina (AD 1835), Krakatoa (AD 1883) and Tarawera (AD 1886).</t>
  </si>
  <si>
    <t>[Li, R. X.; Xiao, C. D.] China Meteorol Adm, Chinese Acad Meteorol Sci, Beijing 100081, Peoples R China; [Xiao, C. D.] Chinese Acad Sci, State Key Lab Cryospher Sci, CARREERI, Lanzhou 730000, Peoples R China; [Sneed, S. B.] Univ Maine, Climate Change Inst, Orono, ME 04469 USA; [Yan, M.] Polar Res Inst China, Shanghai 200136, Peoples R China</t>
  </si>
  <si>
    <t>China Meteorological Administration; Chinese Academy of Meteorological Sciences (CAMS); Chinese Academy of Sciences; University of Maine System; University of Maine Orono; Polar Research Institute of China</t>
  </si>
  <si>
    <t>Xiao, CD (corresponding author), China Meteorol Adm, Chinese Acad Meteorol Sci, Beijing 100081, Peoples R China.</t>
  </si>
  <si>
    <t>cdxiao@lzb.ac.cn</t>
  </si>
  <si>
    <t>National Natural Science Foundation of China [500222103002, 40825017]; Chinese Academy of Sciences; Chinese Arctic and Antarctica Administration [CHINARE2012-02-02]</t>
  </si>
  <si>
    <t>National Natural Science Foundation of China(National Natural Science Foundation of China (NSFC)); Chinese Academy of Sciences(Chinese Academy of Sciences); Chinese Arctic and Antarctica Administration</t>
  </si>
  <si>
    <t>This study was funded by the National Natural Science Foundation of China (500222103002, 40825017), the Hundred Talent Project of the Chinese Academy of Sciences, the project by Chinese Arctic and Antarctica Administration (CHINARE2012-02-02). The constructive comments of the reviewers are gratefully acknowledged.</t>
  </si>
  <si>
    <t>10.1017/S0954102011000897</t>
  </si>
  <si>
    <t>WOS:000304440700009</t>
  </si>
  <si>
    <t>Heldmann, JL; Marinova, M; Williams, KE; Lacelle, D; McKay, CP; Davila, A; Pollard, W; Andersen, DT</t>
  </si>
  <si>
    <t>Heldmann, J. L.; Marinova, M.; Williams, K. E.; Lacelle, D.; McKay, C. P.; Davila, A.; Pollard, W.; Andersen, D. T.</t>
  </si>
  <si>
    <t>Formation and evolution of buried snowpack deposits in Pearse Valley, Antarctica, and implications for Mars</t>
  </si>
  <si>
    <t>McMurdo Dry Valleys; Polar Regions; snow ablation</t>
  </si>
  <si>
    <t>MCMURDO DRY VALLEYS; MIDLATITUDE SNOWPACKS; THERMAL-CONDUCTIVITY; DUST STORMS; ICE; STABILITY; SURFACE; SUBLIMATION; TRANSPORT; HYDROGEN</t>
  </si>
  <si>
    <t>Buried snowpack deposits are found within the McMurdo Dry Valleys of Antarctica, which offers the opportunity to study these layered structures of sand and ice within a polar desert environment. Four discrete buried snowpacks are studied within Pearse Valley, Antarctica, through in situ observations, sample analyses, O-H isotope measurements and numerical modelling of snowpack stability and evolution. The buried snowpack deposits evolve throughout the year and undergo deposition, melt, refreeze, and sublimation. We demonstrate how the deposition and subsequent burial of snow can preserve the snowpacks in the Dry Valleys. The modelled lifetimes of the buried snowpacks are dependent upon subsurface stratigraphy but are typically less than one year if the lag thickness is less than c. 7 cm and snow thickness is less than c. 10 cm, indicating that some of the Antarctic buried snowpacks form annually. Buried snowpacks in the Antarctic polar desert may serve as analogues for similar deposits on Mars and may be applicable to observations of the north polar erg, buried ice at the Mars Phoenix landing site, and observations of buried ice throughout the martian Arctic. Numerical modelling suggests that seasonal snows and subsequent burial are not required to preserve the snow and ice on Mars.</t>
  </si>
  <si>
    <t>[Heldmann, J. L.; Marinova, M.; Williams, K. E.; McKay, C. P.; Davila, A.] NASA, Ames Res Ctr, Div Space Sci &amp; Astrobiol, Moffett Field, CA 94035 USA; [Marinova, M.; Williams, K. E.] Bay Area Environm Res Inst, Sonoma, CA 95476 USA; [Lacelle, D.] Univ Ottawa, Dept Geog, Ottawa, ON K1N 6N5, Canada; [Davila, A.; Andersen, D. T.] Carl Sagan Ctr Study Life Universe, SETI Inst, Mountain View, CA 94041 USA; [Pollard, W.] McGill Univ, Dept Geog, Montreal, PQ H3A 2T5, Canada</t>
  </si>
  <si>
    <t>National Aeronautics &amp; Space Administration (NASA); NASA Ames Research Center; University of Ottawa; McGill University</t>
  </si>
  <si>
    <t>Heldmann, JL (corresponding author), NASA, Ames Res Ctr, Div Space Sci &amp; Astrobiol, Moffett Field, CA 94035 USA.</t>
  </si>
  <si>
    <t>Jennifer.heldmann@nasa.gov</t>
  </si>
  <si>
    <t>Andersen, Dale T/B-4816-2013; Davila, Alfonso F/A-2198-2013</t>
  </si>
  <si>
    <t>Andersen, Dale T/0000-0001-8827-1259; McKay, Christopher/0000-0002-6243-1362; Williams, Kaj/0000-0003-1755-1872; Lacelle, Denis/0000-0002-6691-8717; Nylen, Thomas/0000-0001-9579-8702</t>
  </si>
  <si>
    <t>NASA; NSF; NASA ASTEP</t>
  </si>
  <si>
    <t>NASA(National Aeronautics &amp; Space Administration (NASA)); NSF(National Science Foundation (NSF)); NASA ASTEP(National Aeronautics &amp; Space Administration (NASA))</t>
  </si>
  <si>
    <t>The authors acknowledge funding and support from both NASA and NSF to enable the Antarctic fieldwork and data analysis (NASA ASTEP grant to CPM, NASA Exobiology grant to DTA, and logistical support for Antarctic fieldwork through NSF and Raytheon Polar Services). We appreciate support from the Crary Lab at McMurdo Station, Antarctica for laboratory and field equipment assistance. Special thanks to Jon Rask of Dynamac Corp at NASA Ames Research Center for use of laboratory facilities to enable the particle size measurements. We thank Janice Bishop and Adrian Brown of the SETI Institute for use of the visible to near-infrared spectrometer and the use of laboratory facilities at SETI. We also thank Joe Levy and an anonymous reviewer for their thoughtful comments which have helped improve the quality of this paper.</t>
  </si>
  <si>
    <t>10.1017/S0954102011000903</t>
  </si>
  <si>
    <t>WOS:000304440700010</t>
  </si>
  <si>
    <t>Ashford, JR; Fach, BA; Arkhipkin, AI; Jones, CM</t>
  </si>
  <si>
    <t>Ashford, Julian R.; Fach, Bettina A.; Arkhipkin, Alexander I.; Jones, Cynthia M.</t>
  </si>
  <si>
    <t>Testing early life connectivity supplying a marine fishery around the Falkland Islands</t>
  </si>
  <si>
    <t>Immigration; Population structure; Patagonian toothfish; Patagonian Shelf; Member-vagrant hypothesis; Antarctic Circumpolar Current; Subantarctic Front</t>
  </si>
  <si>
    <t>TOOTHFISH DISSOSTICHUS-ELEGINOIDES; ANTARCTIC CIRCUMPOLAR CURRENT; PATAGONIAN TOOTHFISH; OCEAN CIRCULATION; OTOLITH CHEMISTRY; SCOTIA SEA; POPULATIONS; ATLANTIC; LARVAL; GROWTH</t>
  </si>
  <si>
    <t>We used a wind-driven global circulation model to build spatially explicit predictions from rival hypotheses concerning advective supply of Patagonian toothfish (Dissostichus eleginoides) to a trawl fishery around the Falkland Islands, and tested the predictions using chemistry recorded in the otoliths of fish caught in the fishery. Model simulations indicated transport pathways from spawning aggregations off southern Chile to both the north and south of the fishing area. In contrast, simulated particles released from spawning aggregations around Burdwood Bank were transported to the south of the fishing area but not to the north, becoming fully entrained in the Subantarctic Front instead. Spatial heterogeneity in the chemistry laid down in the otolith nuclei during early life discounted the hypothesis of a single population with a spawning area on Burdwood Bank, and indicated that fish assemblages are structured by large-scale transport from both southern Chile and Burdwood Bank. By linking fish explicitly to their physical environment, the two techniques can help distinguish the life cycle trajectories necessary for populations to persist, and elucidate the interactions between hydrography and life history that structure the fish assemblages on which marine fisheries depend. (C) 2012 Elsevier B.V. All rights reserved.</t>
  </si>
  <si>
    <t>[Ashford, Julian R.; Jones, Cynthia M.] Old Dominion Univ, Ctr Quantitat Fisheries Ecol, Norfolk, VA 23529 USA; [Fach, Bettina A.] Middle E Tech Univ, Inst Marine Sci, TR-33731 Erdemli, Turkey; [Arkhipkin, Alexander I.] Falkland Isl Govt, Dept Fisheries, Stanley, Falkland Island, England</t>
  </si>
  <si>
    <t>Old Dominion University; Middle East Technical University</t>
  </si>
  <si>
    <t>Ashford, JR (corresponding author), Old Dominion Univ, Ctr Quantitat Fisheries Ecol, 800 W 46th St, Norfolk, VA 23529 USA.</t>
  </si>
  <si>
    <t>jashford@odu.edu</t>
  </si>
  <si>
    <t>Fach, Bettina A/JCE-6687-2023; Fach, Bettina A/B-6003-2016</t>
  </si>
  <si>
    <t>Fach, Bettina A/0000-0003-4688-1918</t>
  </si>
  <si>
    <t>Falkland Islands Government; United States National Science Foundation [NSF OPP-0338294]</t>
  </si>
  <si>
    <t>Falkland Islands Government; United States National Science Foundation(National Science Foundation (NSF))</t>
  </si>
  <si>
    <t>We would like to thank the fishery observers of the Falkland Island Fisheries Dept. who collected the samples, and several current and former colleagues at Old Dominion University: Christian Reiss, now at the National Marine Fisheries Service's Antarctic Marine Living Resources Program, for many invaluable insights; Dayanand Naik, of the Mathematics and Statistics Dept., for advice on statistical methodology; Zhongxing Chen, now at the Dept. of Earth and Planetary Sciences at Harvard University, for expertise in ICPMS techniques; Erick Larson, formerly at CQFE, who prepared the otoliths and ran the ICPMS assays; and Jason Schaffler at CQFE for valuable comments on the manuscript. The Institute of Marine Sciences at the Middle East Technical University provided computer facilities and resources. Funding was from the Falkland Islands Government and the United States National Science Foundation (project no. NSF OPP-0338294).</t>
  </si>
  <si>
    <t>10.1016/j.fishres.2012.01.023</t>
  </si>
  <si>
    <t>944RY</t>
  </si>
  <si>
    <t>WOS:000304222700015</t>
  </si>
  <si>
    <t>Colinet, H; Larvor, V; Laparie, M; Renault, D</t>
  </si>
  <si>
    <t>Colinet, Herve; Larvor, Vanessa; Laparie, Mathieu; Renault, David</t>
  </si>
  <si>
    <t>Exploring the plastic response to cold acclimation through metabolomics</t>
  </si>
  <si>
    <t>acclimation; cold stress; Drosophila melanogaster; metabolomics; recovery; phenotypic plasticity</t>
  </si>
  <si>
    <t>HEAT-SHOCK; DROSOPHILA-MELANOGASTER; FREEZE-TOLERANT; ANTARCTIC MIDGE; TEMPERATURE; STRESS; POLYOL; ACCUMULATION; DIAPAUSE; LEPIDOPTERA</t>
  </si>
  <si>
    <t>1. Adaptive responses to thermal stress typically involve a range of plastic acclimatory responses in ectothermic animals. The mechanisms underlying phenotypic plasticity in inducible cold tolerance are complex and not fully understood. 2. Here we investigated how thermoperiodic cold acclimation affected the cold tolerance and the metabolome of adult Drosophila melanogaster. We have used targeted GC/MS metabolomic profiling to address whether cold acclimation induced specific metabolic changes and affected the dynamics of the homeostatic response following different types of cold stress (acute and chronic). 3. Developmental combined with gradual adult acclimation strongly promoted cold tolerance. This phenotypic variation was associated with significant metabolic changes, among which some sugars, polyamines and metabolic intermediates are fingerprints of these changes. Cold acclimation allowed individuals to maintain metabolic homeostasis, whereas non-acclimated counterparts suffered from deep and persistent homeostatic perturbations. 4. This study gives a fertile ground for future research in disentangling the role of several metabolites putatively involved in cold acclimation and cold stress response. It also provides insight into the mechanisms by which cold acclimation is achieved in D. melanogaster and gives a basis for elucidating the evolution of plastic responses to thermal variations.</t>
  </si>
  <si>
    <t>[Colinet, Herve] Catholic Univ Louvain, Earth &amp; Life Inst ELI, Biodivers Res Ctr BDIV, B-1348 Louvain, Belgium; [Colinet, Herve; Larvor, Vanessa; Laparie, Mathieu; Renault, David] Univ Rennes 1, UMR CNRS Ecobio 6553, F-35042 Rennes, France</t>
  </si>
  <si>
    <t>Universite Catholique Louvain; Centre National de la Recherche Scientifique (CNRS); Universite de Rennes</t>
  </si>
  <si>
    <t>Colinet, H (corresponding author), Catholic Univ Louvain, Earth &amp; Life Inst ELI, Biodivers Res Ctr BDIV, Croix Sud 4-5, B-1348 Louvain, Belgium.</t>
  </si>
  <si>
    <t>herve.colinet@uclouvain.be</t>
  </si>
  <si>
    <t>Colinet, hervé/K-8768-2019; Colinet, hervé/B-3677-2019</t>
  </si>
  <si>
    <t>Colinet, hervé/0000-0002-8806-3107; Colinet, hervé/0000-0002-8806-3107; RENAULT, David/0000-0003-3644-1759</t>
  </si>
  <si>
    <t>Fonds de la Recherche Scientifique - FNRS in Belgium</t>
  </si>
  <si>
    <t>Fonds de la Recherche Scientifique - FNRS in Belgium(Fonds de la Recherche Scientifique - FNRS)</t>
  </si>
  <si>
    <t>This study was supported by Fonds de la Recherche Scientifique - FNRS in Belgium. This paper is number BRC226 of the Biodiversity Research Centre.</t>
  </si>
  <si>
    <t>10.1111/j.1365-2435.2012.01985.x</t>
  </si>
  <si>
    <t>945EV</t>
  </si>
  <si>
    <t>WOS:000304256500018</t>
  </si>
  <si>
    <t>Manoj, MC; Thamban, M; Basavaiah, N; Mohan, R</t>
  </si>
  <si>
    <t>Manoj, Madhusudhanan C.; Thamban, Meloth; Basavaiah, Natani; Mohan, Rahul</t>
  </si>
  <si>
    <t>Evidence for climatic and oceanographic controls on terrigenous sediment supply to the Indian Ocean sector of the Southern Ocean over the past 63,000 years</t>
  </si>
  <si>
    <t>GEO-MARINE LETTERS</t>
  </si>
  <si>
    <t>ANTARCTIC CIRCUMPOLAR CURRENT; DEEP-SEA SEDIMENTS; SW PACIFIC-OCEAN; LATE QUATERNARY; ICE-SHEET; INTERGLACIAL CHANGES; ATLANTIC; ACCUMULATION; SIGNATURE; MAGNETISM</t>
  </si>
  <si>
    <t>Multiple proxy studies on sediment core SK 200/22a from the sub-Antarctic sector of the Indian Ocean revealed millennial-scale fluctuations in terrigenous input during the last 63,000 years. The marine isotope stages 1 (MIS 1) and MIS 3 are characterized by generally low concentrations of magnetic minerals, being dominated by fine-grained magnetite and titano-magnetite. Within the chronological constraints, periods of enhanced terrigenous input and calcite productivity over the last 63,000 years are nearly synchronous with the warming events recorded in Antarctic ice cores. An equatorward shift of the westerly wind system in association with a strengthening of the Antarctic Circumpolar Current (ACC) system may have promoted wind-induced shallow-water erosion around oceanic islands, leading to enhanced terrigenous input to the core site. Major ice-rafted debris events at 13-23, 25-30, 45-48 and 55-58 ka BP are asynchronous with delta O-18 and carbonate productivity records. This out-of-phase relation suggests that ice-sheet dynamics and ACC intensity were the primary factors influencing ice rafting and terrigenous input to the Indian sector of the Southern Ocean, with only limited support from sea-surface warming.</t>
  </si>
  <si>
    <t>[Manoj, Madhusudhanan C.; Thamban, Meloth; Mohan, Rahul] Natl Ctr Antarctic &amp; Ocean Res, Vasco Da Gama 403804, Goa, India; [Basavaiah, Natani] Indian Inst Geomagnetism, New Panvel, Navi Mumbai, India</t>
  </si>
  <si>
    <t>Ministry of Earth Sciences (MoES) - India; National Centre for Polar and Ocean Research (NCPOR); Department of Science &amp; Technology (India); Indian Institute of Geomagnetism (IIG)</t>
  </si>
  <si>
    <t>Manoj, MC (corresponding author), Natl Ctr Antarctic &amp; Ocean Res, Vasco Da Gama 403804, Goa, India.</t>
  </si>
  <si>
    <t>manojmc@ncaor.org</t>
  </si>
  <si>
    <t>0276-0460</t>
  </si>
  <si>
    <t>1432-1157</t>
  </si>
  <si>
    <t>GEO-MAR LETT</t>
  </si>
  <si>
    <t>Geo-Mar. Lett.</t>
  </si>
  <si>
    <t>10.1007/s00367-011-0267-6</t>
  </si>
  <si>
    <t>943PQ</t>
  </si>
  <si>
    <t>WOS:000304137200005</t>
  </si>
  <si>
    <t>Thompson, GA; Dinofrio, EO; Alder, VA</t>
  </si>
  <si>
    <t>Thompson, Gustavo A.; Dinofrio, Estela O.; Alder, Viviana A.</t>
  </si>
  <si>
    <t>Interannual fluctuations in copepod abundance and contribution of small forms in the Drake Passage during austral summer</t>
  </si>
  <si>
    <t>Copepods; Density; Biomass; Interannual fluctuations; Drake Passage</t>
  </si>
  <si>
    <t>ANTARCTIC CIRCUMPOLAR CURRENT; WEDDELL SEA; COMMUNITY STRUCTURE; SEASONAL-VARIATION; SCOTIA SEA; MICROZOOPLANKTON; MESOZOOPLANKTON; ZOOPLANKTON; VARIABILITY; PATTERNS</t>
  </si>
  <si>
    <t>The relative importance of small forms of copepods has been historically underestimated by the traditional use of 200-300-mu m mesh nets. This work quantified the distribution and abundance of copepods, considering two size fractions (&lt; 300 mu m and &gt; 300 mu m), in superficial waters (9 m deep) of the Drake Passage and contributed to the knowledge of their interannual fluctuations among three summers. Four types of nauplii and eleven species of copepods at copepodite and adult stages were identified, with abundance values of up to 13 ind L-1 and 28,300 mu g C m(-3). The &lt; 300-mu m fraction, composed of Oithona similis, small cyclopoids and nauplii, dominated the copepod communities in the 3 years; it accounted for more than 77% of the total number and for between 40 and 63% of the total biomass. Changes in density and biomass values among the three cruises differed according to copepod size fraction and water mass; the &gt; 300-mu m fraction showed no changes among the 3 years, both in Antarctic (density and biomass) and in Subantarctic waters (density), whereas the &lt; 300-mu m fraction showed higher (density and biomass) values in 2001 both in Subantarctic and in Antarctic waters. Sea surface temperature and its anomaly accounted for the largest proportion of variability in copepod density and biomass, particularly for the &lt; 300-mu m fraction.</t>
  </si>
  <si>
    <t>[Thompson, Gustavo A.; Alder, Viviana A.] Univ Buenos Aires, Fac Ciencias Exactas &amp; Nat, Dept Ecol Genet &amp; Evoluc, Buenos Aires, DF, Argentina; [Thompson, Gustavo A.; Alder, Viviana A.] Consejo Nacl Invest Cient &amp; Tecn, RA-1917 Buenos Aires, DF, Argentina; [Dinofrio, Estela O.; Alder, Viviana A.] Inst Antartico Argentino, Buenos Aires, DF, Argentina</t>
  </si>
  <si>
    <t>University of Buenos Aires; Consejo Nacional de Investigaciones Cientificas y Tecnicas (CONICET); Instituto Antartico Argentino</t>
  </si>
  <si>
    <t>Thompson, GA (corresponding author), Univ Buenos Aires, Fac Ciencias Exactas &amp; Nat, Dept Ecol Genet &amp; Evoluc, Ciudad Univ Pab 2, Buenos Aires, DF, Argentina.</t>
  </si>
  <si>
    <t>Thompson, Gustavo/0000-0002-5511-3673; Alder, Viviana A./0000-0002-7375-3279</t>
  </si>
  <si>
    <t>IAA [58 IAA, PICT 7-9108 ANPCyT]; Agencia Nacional de Promocion Cientifica y Tecnologica (ANPCyT)</t>
  </si>
  <si>
    <t>We thank the personnel of the Instituto Antartico Argentino (IAA), the Servicio de Hidrografia Naval and the crew of 'Almirante Irizar' for their support during sampling. Surveys were supported by grants No. 58 IAA and PICT 7-9108 ANPCyT to V. Alder from the IAA and the Agencia Nacional de Promocion Cientifica y Tecnologica (ANPCyT).</t>
  </si>
  <si>
    <t>10.1007/s10152-011-0253-4</t>
  </si>
  <si>
    <t>945TE</t>
  </si>
  <si>
    <t>WOS:000304298100002</t>
  </si>
  <si>
    <t>Rodríguez, E</t>
  </si>
  <si>
    <t>Rodriguez, Estefania</t>
  </si>
  <si>
    <t>Another bipolar deep-sea anemone: new species of Iosactis (Actiniaria, Endomyaria) from Antarctica</t>
  </si>
  <si>
    <t>Anthozoa; Cnidaria; Deep-sea; Scotia Sea; Taxonomy</t>
  </si>
  <si>
    <t>TAXONOMIC RELEVANCE; PART I; ATLANTIC; CNIDARIA; CLASSIFICATION; FORMS</t>
  </si>
  <si>
    <t>A new species of deep-sea burrowing sea anemone is described and illustrated from Antarctica. Iosactis antarctica sp. nov. is characterised by easily deciduous tentacles with sphincters in the base, smooth column, endodermal marginal sphincter, same mesenteries proximally and distally, 24 perfect mesenteries regularly arranged, diffuse retractor musculature and basilar muscles well developed. Iosactis antarctica sp. nov. is the second species of the deep-sea abyssal genus Iosactis; it differs from I. vagabunda in internal anatomy, cnidae and geographic distribution. The description of I. antarctica sp. nov. provides the opportunity to revaluate the morphology of the proximal end of this genus.</t>
  </si>
  <si>
    <t>Amer Museum Nat Hist, Div Invertebrate Zool, New York, NY 10024 USA</t>
  </si>
  <si>
    <t>American Museum of Natural History (AMNH)</t>
  </si>
  <si>
    <t>Rodríguez, E (corresponding author), Amer Museum Nat Hist, Div Invertebrate Zool, Cent Pk W,79th St, New York, NY 10024 USA.</t>
  </si>
  <si>
    <t>erodriguez@amnh.org</t>
  </si>
  <si>
    <t>Rodríguez, Estefanía/AAK-4634-2021</t>
  </si>
  <si>
    <t>Rodríguez, Estefanía/0000-0002-5590-6606</t>
  </si>
  <si>
    <t>Spanish CICYT [REN2001-4269-E, CGL2004-20141-E]</t>
  </si>
  <si>
    <t>Spanish CICYT(Consejo Interinstitucional de Ciencia y Tecnologia (CICYT))</t>
  </si>
  <si>
    <t>Special thanks to PJ. Lopez-Gonzalez (Universidad de Sevilla) and Prof. Angelika Brandt (Zoological Institut and Zoological Museum, Hamburg) for making possible the participation in the Antarctic cruise ANDEEP-I. Thanks to M. Conradi (Universidad de Sevilla) who collected the material from ANDEEP-I in this manuscript and to T. Coffer (USNM) for his help with the material from USNM in this manuscript. Partial support was provided by Spanish CICYT projects: REN2001-4269-E and CGL2004-20141-E. This is ANDEEP publication number 149.</t>
  </si>
  <si>
    <t>10.1007/s10152-011-0263-2</t>
  </si>
  <si>
    <t>WOS:000304298100010</t>
  </si>
  <si>
    <t>Moran, AL; Woods, HA</t>
  </si>
  <si>
    <t>Moran, Amy L.; Woods, H. Arthur</t>
  </si>
  <si>
    <t>Why might they be giants? Towards an understanding of polar gigantism</t>
  </si>
  <si>
    <t>body size; evolution; Bergmann; carbonate; temperature-size rule; temperature; oxygen; polar ocean; Arctic; Antarctic; optimality models; life history</t>
  </si>
  <si>
    <t>TEMPERATURE-SIZE RULE; BODY-SIZE; GENERAL EXPLANATION; THERMAL TOLERANCE; BERGMANNS RULE; CLIMATE-CHANGE; OCEAN; EVOLUTION; OXYGEN; LIFE</t>
  </si>
  <si>
    <t>Beginning with the earliest expeditions to the poles, over 100. years ago, scientists have compiled an impressive list of polar taxa whose body sizes are unusually large. This phenomenon has become known as. 'polar gigantism'. In the intervening years, biologists have proposed a multitude of hypotheses to explain polar gigantism. These hypotheses run the gamut from invoking release from physical and physiological constraints, to systematic changes in developmental trajectories, to community-level outcomes of broader ecological and evolutionary processes. Here we review polar gigantism and emphasize two main problems. The first is to determine the true strength and generality of this pattern: how prevalent is polar gigantism across taxonomic units? Despite many published descriptions of polar giants, we still have a poor grasp of whether these species are unusual outliers or represent more systematic shifts in distributions of body size. Indeed, current data indicate that some groups show gigantism at the poles whereas others show nanism. The second problem is to identify underlying mechanisms or processes that could drive taxa, or even just allow them, to evolve especially large body size. The contenders are diverse and no clear winner has yet emerged. Distinguishing among the contenders will require better sampling of taxa in both temperate and polar waters and sustained efforts by comparative physiologists and evolutionary ecologists in a strongly comparative framework.</t>
  </si>
  <si>
    <t>[Moran, Amy L.] Clemson Univ, Dept Biol Sci, Clemson, SC 29634 USA; [Woods, H. Arthur] Univ Montana, Div Biol Sci, Missoula, MT 59812 USA</t>
  </si>
  <si>
    <t>Clemson University; University of Montana System; University of Montana</t>
  </si>
  <si>
    <t>Moran, AL (corresponding author), Clemson Univ, Dept Biol Sci, Clemson, SC 29634 USA.</t>
  </si>
  <si>
    <t>moran@clemson.edu</t>
  </si>
  <si>
    <t>Moran, Amy L/F-7072-2011</t>
  </si>
  <si>
    <t>Moran, Amy/0000-0002-0604-5096</t>
  </si>
  <si>
    <t>United States National Science Foundation [ANT-0551969, ANT-0440577]; Clemson University; University of Montana</t>
  </si>
  <si>
    <t>United States National Science Foundation(National Science Foundation (NSF)); Clemson University; University of Montana</t>
  </si>
  <si>
    <t>This work was supported by the United States National Science Foundation [ANT-0551969 to A.L.M. and ANT-0440577 to H.A.W.], and by Clemson University and the University of Montana.</t>
  </si>
  <si>
    <t>10.1242/jeb.067066</t>
  </si>
  <si>
    <t>947IH</t>
  </si>
  <si>
    <t>WOS:000304423200005</t>
  </si>
  <si>
    <t>López-Martínez, G; Hahn, DA</t>
  </si>
  <si>
    <t>Lopez-Martinez, Giancarlo; Hahn, Daniel A.</t>
  </si>
  <si>
    <t>Short-term anoxic conditioning hormesis boosts antioxidant defenses, lowers oxidative damage following irradiation and enhances male sexual performance in the Caribbean fruit fly, Anastrepha suspensa</t>
  </si>
  <si>
    <t>superoxide dismutase; glutathione peroxidase; sterile insect technique; gamma irradiation; oxidative stress; sexual selection</t>
  </si>
  <si>
    <t>HISTORY TRADE-OFFS; DIPTERA-TEPHRITIDAE; ANTARCTIC MIDGE; HEAT-SHOCK; DROSOPHILA-MELANOGASTER; SUPEROXIDE-DISMUTASE; BELGICA-ANTARCTICA; GAMMA-IRRADIATION; GENE-EXPRESSION; IMMATURE STAGES</t>
  </si>
  <si>
    <t>Most organisms are repeatedly exposed to oxidative stress from multiple sources throughout their lifetimes, potentially affecting all aspects of organismal performance. Here we test whether exposure to a conditioning bout of anoxia early in adulthood induces a hormetic response that confers resistance to oxidative stress and enhances male sexual performance later in life in the Caribbean fruit fly, Anastrepha suspensa. Anoxic conditioning of adults prior to emergence led to an increase in antioxidant capacity driven by mitochondrial superoxide dismutase and glutathione peroxidase. When exposed to gamma irradiation, a strong oxidative stressor, males that received anoxic conditioning had lower lipid and protein oxidative damage at sexual maturity. Anoxia conditioning led to greater male sexual competitiveness compared with unconditioned males when both were irradiated, although there was no effect of anoxia conditioning on mating competitiveness in unirradiated males. Anoxia also led to higher adult emergence rates and greater flight ability in irradiation-stressed flies while preserving sterility. Thus, hormetic treatments that increased antioxidant enzyme activity also improved male performance after irradiation, suggesting that antioxidant enzymes play an important role in mediating the relationship between oxidative stress and sexual selection. Furthermore, our work has important applied implications for the sterile insect technique (SIT), an environmentally friendly method of insect pest control where males are sterilized by irradiation and deployed in the field to disrupt pest populations via mating. We suggest that hormetic treatments specifically designed to enhance antioxidant activity may produce more sexually competitive sterile males, thus improving the efficacy and economy of SIT programs.</t>
  </si>
  <si>
    <t>[Lopez-Martinez, Giancarlo; Hahn, Daniel A.] Univ Florida, Dept Entomol &amp; Nematol, Gainesville, FL 32611 USA</t>
  </si>
  <si>
    <t>State University System of Florida; University of Florida</t>
  </si>
  <si>
    <t>López-Martínez, G (corresponding author), Univ Florida, Dept Entomol &amp; Nematol, Gainesville, FL 32611 USA.</t>
  </si>
  <si>
    <t>gc.lopez@ufl.edu</t>
  </si>
  <si>
    <t>Lopez-Martinez, Giancarlo/AAE-8134-2020; Hahn, Daniel A/B-6971-2012; Lopez-Martinez, Giancarlo/D-1718-2011</t>
  </si>
  <si>
    <t>Lopez-Martinez, Giancarlo/0000-0002-7937-5002; Lopez-Martinez, Giancarlo/0000-0002-7937-5002; Hahn, Daniel/0000-0003-0165-7488</t>
  </si>
  <si>
    <t>United States Department of Agriculture's Tropical Subtropical Agricultural Research [TSTARc-0905 1246]; FAO/IAEA</t>
  </si>
  <si>
    <t>United States Department of Agriculture's Tropical Subtropical Agricultural Research; FAO/IAEA(International Atomic Energy Agency)</t>
  </si>
  <si>
    <t>This research was funded by the United States Department of Agriculture's Tropical Subtropical Agricultural Research grant [TSTARc-0905 1246 to D.A.H.] and the FAO/IAEA Coordinated Research Project on Development of Generic Irradiation Doses for Quarantine Treatments.</t>
  </si>
  <si>
    <t>10.1242/jeb.065631</t>
  </si>
  <si>
    <t>WOS:000304423200022</t>
  </si>
  <si>
    <t>Volkov, DL; Zlotnicki, V</t>
  </si>
  <si>
    <t>Volkov, Denis L.; Zlotnicki, Victor</t>
  </si>
  <si>
    <t>Performance of GOCE and GRACE-derived mean dynamic topographies in resolving Antarctic Circumpolar Current fronts</t>
  </si>
  <si>
    <t>OCEAN DYNAMICS</t>
  </si>
  <si>
    <t>Antarctic Circumpolar Current; Southern Ocean; Antarctic Circumpolar Current fronts; Sub-Antarctic front; Polar front; South ACC front; Satellite altimetry; Satellite gravity; Mean dynamic topography; GOCE; GRACE; Sea surface height gradients</t>
  </si>
  <si>
    <t>SOUTHERN-OCEAN; VARIABILITY; CIRCULATION; TRANSPORT; MODEL</t>
  </si>
  <si>
    <t>Presently, two satellite missions, Gravity Recovery and Climate Experiment (GRACE) and Gravity field and steady-state Ocean Circulation Explorer (GOCE), are making detailed measurements of the Earth's gravity field, from which the geoid can be obtained. The mean dynamic topography (MDT) is the difference between the time-averaged sea surface height and the geoid. The GOCE mission is aimed at determining the geoid with superior accuracy and spatial resolution, so that a more accurate MDT can be estimated. In this study, we determine the mean positions of the Antarctic Circumpolar Current fronts using the purely geodetic estimates of the MDT constructed from an altimetric mean sea surface and GOCE and GRACE geoids. Overall, the frontal positions obtained from the GOCE and GRACE MDTs are close to each other. This means that these independent estimates are robust and can potentially be used to validate frontal positions obtained from sparse and irregular in situ measurements. The geodetic frontal positions are compared to earlier estimates as well as to those derived from MDTs based on satellite and in situ measurements and those obtained from an ocean data synthesis product. The position of the Sub-Antarctic Front identified in the GOCE MDT is found to be in better agreement with the previous estimates than that identified in the GRACE MDT. The geostrophic velocities derived from the GOCE MDT are also closer to observations than those derived from the GRACE MDT. Our results thus show that the GOCE mission represents an improvement upon GRACE in terms of the time-averaged geoid.</t>
  </si>
  <si>
    <t>[Volkov, Denis L.] Univ Calif Los Angeles, Joint Inst Reg Earth Syst Sci &amp; Engn, Los Angeles, CA 90095 USA; [Volkov, Denis L.; Zlotnicki, Victor] CALTECH, Jet Prop Lab, Pasadena, CA 91109 USA</t>
  </si>
  <si>
    <t>University of California System; University of California Los Angeles; National Aeronautics &amp; Space Administration (NASA); NASA Jet Propulsion Laboratory (JPL); California Institute of Technology</t>
  </si>
  <si>
    <t>Volkov, DL (corresponding author), Univ Calif Los Angeles, Joint Inst Reg Earth Syst Sci &amp; Engn, Los Angeles, CA 90095 USA.</t>
  </si>
  <si>
    <t>denis.volkov@jpl.nasa.gov</t>
  </si>
  <si>
    <t>Volkov, Denis/A-6079-2011</t>
  </si>
  <si>
    <t>Volkov, Denis/0000-0002-9290-0502; Zlotnicki, Victor/0000-0002-1983-7930</t>
  </si>
  <si>
    <t>National Aeronautics and Space Administration (NASA)</t>
  </si>
  <si>
    <t>National Aeronautics and Space Administration (NASA)(National Aeronautics &amp; Space Administration (NASA))</t>
  </si>
  <si>
    <t>This work was funded by the NASA Physical Oceanography program and carried out at Jet Propulsion Laboratory, California Institute of Technology, under contract with the National Aeronautics and Space Administration (NASA). The authors thank S. Sokolov, S. R. Rintoul, and A. H. Orsi for providing their estimates of frontal positions. Comments from two anonymous reviewers and the editor K. Heywood are greatly appreciated. Copyright 2011 California Institute of Technology. Government sponsorship is acknowledged.</t>
  </si>
  <si>
    <t>1616-7341</t>
  </si>
  <si>
    <t>OCEAN DYNAM</t>
  </si>
  <si>
    <t>Ocean Dyn.</t>
  </si>
  <si>
    <t>10.1007/s10236-012-0541-9</t>
  </si>
  <si>
    <t>945XA</t>
  </si>
  <si>
    <t>WOS:000304308500006</t>
  </si>
  <si>
    <t>Hückstädt, LA; Koch, PL; McDonald, BI; Goebel, ME; Crocker, DE; Costa, DP</t>
  </si>
  <si>
    <t>Hueckstaedt, L. A.; Koch, P. L.; McDonald, B. I.; Goebel, M. E.; Crocker, D. E.; Costa, D. P.</t>
  </si>
  <si>
    <t>Stable isotope analyses reveal individual variability in the trophic ecology of a top marine predator, the southern elephant seal</t>
  </si>
  <si>
    <t>OECOLOGIA</t>
  </si>
  <si>
    <t>Mirounga leonina; Foraging strategies; delta C-13; delta N-15; Telemetry</t>
  </si>
  <si>
    <t>ANTARCTIC FUR SEALS; FORAGING STRATEGIES; MIROUNGA-LEONINA; JUVENILE SOUTHERN; DIET; CARBON; NITROGEN; NICHE; SPECIALIZATION; DELTA-C-13</t>
  </si>
  <si>
    <t>Identifying individuals' foraging strategies is critical to understanding the ecology of a species, and can provide the means to predict possible ecological responses to environmental change. Our study combines stable isotope analysis and satellite telemetry to study the variability in individual foraging strategies of adult female southern elephant seals (). Our hypothesis is that female elephant seals from the Western Antarctica Peninsula (WAP) display individual specialization in their diets. We captured adult female elephant seals ( = 56, 2005-2009) at Livingston Island (Antarctica), and instrumented them with SMRU-CTD satellite tags. We collected blood, fur, and vibrissae samples for delta C-13 and delta N-15 analyses. The mean values for all vibrissae were -21.0 +/- A 0.7aEuro degrees for delta C-13, and 10.4 +/- A 0.8aEuro degrees, for delta N-15. The individual variability of delta C-13 (60%) was more important than the within-individual variability (40%) in explaining the total variance observed in our data. For delta N-15, the results showed the opposite trend, with the within-individual variability (64%) contributing more to the total variance than the individual variability (36%), likely associated with the effect that the fasting periods have on delta N-15 values. Most individuals were specialists, as inferred from the low intra-individual variability of delta C-13 values with respect to the population variability, with half the individuals utilizing 31% or less of their available niche. We found eight different foraging strategies for these animals. Female elephant seals from the WAP are a diverse group of predators with individuals utilizing only a small portion of the total available niche, with the consequent potential to expand their foraging habits to exploit other resources or environments in the Southern Ocean.</t>
  </si>
  <si>
    <t>[Hueckstaedt, L. A.] Univ Calif Santa Cruz, Ocean Sci Dept, Santa Cruz, CA 95060 USA; [Koch, P. L.] Univ Calif Santa Cruz, Earth &amp; Planetary Sci Dept, Santa Cruz, CA 95064 USA; [McDonald, B. I.] Scripps Inst Oceanog, Ctr Marine Biotechnol &amp; Biomed, La Jolla, CA 92037 USA; [Goebel, M. E.] NOAA, Antarctica Ecosyst Res Div, SW Fisheries Sci Ctr, La Jolla, CA 92037 USA; [Crocker, D. E.] Sonoma State Univ, Dept Biol, Rohnert Pk, CA 94928 USA; [Costa, D. P.] Univ Calif Santa Cruz, Ecol &amp; Evolutionary Biol Dept, Santa Cruz, CA 95060 USA</t>
  </si>
  <si>
    <t>University of California System; University of California Santa Cruz; University of California System; University of California Santa Cruz; University of California System; University of California San Diego; Scripps Institution of Oceanography; National Oceanic Atmospheric Admin (NOAA) - USA; California State University System; Sonoma State University; University of California System; University of California Santa Cruz</t>
  </si>
  <si>
    <t>Hückstädt, LA (corresponding author), Univ Calif Santa Cruz, Ocean Sci Dept, 100 Shaffer Rd, Santa Cruz, CA 95060 USA.</t>
  </si>
  <si>
    <t>lahuckst@ucsc.edu</t>
  </si>
  <si>
    <t>McDonald, Birgitte I/I-3602-2019; Huckstadt, Luis/JNR-7637-2023; Huckstadt, Luis A./J-8532-2019; Carlos, Universidade Federal de São/W-8832-2019; Costa, Daniel Paul/E-2616-2013</t>
  </si>
  <si>
    <t>McDonald, Birgitte I/0000-0001-5028-066X; Huckstadt, Luis A./0000-0002-2453-7350; Carlos, Universidade Federal de São/0000-0002-0334-3899; Costa, Daniel Paul/0000-0002-0233-5782</t>
  </si>
  <si>
    <t>NSF [ANT-0840375, ANT-0440687, ANT-0523332, ANT-0838937]; NOPP [N00014-05-1-0645]; Marine Mammal Commission; Friends of Long Marine Lab; CDELSI-UCSC; Fulbright-CONICYT (Chile); Directorate For Geosciences; Office of Polar Programs (OPP) [0838937] Funding Source: National Science Foundation</t>
  </si>
  <si>
    <t>NSF(National Science Foundation (NSF)); NOPP; Marine Mammal Commission; Friends of Long Marine Lab; CDELSI-UCSC; Fulbright-CONICYT (Chile); Directorate For Geosciences; Office of Polar Programs (OPP)(National Science Foundation (NSF)NSF - Directorate for Geosciences (GEO))</t>
  </si>
  <si>
    <t>We thank S. Simmons, K. Goetz, B. Nickel, B. Walker, J. Lehman, L. Roland, S. Kim, D. Andreasen, A-L. Harrison, N. Teutschel, S. Peterson and Cape Shirreff field crews (2005-2009) for assisting with collection and analysis of the data. US-AMLR program, NSF, USAP, and Raytheon Polar Services provided logistic support. Funding was provided by NSF (ANT-0840375, ANT-0440687, ANT-0523332 and ANT-0838937), NOPP (N00014-05-1-0645), Marine Mammal Commission, Friends of Long Marine Lab, and CDELSI-UCSC. L.A.H.'s doctoral studies were supported by Fulbright-CONICYT (Chile).</t>
  </si>
  <si>
    <t>0029-8549</t>
  </si>
  <si>
    <t>1432-1939</t>
  </si>
  <si>
    <t>Oecologia</t>
  </si>
  <si>
    <t>10.1007/s00442-011-2202-y</t>
  </si>
  <si>
    <t>943ZJ</t>
  </si>
  <si>
    <t>WOS:000304166600011</t>
  </si>
  <si>
    <t>Espurt, N; Callot, JP; Roure, F; Totterdell, JM; Struckmeyer, HIM; Vially, R</t>
  </si>
  <si>
    <t>Espurt, Nicolas; Callot, Jean-Paul; Roure, Francois; Totterdell, Jennifer M.; Struckmeyer, Heike I. M.; Vially, Roland</t>
  </si>
  <si>
    <t>Transition from symmetry to asymmetry during continental rifting: an example from the Bight Basin-Terre Adelie (Australian and Antarctic conjugate margins)</t>
  </si>
  <si>
    <t>TERRA NOVA</t>
  </si>
  <si>
    <t>LITHOSPHERIC EXTENSION; MANTLE EXHUMATION; SOUTHERN MARGIN; WILKES LAND; EVOLUTION; DEFORMATION; RESTORATION; INFERENCES; NORTH; OCEAN</t>
  </si>
  <si>
    <t>Terra Nova, 24, 167180, 2012 Abstract The rifting history of the magma-poor conjugate margins of Australia and Antarctica is still a controversial issue. In this article, we present a model for lithosphere-scale rifting and deformation history from initial Jurassic rifting to Late Cretaceous breakup for the conjugate Bight BasinTerre Adelie section of the margin, based on the interpretation of two regional conjugate seismic profiles of the margins, and the construction of a lithosphere-scale, balanced cross-section, sequentially restored through time. The model scenario highlights the symmetric pattern of initial stretching resulting from pure shear at lithospheric-scale accompanied by the development of four conjugate detachments and crustal half-graben systems. This system progressively evolves to completely asymmetric shearing along a single south-dipping detachment at the scale of the lithosphere. Antarctica plays the role of the upper plate and Australia, the lower plate. The detachment accounts for the exhumation of the mantle part of the Australian lithosphere, and the isolation of a crustal klippe separated from the margin by a serpentinized peridotite ridge. The total elongation amount of the AustralianAntarctic conjugate system reaches similar to 473 km (178%). Elongation was partitioned through time: similar to 189 and similar to 284 km during symmetric and asymmetric stages respectively. During the symmetric stage, both margins underwent approximately the same degree of crustal stretching [similar to 105 km (75%) and similar to 84 km (67%) for Australia and Antarctica respectively]. Again, both margins accommodated relatively the same elongation during the asymmetric stage: the Antarctic upper plate records an elongation amount of similar to 284 km (88%) as crustal/mantle stretching, above the inferred low-angle south-dipping detachment zone, whereas the Australian lower plate underwent similar to 270 km (206%) of elongation through mantle exhumation. Although the restoration process does not allow reconstruction of the precise geometry before deformation, we propose that the Jurassic early geometric evolution of the margins may have been controlled by the inherited structure or rheological heterogeneities of the continental crust; its later evolution is thought to relate to the mechanical evolution of the crustal and mantle material during exhumation, with a strong increase in localization of shear in the lower crust and mantle part of the Australian margin. The geometry of the rifted margins is comparable to other magma-poor rifted margin such as the NewfoundlandIberia margins or the exhumed Alpine Tethys margin exposed in the Central Alps.</t>
  </si>
  <si>
    <t>[Espurt, Nicolas] Aix Marseille Univ, CEREGE, CNRS, UMR 7330,IRD,UMR 161, F-13545 Aix En Provence 4, France; [Callot, Jean-Paul; Roure, Francois; Vially, Roland] IFP Energies Nouvelles, F-92852 Rueil Malmaison, France; [Totterdell, Jennifer M.; Struckmeyer, Heike I. M.] Geosci Australia, Petr &amp; Marine Div, Canberra, ACT 2601, Australia</t>
  </si>
  <si>
    <t>Centre National de la Recherche Scientifique (CNRS); CNRS - National Institute for Earth Sciences &amp; Astronomy (INSU); Aix-Marseille Universite; Institut de Recherche pour le Developpement (IRD); IFP Energies Nouvelles; Geoscience Australia</t>
  </si>
  <si>
    <t>Espurt, N (corresponding author), Aix Marseille Univ, CEREGE, CNRS, UMR 7330,IRD,UMR 161, Technopole Environm Arbois Mediterranee,BP 80, F-13545 Aix En Provence 4, France.</t>
  </si>
  <si>
    <t>espurt@cerege.fr</t>
  </si>
  <si>
    <t>CALLOT, Jean-Paul/0000-0001-9385-3974</t>
  </si>
  <si>
    <t>0954-4879</t>
  </si>
  <si>
    <t>1365-3121</t>
  </si>
  <si>
    <t>Terr. Nova</t>
  </si>
  <si>
    <t>10.1111/j.1365-3121.2011.01055.x</t>
  </si>
  <si>
    <t>942YS</t>
  </si>
  <si>
    <t>WOS:000304088200001</t>
  </si>
  <si>
    <t>Liu, HL; Lin, PF; Yu, YQ; Zhang, XH</t>
  </si>
  <si>
    <t>Liu Hailong; Lin Pengfei; Yu Yongqiang; Zhang Xuehong</t>
  </si>
  <si>
    <t>The baseline evaluation of LASG/IAP climate system ocean model (LICOM) version 2</t>
  </si>
  <si>
    <t>ACTA METEOROLOGICA SINICA</t>
  </si>
  <si>
    <t>LASG/IAP climate system ocean model; coordinated ocean-ice reference experiments</t>
  </si>
  <si>
    <t>CIRCULATION; SENSITIVITY; PACIFIC; HEAT; PRECIPITATION; TEMPERATURE; TURBULENCE; TRANSPORT; MOMENTUM</t>
  </si>
  <si>
    <t>The baseline performance of the latest version (version 2) of an intermediate resolution, stand-alone climate oceanic general circulation model, called LASG/IAP (State Key Laboratory of Numerical Modeling for Atmospheric Sciences and Geophysical Fluid Dynamics/Institute of Atmospheric Physics) Climate system Ocean Model (LICOM), has been evaluated against the observation by using the main metrics from Griffies et al. in 2009. In general, the errors of LICOM2 in the water properties and in the circulation are comparable with the models of Coordinated Ocean-ice Reference Experiments (COREs). Some common biases are still evident in the present version, such as the cold bias in the eastern Pacific cold tongue, the warm biases off the east coast of the basins, the weak poleward heat transport in the Atlantic, and the relatively large biases in the Arctic Ocean. A unique systematic bias occurs in LICOM2 over the Southern Ocean, compared with CORE models. It seems that this bias may be related to the sea ice process around the Antarctic continent.</t>
  </si>
  <si>
    <t>[Liu Hailong; Lin Pengfei; Yu Yongqiang; Zhang Xuehong] Chinese Acad Sci, Inst Atmospher Phys, LASG, Beijing 100029, Peoples R China</t>
  </si>
  <si>
    <t>Liu, HL (corresponding author), Chinese Acad Sci, Inst Atmospher Phys, LASG, Beijing 100029, Peoples R China.</t>
  </si>
  <si>
    <t>lhl@lasg.iap.ac.cn</t>
  </si>
  <si>
    <t>Lin, Pengfei/AAJ-5379-2020; Yu, Yongqiang/K-7808-2012; Liu, Hailong/C-9566-2013</t>
  </si>
  <si>
    <t>Lin, Pengfei/0000-0003-2361-0066; Yu, Yongqiang/0000-0001-8596-3583; Liu, Hailong/0000-0002-8780-0398</t>
  </si>
  <si>
    <t>National Basic Research and Development (973) Program of China [2010CB951904, 2007CB411806]; National Natural Science Foundation of China [41075059, 41023002]; Strategic Priority Research Program of the Chinese Academy of Sciences [XDA05110302]</t>
  </si>
  <si>
    <t>National Basic Research and Development (973) Program of China(National Basic Research Program of China); National Natural Science Foundation of China(National Natural Science Foundation of China (NSFC)); Strategic Priority Research Program of the Chinese Academy of Sciences(Chinese Academy of Sciences)</t>
  </si>
  <si>
    <t>Supported by the National Basic Research and Development (973) Program of China (2010CB951904 and 2007CB411806), National Natural Science Foundation of China (41075059 and 41023002), and Strategic Priority Research Program of the Chinese Academy of Sciences (XDA05110302).</t>
  </si>
  <si>
    <t>0894-0525</t>
  </si>
  <si>
    <t>2191-4788</t>
  </si>
  <si>
    <t>ACTA METEOROL SIN</t>
  </si>
  <si>
    <t>Acta Meteorol. Sin.</t>
  </si>
  <si>
    <t>10.1007/s13351-012-0305-y</t>
  </si>
  <si>
    <t>970JD</t>
  </si>
  <si>
    <t>WOS:000306123300005</t>
  </si>
  <si>
    <t>Can we still afford Antarctic science?</t>
  </si>
  <si>
    <t>Natural Environment Research Council [bas010011] Funding Source: researchfish; NERC [bas010011] Funding Source: UKRI</t>
  </si>
  <si>
    <t>10.1017/S0954102012000375</t>
  </si>
  <si>
    <t>WOS:000304440700001</t>
  </si>
  <si>
    <t>Chong, CW; Pearce, DA; Convey, P; Tan, IKP</t>
  </si>
  <si>
    <t>Chong, C. W.; Pearce, D. A.; Convey, P.; Tan, I. K. P.</t>
  </si>
  <si>
    <t>The identification of environmental parameters which could influence soil bacterial community composition on the Antarctic Peninsula - a statistical approach</t>
  </si>
  <si>
    <t>altitude; bacterial diversity; cloning; geographical proximity; pH; T-RFLP</t>
  </si>
  <si>
    <t>16S RIBOSOMAL-RNA; DRY VALLEY SOILS; ROSS SEA REGION; MICROBIAL COMMUNITIES; TERRESTRIAL HABITATS; CLIMATE-CHANGE; DIVERSITY; ISLAND; CLASSIFICATION; ECOSYSTEMS</t>
  </si>
  <si>
    <t>We adopted a statistical approach to identify environmental parameters which might be important in structuring the bacterial community in soils on the Antarctic Peninsula. An assessment of soil bacterial community composition at six environmentally distinct locations was made using terminal restriction fragment length polymorphism (T-RFLP) profiling. All locations are near to Rothera Point, on Reptile Ridge and adjacent islands in Ryder Bay, off the west coast of the Antarctic Peninsula, and were selected to maximize the range of environmental variability easily accessible from Rothera Station. A range of environmental variables was determined, and a Spearman rank correlation test was used to link the community structure and environmental variables. We demonstrated that the taxonomic distribution of the soil bacteria among the six study sites was relatively even, especially among the islands within Ryder Bay, although each location possessed a distinct community structure. Significant differences in the environmental conditions and soil chemical parameters allowed us to identify differences in location and soil pH as the environmental variables that could most probably explain the soil bacterial community patterns. This observation is consistent with an increasing number of studies from both Arctic and Antarctic locations, and will contribute to the design of future parameter-specific studies to test the potential functional significance of pH to the Antarctic soil bacterial community.</t>
  </si>
  <si>
    <t>[Chong, C. W.; Tan, I. K. P.] Univ Malaya, Inst Biol Sci, Fac Sci, Kuala Lumpur 50603, Malaysia; [Pearce, D. A.; Convey, P.] British Antarctic Survey, NERC, Cambridge CB3 0ET, England</t>
  </si>
  <si>
    <t>Universiti Malaya; UK Research &amp; Innovation (UKRI); Natural Environment Research Council (NERC); NERC British Antarctic Survey</t>
  </si>
  <si>
    <t>Chong, CW (corresponding author), Univ Malaya, Inst Biol Sci, Fac Sci, Kuala Lumpur 50603, Malaysia.</t>
  </si>
  <si>
    <t>Chong, Chun Wie/ABG-7676-2020; Tan, Irene Kit Ping/B-8661-2010; Convey, Peter/AAV-5728-2020</t>
  </si>
  <si>
    <t>Chong, Chun Wie/0000-0002-6881-8883; Tan, Irene Kit Ping/0000-0001-9601-5810; Convey, Peter/0000-0001-8497-9903; Pearce, David/0000-0001-5292-4596</t>
  </si>
  <si>
    <t>Malaysian Antarctic Research Programme (MARP); British Antarctic Survey (BAS); NERC [bas0100025] Funding Source: UKRI; Natural Environment Research Council [bas0100025] Funding Source: researchfish</t>
  </si>
  <si>
    <t>Malaysian Antarctic Research Programme (MARP); British Antarctic Survey (BAS); NERC(UK Research &amp; Innovation (UKRI)Natural Environment Research Council (NERC)); Natural Environment Research Council(UK Research &amp; Innovation (UKRI)Natural Environment Research Council (NERC))</t>
  </si>
  <si>
    <t>This project was funded by the Malaysian Antarctic Research Programme (MARP), and the British Antarctic Survey (BAS) provided logistic support and field training. We thank Matt von Tersh for assistance in sample collection. This study contributes to the BAS 'Polar Science for Planet Earth' and SCAR 'Evolution and Biodiversity in Antarctica' research programmes. The constructive comments of the reviewers are also gratefully acknowledged.</t>
  </si>
  <si>
    <t>10.1017/S0954102012000028</t>
  </si>
  <si>
    <t>WOS:000304440700005</t>
  </si>
  <si>
    <t>Evans, CW; Hellman, L; Middleditch, M; Wojnar, JM; Brimble, MA; Devries, AL</t>
  </si>
  <si>
    <t>Evans, Clive W.; Hellman, Linn; Middleditch, Martin; Wojnar, Joanna M.; Brimble, Margaret A.; Devries, Arthur L.</t>
  </si>
  <si>
    <t>Synthesis and recycling of antifreeze glycoproteins in polar fishes</t>
  </si>
  <si>
    <t>AFGP; Arctic gadids; polar cod; freeze-avoidance; notothenioid</t>
  </si>
  <si>
    <t>ANTARCTIC NOTOTHENIOID FISH; FREEZING RESISTANCE; GLYCOPEPTIDES; ABSORPTION; MECHANISM; COD; AVOIDANCE; EVOLUTION; PROTEINS; NEGLECTA</t>
  </si>
  <si>
    <t>Evolutionary disparate Antarctic notothenioids and Arctic gadids have adapted to their freezing environments through the elaboration of essentially identical antifreeze glycoproteins (AFGPs). Here we show that this convergence of molecular identity, which evolved from unrelated parent genes, extends to convergence in physiological deployment. Both fish groups synthesize AFGPs in the exocrine pancreas from where they are discharged into the gut to inhibit the growth of ingested ice. Antifreeze glycoproteins not lost with the faeces are resorbed from the gut via the rectal epithelium, transported to the blood and ultimately secreted into the bile, from where they re-enter the gastrointestinal tract. Antifreeze glycoprotein recirculation conserves energy expenditure and explains how high levels of AFGPs reach the blood in notothenioids since, unlike Arctic gadids which also synthesize AFGP in the liver, AFGP secretion in notothenioids is directed exclusively towards the gastrointestinal lumen. Since AFGPs function by inhibiting ice crystal growth, ice must be present for them to function. The two fish groups are thus faced with an identical problem of how to deal with internal ice. Here we show that both accumulate AFGPs within ellipsoidal macrophages of the spleen, presumably adsorbed to phagocytosed ice crystals which are then held until a warming event ensues.</t>
  </si>
  <si>
    <t>[Evans, Clive W.; Hellman, Linn; Middleditch, Martin; Brimble, Margaret A.] Univ Auckland, Sch Biol Sci, Auckland 1142, New Zealand; [Wojnar, Joanna M.; Brimble, Margaret A.] Univ Auckland, Sch Chem Sci, Auckland 1142, New Zealand; [Devries, Arthur L.] Univ Illinois, Dept Anim Biol, Urbana, IL 61801 USA</t>
  </si>
  <si>
    <t>University of Auckland; University of Auckland; University of Illinois System; University of Illinois Urbana-Champaign</t>
  </si>
  <si>
    <t>Evans, CW (corresponding author), Univ Auckland, Sch Biol Sci, Private Bag 92019, Auckland 1142, New Zealand.</t>
  </si>
  <si>
    <t>c.evans@auckland.ac.nz</t>
  </si>
  <si>
    <t>Brimble, Margaret/0000-0002-7086-4096; Dowle, Joanna/0000-0002-7319-565X; Evans, Clive/0000-0003-2888-842X</t>
  </si>
  <si>
    <t>Human Frontier Science Program [RGP003/2009-C]</t>
  </si>
  <si>
    <t>Human Frontier Science Program(Human Frontier Science Program)</t>
  </si>
  <si>
    <t>This research was supported by the Human Frontier Science Program (grant RGP003/2009-C). We thank Antarctica New Zealand for logistic support in Antarctica, colleagues at Scott Base for assistance in the field, Dr Adrian Turner for advice with microscopy, and Vivian Ward for graphics. We are particularly grateful to Prof Jorgen Christiansen of the University of Tromso, Norway and the crew of the RV Jan Mayen for assistance in obtaining the polar cod. The constructive comments of the reviewers are also gratefully acknowledged.</t>
  </si>
  <si>
    <t>10.1017/S0954102012000119</t>
  </si>
  <si>
    <t>WOS:000304440700006</t>
  </si>
  <si>
    <t>Wakefield, ED; Phillips, RA; Belchier, M</t>
  </si>
  <si>
    <t>Wakefield, Ewan D.; Phillips, Richard A.; Belchier, Mark</t>
  </si>
  <si>
    <t>Foraging black-browed albatrosses target waters overlaying moraine banks - a consequence of upward benthic-pelagic coupling?</t>
  </si>
  <si>
    <t>Antarctic krill; individual movement; seabird bycatch; stomach temperature loggers; sub-mesoscale habitat use; Thalassarche melanophris</t>
  </si>
  <si>
    <t>SOUTH-GEORGIA; SHAG ROCKS; SHELF; SEGREGATION; SEABIRDS; OCEAN; DIET; SEA; CHRYSOSTOMA; STRATEGIES</t>
  </si>
  <si>
    <t>Wide-ranging, surface-feeding pelagic seabirds are the most numerous functional group of birds in the Southern Ocean. The mesoscale habitat use of these birds is increasingly being quantified by relating their movements to remotely sensed, near surface properties of the ocean. However, prey availability at the sea surface may also be determined by habitat characteristics not measurable from space. For instance, benthic-pelagic coupling, which occurs when seabed processes affect productivity in the epipelagic zone, can link benthic habitat type to availability of surface prey. We combined acoustically derived maps of the substrate of the South Georgia shelf with GPS tracking to quantify the sub-mesoscale habitat use of breeding black-browed albatrosses. We show that albatrosses preferentially used waters overlaying glacial moraine banks near the shelf edge and that this was unrelated to the presence of trawlers targeting mackerel icefish, which are also associated with these features. Stomach temperature profiles suggest that albatrosses primarily caught krill and fish over the banks. We hypothesize that black-browed albatrosses target waters overlaying moraine banks due to upward benthic-pelagic coupling, mediated by an increase in abundance of zooplankton such as Antarctic krill. Our findings suggest that the potential effects of such processes on pelagic seabird distribution warrant wider investigation.</t>
  </si>
  <si>
    <t>[Wakefield, Ewan D.; Phillips, Richard A.; Belchier, Mark] British Antarctic Survey, NERC, Cambridge CB3 0ET, England</t>
  </si>
  <si>
    <t>Wakefield, ED (corresponding author), Univ Leeds, Inst Integrat &amp; Comparat Biol, Manton Bldg, Leeds LS2 9JT, W Yorkshire, England.</t>
  </si>
  <si>
    <t>e.d.wakefield@leeds.ac.uk</t>
  </si>
  <si>
    <t>Antarctic Science Bursary; Russell Trust; UK Natural Environment Research Council CASE [NER/S/A/2005/13648]; NERC [bas0100025] Funding Source: UKRI; Natural Environment Research Council [bas0100025] Funding Source: researchfish</t>
  </si>
  <si>
    <t>Antarctic Science Bursary; Russell Trust; UK Natural Environment Research Council CASE(UK Research &amp; Innovation (UKRI)Natural Environment Research Council (NERC)); NERC(UK Research &amp; Innovation (UKRI)Natural Environment Research Council (NERC)); Natural Environment Research Council(UK Research &amp; Innovation (UKRI)Natural Environment Research Council (NERC))</t>
  </si>
  <si>
    <t>The authors gratefully acknowledge generous financial support provided for the fieldwork element of this study by the Antarctic Science Bursary and the Russell Trust, as well as logistical support provided in kind by the UK Antarctic Funding Initiative Collaborative Gearing Scheme. This study was partly carried out while the first author was in receipt of a UK Natural Environment Research Council CASE studentship (NER/S/A/2005/13648). We thank Peter Fretwell for providing a shapefile depicting the extent of moraine banks around South Georgia and Dr Jose Xavier for identifying prey samples. We thank the Government of South Georgia and South Sandwich Islands for permission to use fishery effort data. We are very grateful to Ewan Edwards, Derren Fox, Fabrice le Bouard, Donald Malone, Chris Martin, Felice Prospero-Porti, Robin Snape and John Withers for assisting with fieldwork at Bird Island and to Prof John Croxall for supporting long-term studies there. We thank two anonymous referees for helpful comments on an earlier draft of this manuscript.</t>
  </si>
  <si>
    <t>10.1017/S0954102012000132</t>
  </si>
  <si>
    <t>WOS:000304440700007</t>
  </si>
  <si>
    <t>Kong, WD; Ream, DC; Priscu, JC; Morgan-Kiss, RM</t>
  </si>
  <si>
    <t>Kong, Weidong; Ream, David C.; Priscu, John C.; Morgan-Kiss, Rachael M.</t>
  </si>
  <si>
    <t>Diversity and Expression of RubisCO Genes in a Perennially Ice-Covered Antarctic Lake during the Polar Night Transition</t>
  </si>
  <si>
    <t>MCMURDO DRY VALLEYS; CLIMATE-CHANGE; MESSENGER-RNA; WATER COLUMN; FORM-I; PHYTOPLANKTON; BONNEY; RBCL; CARBOXYLASE/OXYGENASE; PRODUCTIVITY</t>
  </si>
  <si>
    <t>The autotrophic communities in the lakes of the McMurdo Dry Valleys, Antarctica, have generated interest since the early 1960s owing to low light transmission through the permanent ice covers, a strongly bimodal seasonal light cycle, constant cold water temperatures, and geographical isolation. Previous work has shown that autotrophic carbon fixation in these lakes provides an important source of organic matter to this polar desert. Lake Bonney has two lobes separated by a shallow sill and is one of several chemically stratified lakes in the dry valleys that support year-round biological activity. As part of an International Polar Year initiative, we monitored the diversity and abundance of major isoforms of RubisCO in Lake Bonney by using a combined sequencing and quantitative PCR approach during the transition from summer to polar winter. Form ID RubisCO genes related to a stramenopile, a haptophyte, and a cryptophyte were identified, while primers specific for form IA/B RubisCO detected a diverse autotrophic community of chlorophytes, cyanobacteria, and chemoautotrophic proteobacteria. Form ID RubisCO dominated phytoplankton communities in both lobes of the lake and closely matched depth profiles for photosynthesis and chlorophyll. Our results indicate a coupling between light availability, photosynthesis, and rbcL mRNA levels in deep phytoplankton populations. Regulatory control of rbcL in phytoplankton living in nutrient-deprived shallow depths does not appear to be solely light dependent. The distinct water chemistries of the east and west lobes have resulted in depth- and lobe-dependent variability in RubisCO diversity, which plays a role in transcriptional activity of the key gene responsible for carbon fixation.</t>
  </si>
  <si>
    <t>[Priscu, John C.] Montana State Univ, Dept Land Resources &amp; Environm Sci, Bozeman, MT 59717 USA; [Kong, Weidong] Univ Calif San Francisco, Dept Med, San Francisco, CA USA; [Ream, David C.; Morgan-Kiss, Rachael M.] Miami Univ, Dept Microbiol, Oxford, OH 45056 USA</t>
  </si>
  <si>
    <t>Montana State University System; Montana State University Bozeman; University of California System; University of California San Francisco; University System of Ohio; Miami University</t>
  </si>
  <si>
    <t>Morgan-Kiss, RM (corresponding author), Montana State Univ, Dept Land Resources &amp; Environm Sci, Bozeman, MT 59717 USA.</t>
  </si>
  <si>
    <t>NSF Office of Polar Programs [0631659, 1056396, 0631494, 432595, OPP 1115245, 0237335]; Direct For Biological Sciences; Div Of Molecular and Cellular Bioscience [0237335] Funding Source: National Science Foundation; Directorate For Geosciences; Division Of Polar Programs [0631659] Funding Source: National Science Foundation; Directorate For Geosciences; Division Of Polar Programs [0838933] Funding Source: National Science Foundation; Office of Polar Programs (OPP); Directorate For Geosciences [1056396, 0631494] Funding Source: National Science Foundation</t>
  </si>
  <si>
    <t>NSF Office of Polar Programs(National Science Foundation (NSF)); Direct For Biological Sciences; Div Of Molecular and Cellular Bioscience(National Science Foundation (NSF)NSF - Directorate for Biological Sciences (BIO)); Directorate For Geosciences; Division Of Polar Programs(National Science Foundation (NSF)NSF - Directorate for Geosciences (GEO)); Directorate For Geosciences; Division Of Polar Programs(National Science Foundation (NSF)NSF - Directorate for Geosciences (GEO)); Office of Polar Programs (OPP); Directorate For Geosciences(National Science Foundation (NSF)NSF - Directorate for Geosciences (GEO))</t>
  </si>
  <si>
    <t>This work was supported in part by NSF Office of Polar Programs and Molecular and Cellular Biosciences grants 0631659 and 1056396 to R.M.M.-K. and 0631494, 432595, OPP 1115245, and 0237335 to J.C.P.</t>
  </si>
  <si>
    <t>10.1128/AEM.00029-12</t>
  </si>
  <si>
    <t>952JJ</t>
  </si>
  <si>
    <t>WOS:000304788500039</t>
  </si>
  <si>
    <t>Lee, SG; Koh, HY; Lee, JH; Kang, SH; Kim, HJ</t>
  </si>
  <si>
    <t>Lee, Sung Gu; Koh, Hye Yeon; Lee, Jun Hyuck; Kang, Sung-Ho; Kim, Hak Jun</t>
  </si>
  <si>
    <t>Cryopreservative Effects of the Recombinant Ice-Binding Protein from the Arctic Yeast Leucosporidium sp on Red Blood Cells</t>
  </si>
  <si>
    <t>APPLIED BIOCHEMISTRY AND BIOTECHNOLOGY</t>
  </si>
  <si>
    <t>Antifreeze protein; Recombinant; LeIBP; Red blood cells; Cryopreservation; Cell size distribution</t>
  </si>
  <si>
    <t>THERMAL HYSTERESIS PROTEINS; FISH ANTIFREEZE PROTEINS; ANTARCTIC BACTERIUM; LONGHORN SCULPIN; PRESERVATION; SURVIVAL; GLYCEROL; STORAGE; RECRYSTALLIZATION; POLYPEPTIDES</t>
  </si>
  <si>
    <t>Antifreeze proteins (AFPs) have important functions in many freeze-tolerant organisms. The proteins non-colligatively lower the freezing point and functionally inhibit ice recrystallization in frozen solutions. In our previous studies, we found that the Arctic yeast Leucosporidium sp. produces an AFP (LeIBP), and that the protein could be successfully produced in Pichia expression system. The present study showed that recombinant LeIBP possesses the ability to reduce the damage induced to red blood cells (RBCs) by freeze thawing. In addition to 40 % glycerol, both 0.4 and 0.8 mg/ml LeIBPs significantly reduced freeze-thaw-induced hemolysis at either rapid- (45 A degrees C) or slow-warming (22 A degrees C) temperatures. Post-thaw cell counts of the cryopreserved RBCs were dramatically enhanced, in particular, in 0.8 mg/ml LeIBP. Interestingly, the cryopreserved cells in the presence of LeIBP showed preserved cell size distribution. These results indicate that the ability of LeIBP to inhibit ice recrystallization helps the RBCs avoid critically damaging electrolyte concentrations, which are known as solution effects. Considering all these data, LeIBP can be thought of as a key component in improving RBC cryopreservation efficiency.</t>
  </si>
  <si>
    <t>[Lee, Sung Gu; Lee, Jun Hyuck; Kang, Sung-Ho; Kim, Hak Jun] Univ Sci &amp; Technol, Dept Polar Sci, Inchon 406840, South Korea; [Lee, Sung Gu; Koh, Hye Yeon; Lee, Jun Hyuck; Kim, Hak Jun] Korea Polar Res Inst, Div Polar Life Sci, Inchon 406840, South Korea; [Kang, Sung-Ho] Korea Polar Res Inst, Div Polar Climate Res, Inchon 406840, South Korea</t>
  </si>
  <si>
    <t>Korea Institute of Ocean Science &amp; Technology (KIOST); Korea Polar Research Institute (KOPRI); Korea Polar Research Institute (KOPRI); Korea Institute of Ocean Science &amp; Technology (KIOST)</t>
  </si>
  <si>
    <t>Kim, HJ (corresponding author), Univ Sci &amp; Technol, Dept Polar Sci, Inchon 406840, South Korea.</t>
  </si>
  <si>
    <t>Korea Polar Research Institute [PE11100]; Korea Research Council of Fundamental Science and Technology [PG11010, PG12010]</t>
  </si>
  <si>
    <t>Korea Polar Research Institute(Korea Polar Research Institute of Marine Research Placement (KOPRI)); Korea Research Council of Fundamental Science and Technology</t>
  </si>
  <si>
    <t>The authors wish to thank So Ra Yoon for helping in blood collection. This work was supported by grants from Korea Polar Research Institute (PE11100) and Korea Research Council of Fundamental Science and Technology (PG11010 and PG12010).</t>
  </si>
  <si>
    <t>HUMANA PRESS INC</t>
  </si>
  <si>
    <t>TOTOWA</t>
  </si>
  <si>
    <t>999 RIVERVIEW DRIVE SUITE 208, TOTOWA, NJ 07512 USA</t>
  </si>
  <si>
    <t>0273-2289</t>
  </si>
  <si>
    <t>1559-0291</t>
  </si>
  <si>
    <t>APPL BIOCHEM BIOTECH</t>
  </si>
  <si>
    <t>Appl. Biochem. Biotechnol.</t>
  </si>
  <si>
    <t>10.1007/s12010-012-9739-z</t>
  </si>
  <si>
    <t>Biochemistry &amp; Molecular Biology; Biotechnology &amp; Applied Microbiology</t>
  </si>
  <si>
    <t>954EU</t>
  </si>
  <si>
    <t>WOS:000304930200012</t>
  </si>
  <si>
    <t>Mazzola, M; Stone, RS; Herber, A; Tomasi, C; Lupi, A; Vitale, V; Lanconelli, C; Toledano, C; Cachorro, VE; O'Neill, NT; Shiobara, M; Aaltonen, V; Stebel, K; Zielinski, T; Petelski, T; de Galisteo, JPO; Torres, B; Berjon, A; Goloub, P; Li, Z; Blarel, L; Abboud, I; Cuevas, E; Stock, M; Schulz, KH; Virkkula, A</t>
  </si>
  <si>
    <t>Mazzola, M.; Stone, R. S.; Herber, A.; Tomasi, C.; Lupi, A.; Vitale, V.; Lanconelli, C.; Toledano, C.; Cachorro, V. E.; O'Neill, N. T.; Shiobara, M.; Aaltonen, V.; Stebel, K.; Zielinski, T.; Petelski, T.; Ortiz de Galisteo, J. P.; Torres, B.; Berjon, A.; Goloub, P.; Li, Z.; Blarel, L.; Abboud, I.; Cuevas, E.; Stock, M.; Schulz, K. -H.; Virkkula, A.</t>
  </si>
  <si>
    <t>Evaluation of sun photometer capabilities for retrievals of aerosol optical depth at high latitudes: The POLAR-AOD intercomparison campaigns</t>
  </si>
  <si>
    <t>Aerosol; Polar regions; Sun photometry; Optical depth; Intercomparison; Calibration</t>
  </si>
  <si>
    <t>RAYLEIGH-SCATTERING; NETWORK; ALGORITHM; RADIOMETERS; AERONET</t>
  </si>
  <si>
    <t>Accuracy requirements for aerosol optical depth (ADD) in polar regions are much more stringent than those usually encountered in established sun photometer networks, while comparability of data from different archive centres is a further important issue. Therefore, two intercomparison campaigns were held during spring 2006 at Ny-Alesund (Svalbard) and autumn 2008 at Izana (Tenerife) within the framework of the IPY POLAR-AOD project, with the participation of various research institutions routinely employing different instrument models at Arctic and Antarctic stations. As reported here, a common algorithm was used for data analysis with the aim of minimizing a large part of the discrepancies affecting the previous studies. During the Ny-Alesund campaign, spectral values of AOD derived from measurements taken with different instruments were found to agree, presenting at both 500 nm and 870 nm wavelengths average values of root mean square difference (RMSD) and standard deviation of the difference (SDD) equal to 0.003. Correspondingly, the mean bias difference (MBD) varied mainly between -0.003 and +0.003 at 500 nm, and between -0.004 and +0.003 at 870 nm. During the Izana campaign, which was also intended as an intercalibration opportunity. RMSD and SDD values were estimated to be equal to 0.002 for both channels on average, with MBD ranging between -0.004 and +0.004 at 500 nm and between -0.002 and +0.003 at 870 nm. RMSD and SDD values for Angstrom exponent a were estimated equal to 0.06 during the Ny-Alesund campaign and 0.39 at Izana. The results confirmed that sun photometry is a valid technique for aerosol monitoring in the pristine atmospheric turbidity conditions usually observed at high latitudes. (C) 2011 Elsevier Ltd. All rights reserved.</t>
  </si>
  <si>
    <t>[Mazzola, M.; Tomasi, C.; Lupi, A.; Vitale, V.; Lanconelli, C.] CNR, ISAC, I-40129 Bologna, Italy; [Stone, R. S.] Univ Colorado, Cooperat Inst Res Environm Sci, Boulder, CO 80309 USA; [Stone, R. S.] NOAA, Global Monitoring Div, Earth Syst Res Lab, Boulder, CO USA; [Herber, A.] Alfred Wegener Inst Polar &amp; Marine Res, Bremerhaven, Germany; [Toledano, C.; Cachorro, V. E.; Ortiz de Galisteo, J. P.; Torres, B.; Berjon, A.] Univ Valladolid, Grp Atmospher Opt, Valladolid, Spain; [O'Neill, N. T.] Univ Sherbrooke, Ctr Applicat &amp; Rech Teledetect, Sherbrooke, PQ J1K 2R1, Canada; [Shiobara, M.] Natl Inst Polar Res, Tokyo, Japan; [Aaltonen, V.; Virkkula, A.] Finnish Meteorol Inst, FIN-00101 Helsinki, Finland; [Stebel, K.] Norwegian Inst Air Res, Polar Environm Ctr, Tromso, Norway; [Zielinski, T.; Petelski, T.] Polish Acad Sci, Inst Oceanol, Sopot, Poland; [Ortiz de Galisteo, J. P.] Spanish Meteorol Agcy AEMET, Valladolid, Spain; [Goloub, P.; Li, Z.; Blarel, L.] Univ Lille 1, CNRS, LOA, Lille, France; [Abboud, I.] Environm Canada, Expt Studies Div, Toronto, ON, Canada; [Cuevas, E.] Spanish Meteorol Agcy AEMET, Izana Observ, Tenerife, Spain; [Stock, M.] Alfred Wegener Inst Polar &amp; Marine Res, Potsdam, Germany; [Schulz, K. -H.] Dr Schulz &amp; Partner GmbH, Buckow, Germany; [Virkkula, A.] Univ Helsinki, Dept Phys, Helsinki, Finland</t>
  </si>
  <si>
    <t>Consiglio Nazionale delle Ricerche (CNR); Istituto di Scienze dell'Atmosfera e del Clima (ISAC-CNR); University of Colorado System; University of Colorado Boulder; National Oceanic Atmospheric Admin (NOAA) - USA; Helmholtz Association; Alfred Wegener Institute, Helmholtz Centre for Polar &amp; Marine Research; Universidad de Valladolid; University of Sherbrooke; Research Organization of Information &amp; Systems (ROIS); National Institute of Polar Research (NIPR) - Japan; Finnish Meteorological Institute; NILU; Polish Academy of Sciences; Institute of Oceanology of the Polish Academy of Sciences; Agencia Estatal de Meteorologia (AEMET); Universite de Lille; Centre National de la Recherche Scientifique (CNRS); Environment &amp; Climate Change Canada; Agencia Estatal de Meteorologia (AEMET); Helmholtz Association; Alfred Wegener Institute, Helmholtz Centre for Polar &amp; Marine Research; University of Helsinki</t>
  </si>
  <si>
    <t>Mazzola, M (corresponding author), CNR, ISAC, Via Gobetti 101, I-40129 Bologna, Italy.</t>
  </si>
  <si>
    <t>m.mazzola@isac.cnr.it</t>
  </si>
  <si>
    <t>Virkkula, Aki/B-8575-2014; Li, Zhengqiang/C-5678-2013; vitale, vito/AAW-8441-2021; Lanconelli, Christian/Q-5848-2018; Mazzola, Mauro/K-9376-2016; Ortiz-de-Galisteo, Jose Pablo/O-4607-2014; Cachorro, Victoria E/M-3708-2017; Cuevas, Emilio/L-2109-2013; Toledano, Carlos/J-3672-2012; Aaltonen, Veijo/J-8814-2017; Stebel, Kerstin/F-6465-2013; Berjon, Alberto Jesus/M-4203-2015</t>
  </si>
  <si>
    <t>Virkkula, Aki/0000-0003-4874-7552; Li, Zhengqiang/0000-0002-7795-3630; Lanconelli, Christian/0000-0002-9545-1255; Mazzola, Mauro/0000-0002-8394-2292; Ortiz-de-Galisteo, Jose Pablo/0000-0001-6649-8970; Cuevas, Emilio/0000-0003-1843-8302; Toledano, Carlos/0000-0002-6890-6648; lupi, angelo/0000-0002-5009-9876; Stebel, Kerstin/0000-0002-6935-7564; Cachorro, Victoria/0000-0002-4627-9444; vitale, vito/0000-0003-0978-8976; Zielinski, Tymon/0000-0003-4712-8899; Petelski, Tomasz/0000-0001-6125-5689; Berjon, Alberto Jesus/0000-0002-4508-7037; Torres, Benjamin/0000-0002-8118-474X</t>
  </si>
  <si>
    <t>Programma Nazionale di Ricerche in Antartide (PNRA) [2006/6.01]; MICINN [CGL2008-05939-C01/CLI, CGL2009-09740, CGL2009-09480-E]; CANDAC (Canadian Network for the Detection of Atmospheric Change); CFCAS (Canadian Foundation for Climate and Atmospheric Sciences); CFI (Canadian Foundation for Innovation); NSERC (National Sciences and Engineering Research Council); IPY (NSERC); POLAR-AOD</t>
  </si>
  <si>
    <t>Programma Nazionale di Ricerche in Antartide (PNRA); MICINN(Spanish Government); CANDAC (Canadian Network for the Detection of Atmospheric Change); CFCAS (Canadian Foundation for Climate and Atmospheric Sciences); CFI (Canadian Foundation for Innovation)(Canada Foundation for Innovation); NSERC (National Sciences and Engineering Research Council)(Natural Sciences and Engineering Research Council of Canada (NSERC)); IPY (NSERC); POLAR-AOD</t>
  </si>
  <si>
    <t>The Italian research activity was supported by the Programma Nazionale di Ricerche in Antartide (PNRA) and developed as a part of Subproject 2006/6.01: POLAR-ADD: a network to characterize the means, variability and trends of the climate-forcing properties of aerosols in polar regions. The GOA-UVA group was funded by MICINN under projects CGL2008-05939-C01/CLI, CGL2009-09740 and CGL2009-09480-E. The Canadian research activity was supported by CANDAC (Canadian Network for the Detection of Atmospheric Change) and their funding organizations: CFCAS (Canadian Foundation for Climate and Atmospheric Sciences, CFI (Canadian Foundation for Innovation), NSERC (National Sciences and Engineering Research Council) and the IPY (NSERC administered) fund. Polish efforts were made within a framework of the POLAR-AOD National Grant.</t>
  </si>
  <si>
    <t>10.1016/j.atmosenv.2011.07.042</t>
  </si>
  <si>
    <t>929XH</t>
  </si>
  <si>
    <t>WOS:000303098500002</t>
  </si>
  <si>
    <t>Stock, M; Ritter, C; Herber, A; von Hoyningen-Huene, W; Baibakov, K; Gräser, J; Orgis, T; Treffeisen, R; Zinoviev, N; Makshtas, A; Dethloff, K</t>
  </si>
  <si>
    <t>Stock, M.; Ritter, C.; Herber, A.; von Hoyningen-Huene, W.; Baibakov, K.; Graeser, J.; Orgis, T.; Treffeisen, R.; Zinoviev, N.; Makshtas, A.; Dethloff, K.</t>
  </si>
  <si>
    <t>Springtime Arctic aerosol: Smoke versus haze, a case study for March 2008</t>
  </si>
  <si>
    <t>Arctic Haze; Arctic Smoke; Aerosol; Photometer; Lidar</t>
  </si>
  <si>
    <t>AIR-POLLUTION; TROPOSPHERIC AEROSOL; OPTICAL DEPTH; RAMAN LIDAR; EXTINCTION; RETRIEVAL; INVERSION; PROFILES; ORIGINS</t>
  </si>
  <si>
    <t>During March 2008 photometer observations of Arctic aerosol were performed both at a Russian ice-floe drifting station (NP-35) at the central Arctic ocean (56.7-42.0 degrees E, 85.5-84.2 degrees N) and at Ny-Alesund, Spitsbergen (78.9 degrees N, 11.9 degrees E). Next to a persistent increase of AOD over NP-35, two pronounced aerosol events have been recorded there, one originating from early season forest fires close to the city of Khabarovsk (Arctic Smoke), the other one showed trajectories from central Russia and resembled more the classical Arctic Haze. The latter event has also been recorded two days later over Ny-Alesund, both in photometer and lidar. From these remote sensing instruments volume distribution functions are derived and discussed. Only subtle differences between the smoke and the haze event have been found in terms of particle microphysics. Different trajectory analysis, driven by NCEP and ECMWF have been performed and compared. For the data set presented here the meteorological field, due to sparseness of data in the central Arctic, mainly limits the precision of the air trajectories. (C) 2011 Elsevier Ltd. All rights reserved.</t>
  </si>
  <si>
    <t>[Stock, M.; Ritter, C.; Graeser, J.; Orgis, T.; Dethloff, K.] Helmholtz Assoc, Alfred Wegener Inst Polar &amp; Marine Res, D-14473 Potsdam, Germany; [Herber, A.; Baibakov, K.; Treffeisen, R.] Helmholtz Assoc, Alfred Wegener Inst Polar &amp; Marine Res, D-27568 Bremerhaven, Germany; [Baibakov, K.] Univ Sherbrooke, Ctr Res &amp; Applicat Remote Sensing CARTEL, Sherbrooke, PQ J1K 2R1, Canada; [von Hoyningen-Huene, W.] Univ Bremen, D-28359 Bremen, Germany; [Zinoviev, N.; Makshtas, A.] Arctic &amp; Antarctic Res Inst, St Petersburg 199397, Russia</t>
  </si>
  <si>
    <t>Helmholtz Association; Alfred Wegener Institute, Helmholtz Centre for Polar &amp; Marine Research; Helmholtz Association; Alfred Wegener Institute, Helmholtz Centre for Polar &amp; Marine Research; University of Sherbrooke; University of Bremen; Arctic &amp; Antarctic Research Institute</t>
  </si>
  <si>
    <t>Ritter, C (corresponding author), Helmholtz Assoc, Alfred Wegener Inst Polar &amp; Marine Res, Telegrafenberg A 43, D-14473 Potsdam, Germany.</t>
  </si>
  <si>
    <t>christoph.ritter@awi.de</t>
  </si>
  <si>
    <t>Dethloff, Klaus/B-4879-2014</t>
  </si>
  <si>
    <t>10.1016/j.atmosenv.2011.06.051</t>
  </si>
  <si>
    <t>WOS:000303098500005</t>
  </si>
  <si>
    <t>Becagli, S; Scarchilli, C; Traversi, R; Dayan, U; Severi, M; Frosini, D; Vitale, V; Mazzola, M; Lupi, A; Nava, S; Udisti, R</t>
  </si>
  <si>
    <t>Becagli, Silvia; Scarchilli, Claudio; Traversi, Rita; Dayan, Uri; Severi, Mirko; Frosini, Daniele; Vitale, Vito; Mazzola, Mauro; Lupi, Angelo; Nava, Silvia; Udisti, Roberto</t>
  </si>
  <si>
    <t>Study of present-day sources and transport processes affecting oxidised sulphur compounds in atmospheric aerosols at Dome C (Antarctica) from year-round sampling campaigns</t>
  </si>
  <si>
    <t>MSA; Sulphate; Aerosol; Antarctic Plateau; Transport processes; Biogenic aerosol</t>
  </si>
  <si>
    <t>DURVILLE COASTAL ANTARCTICA; SEA-SALT SULFATE; METHANESULFONIC-ACID; BOUNDARY-LAYER; ICE-CORE; SNOW-LAYERS; SOUTH-POLE; DIMETHYLSULFOXIDE; OCEAN; SITE</t>
  </si>
  <si>
    <t>A year-round study, which was conducted from November 2004 to November 2007, of atmospheric oxidised sulphur compounds (methanesulphonic acid (MSA) and sulphate) was carried out in the east Antarctic Plateau at Dome C (75 degrees 06' S, 123 degrees 20' E, 3220 m a.s.l. and 1100 km away from the nearest coast). The two sulphur-derived species exhibit a seasonal cycle characterised by maxima in the summer from November to March. Size-segregated sampling performed with Andersen 8-stage impactors revealed that SO42- and MSA have different size distributions in early summer (November) in comparison with mid-late summer (February). In November, the size distribution exhibited two distinct modes, the accumulation (0.4-0.7 mu m) and the micrometric mode (1.1-2.1 mu m), which is in contrast to February when only the accumulation mode was observed. The two modes exhibited different speciation; in the finest mode, sulphate and methanesulphonate were present primarily in the acidic form, whereas they were present primarily as sodium or ammonium salts in the micrometric mode. The different size distributions and speciation patterns in the two months are related to different transport pathways from oceanic areas to the central Antarctic Plateau. In the early summer months, air masses came primarily from the Indian Ocean and lingered for a long time over the Antarctic continent. The transport of sulphur compounds is related to sea spray aerosols and the resulting condensation of H2SO4 and MSA over sea salt particles to form sodium salts. In contrast, a rapid transport of H2SO4 and MSA formed above the boundary layer over oceanic areas leads to higher concentrations of the acidic species in the fine fraction of aerosols reaching Dome C in February relative to other summer months. (C) 2011 Elsevier Ltd. All rights reserved.</t>
  </si>
  <si>
    <t>[Becagli, Silvia; Traversi, Rita; Severi, Mirko; Frosini, Daniele; Udisti, Roberto] Univ Florence, Dept Chem, I-50019 Florence, Italy; [Scarchilli, Claudio] ENEA UTMEA TER, I-00123 Rome, Italy; [Dayan, Uri] Hebrew Univ Jerusalem, Dept Geog, IL-91905 Jerusalem, Israel; [Vitale, Vito; Mazzola, Mauro; Lupi, Angelo] ISAC CNR, I-40129 Bologna, Italy; [Nava, Silvia] Ist Nazl Fis Nucl, I-50019 Florence, Italy</t>
  </si>
  <si>
    <t>University of Florence; Hebrew University of Jerusalem; Consiglio Nazionale delle Ricerche (CNR); Istituto di Scienze dell'Atmosfera e del Clima (ISAC-CNR); Istituto Nazionale di Fisica Nucleare (INFN)</t>
  </si>
  <si>
    <t>Becagli, S (corresponding author), Univ Florence, Dept Chem, I-50019 Florence, Italy.</t>
  </si>
  <si>
    <t>silvia.becagli@unifi.it</t>
  </si>
  <si>
    <t>Becagli, Silvia/GNW-2665-2022; Udisti, Roberto/M-7966-2015; Mazzola, Mauro/K-9376-2016; vitale, vito/AAW-8441-2021; Dayan, Uri/D-4855-2014; Severi, Mirko/J-2508-2012; Traversi, Rita/M-7586-2015</t>
  </si>
  <si>
    <t>Udisti, Roberto/0000-0003-4440-8238; Mazzola, Mauro/0000-0002-8394-2292; Severi, Mirko/0000-0003-1511-6762; Becagli, Silvia/0000-0003-3633-4849; Scarchilli, Claudio/0000-0002-2414-2439; lupi, angelo/0000-0002-5009-9876; vitale, vito/0000-0003-0978-8976; Traversi, Rita/0000-0002-9790-2195</t>
  </si>
  <si>
    <t>MIUR through the Italian Programma Nazionale di Ricerche in Antartide (PNRA); French-Italian Concordia Station; European Science Foundation</t>
  </si>
  <si>
    <t>MIUR through the Italian Programma Nazionale di Ricerche in Antartide (PNRA); French-Italian Concordia Station; European Science Foundation(European Science Foundation (ESF))</t>
  </si>
  <si>
    <t>This research was performed in the framework of the Air-Glacs1181 Station Concordia project, which was funded by the MIUR through the Italian Programma Nazionale di Ricerche in Antartide (PNRA). The field operations benefited from the support of the French-Italian Concordia Station.; This paper is a contribution to the HOLOCLIP project, which is funded by the European Science Foundation. This is HOLOCLIP publication no. 3.</t>
  </si>
  <si>
    <t>10.1016/j.atmosenv.2011.07.053</t>
  </si>
  <si>
    <t>WOS:000303098500009</t>
  </si>
  <si>
    <t>Udisti, R; Dayan, U; Becagli, S; Busetto, M; Frosini, D; Legrand, M; Lucarelli, F; Preunkert, S; Severi, M; Traversi, R; Vitale, V</t>
  </si>
  <si>
    <t>Udisti, R.; Dayan, U.; Becagli, S.; Busetto, M.; Frosini, D.; Legrand, M.; Lucarelli, F.; Preunkert, S.; Severi, M.; Traversi, R.; Vitale, V.</t>
  </si>
  <si>
    <t>Sea spray aerosol in central Antarctica. Present atmospheric behaviour and implications for paleoclimatic reconstructions</t>
  </si>
  <si>
    <t>Inland Antarctica aerosol; Sea spray aerosol; Fractionating effects; Size distribution; Transport processes; Source characterization; Snow-aerosol interaction</t>
  </si>
  <si>
    <t>MARINE BOUNDARY-LAYER; EPICA ICE CORES; SOUTHERN-OCEAN; SALT AEROSOL; DOME-C; EAST ANTARCTICA; FROST FLOWERS; COASTAL; PARTICLES; CHEMISTRY</t>
  </si>
  <si>
    <t>From November 2004 to December 2007, size-segregated aerosol samples were collected all-year-round at Dome C (East Antarctica) by using PM10 and PM2.5 samplers, and multi-stage impactors. The data set obtained from the chemical analysis provided the longest and the most time-resolved record of sea spray aerosol (sea salt Na+) in inner Antarctica. Sea spray showed a sharp seasonal pattern. The highest values measured in winter (Apr-Nov) were about ten times larger than in summer (Dec-Mar). For the first time, a size-distribution seasonal pattern was also shown: in winter, sea spray particles are mainly sub-micrometric, while their summer size-mode is around 1-2 mu m. Meteorological analysis on a synoptic scale allowed the definition of atmospheric conditions leading sea spray to Dome C. An extreme-value approach along with specific environmental based criteria was taken to yield stronger fingerprints linking atmospheric circulation (means and anomalies) to extreme sea spray events. Air mass back-trajectory analyses for some high sea spray events allowed the identification of two major air mass pathways, reflecting different size distributions: micrometric fractions for transport from the closer Indian-Pacific sector, and sub-micrometric particles for longer trajectories over the Antarctic Plateau. The seasonal pattern of the SO42-/Na+ ratio enabled the identification of few events depleted in sulphate, with respect to the seawater composition. By using methanesulphonic acid (MSA) profile to evaluate the biogenic SO42- contribution, a more reliable sea salt sulphate was calculated. In this way, few events (mainly in April and in September) were identified originating probably from the frost flower source. A comparison with daily-collected superficial snow samples revealed that there is a temporal shift between aerosol and snow sea spray trends. This feature could imply a more complex deposition processes of sea spray, involving significant contribution of wet and diamond dust deposition, but further work has to be carried out to rule out the effect of wind re-distribution and to have more statistic significance. (C) 2011 Elsevier Ltd. All rights reserved.</t>
  </si>
  <si>
    <t>[Udisti, R.; Becagli, S.; Frosini, D.; Severi, M.; Traversi, R.] Univ Florence, Dept Chem, I-50019 Florence, Italy; [Dayan, U.] Hebrew Univ Jerusalem, Dept Geog, IL-91905 Jerusalem, Israel; [Busetto, M.; Vitale, V.] ISAC CNR, I-40129 Bologna, Italy; [Legrand, M.] Univ Florence, Dept Phys, I-50019 Florence, Italy; [Legrand, M.] Ist Nazl Fis Nucl, I-50019 Florence, Italy; [Lucarelli, F.; Preunkert, S.] Ctr Natl Rech Sci, LGGE, St Martin Dheres, France</t>
  </si>
  <si>
    <t>University of Florence; Hebrew University of Jerusalem; Consiglio Nazionale delle Ricerche (CNR); Istituto di Scienze dell'Atmosfera e del Clima (ISAC-CNR); University of Florence; Istituto Nazionale di Fisica Nucleare (INFN); Centre National de la Recherche Scientifique (CNRS); Communaute Universite Grenoble Alpes; Universite Grenoble Alpes (UGA)</t>
  </si>
  <si>
    <t>Udisti, R (corresponding author), Univ Florence, Dept Chem, I-50019 Florence, Italy.</t>
  </si>
  <si>
    <t>udisti@unifi.it</t>
  </si>
  <si>
    <t>Udisti, Roberto/M-7966-2015; Legrand, Michel/AAU-4678-2020; busetto, maurizio/Q-4118-2018; vitale, vito/AAW-8441-2021; Dayan, Uri/D-4855-2014; Becagli, Silvia/GNW-2665-2022; Traversi, Rita/M-7586-2015; Severi, Mirko/J-2508-2012; Lucarelli, Franco/F-3465-2013</t>
  </si>
  <si>
    <t>Udisti, Roberto/0000-0003-4440-8238; Traversi, Rita/0000-0002-9790-2195; Severi, Mirko/0000-0003-1511-6762; vitale, vito/0000-0003-0978-8976; Lucarelli, Franco/0000-0001-7772-8858; busetto, maurizio/0000-0003-1115-6564; Becagli, Silvia/0000-0003-3633-4849</t>
  </si>
  <si>
    <t>MIUR; French-Italian Concordia Station; European Science Foundation</t>
  </si>
  <si>
    <t>MIUR(Ministry of Education, Universities and Research (MIUR)); French-Italian Concordia Station; European Science Foundation(European Science Foundation (ESF))</t>
  </si>
  <si>
    <t>This research was performed in the framework of AirGlacs1181 Station Concordia project funded by the MIUR through the Italian Programma Nazionale di Ricerche in Antartide (PNRA). The on field operations benefited from the support of the French-Italian Concordia Station. This paper is a contribution to HOLOCLIP project funded by European Science Foundation.This is the HOLOCLIP publication n. 4.</t>
  </si>
  <si>
    <t>10.1016/j.atmosenv.2011.10.018</t>
  </si>
  <si>
    <t>WOS:000303098500010</t>
  </si>
  <si>
    <t>Allegrucci, G; Carchini, G; Convey, P; Sbordoni, V</t>
  </si>
  <si>
    <t>Allegrucci, Giuliana; Carchini, Gianmaria; Convey, Peter; Sbordoni, Valerio</t>
  </si>
  <si>
    <t>Evolutionary geographic relationships among orthocladine chironomid midges from maritime Antarctic and sub-Antarctic islands</t>
  </si>
  <si>
    <t>BIOLOGICAL JOURNAL OF THE LINNEAN SOCIETY</t>
  </si>
  <si>
    <t>Belgica albipes; Belgica antarctica; cox1 barcode; demographic analysis; genetic differentiation; genetic structure; maritime Antarctica</t>
  </si>
  <si>
    <t>MAXIMUM-LIKELIHOOD-ESTIMATION; POPULATION-GROWTH; SUBSTITUTION RATE; LATE PLEISTOCENE; VICTORIA LAND; LIFE-HISTORY; COALESCENT; PATTERNS; DIPTERA; RATES</t>
  </si>
  <si>
    <t>Two species of chironomid midges are currently described in the genus Belgica Jacobs, 1900. Belgica antarctica Jacobs, 1900 is endemic to parts of the maritime Antarctic, and Belgica albipes (Seguy, 1965) is endemic to Iles Crozet, a sub-Antarctic archipelago in the southern Indian Ocean. The relationships between these species, and their closest known relative (Eretmoptera murphyi Schaeffer, 1914, endemic to sub-Antarctic South Georgia), were examined by sequencing DNA fragments for domains 1 and 35 of 28S ribosomal DNA and the mitochondrial gene cytochrome c oxidase 1 (cox1). The resulting molecular relationships between the three species were unclear, although their position within the subfamily Orthocladiinae of the Chironomidae, as generated by classical taxonomy, was confirmed. Our data reinforce earlier doubts, based on classical morphological approaches, that the generic placement of E. murphyi may be incorrect. Further analyses may indeed confirm that the species represents a third member of the genus Belgica. Genetic distance analysis, limited to the barcode region of cox1, indicated high differentiation between the two populations of B. albipes sampled (one obtained from the type location), suggesting the likely presence of cryptic species within this taxon, and that the taxonomic status of this species should be revised. Analysis of cox1 sequences in B. antarctica highlighted a strong genetic structure between populations obtained from 12 locations along the Antarctic Peninsula and the South Shetland Islands archipelago, with a number of distinctive mtDNA lineages inhabiting geographically distinct areas. In particular, we found four different haplogroups constituting geographically close but genetically distinct populations, a pattern likely to have been encouraged by the brachyptery of the members of this genus. We suggest that the different genetic patterns shown by each haplogroup have probably been determined by historical dispersal and colonization events during the Pleistocene, and are consistent with their survival in refuges in situ during successive glacial maxima over this period. (c) 2012 The Linnean Society of London, Biological Journal of the Linnean Society, 2012, 106, 258274.</t>
  </si>
  <si>
    <t>[Allegrucci, Giuliana; Carchini, Gianmaria; Sbordoni, Valerio] Univ Roma Tor Vergata, Dept Biol, I-00133 Rome, Italy; [Convey, Peter] British Antarctic Survey, Nat Environm Res Council, Cambridge CB3 0ET, England</t>
  </si>
  <si>
    <t>University of Rome Tor Vergata; UK Research &amp; Innovation (UKRI); Natural Environment Research Council (NERC); NERC British Antarctic Survey</t>
  </si>
  <si>
    <t>Allegrucci, G (corresponding author), Univ Roma Tor Vergata, Dept Biol, Via Ric Sci, I-00133 Rome, Italy.</t>
  </si>
  <si>
    <t>giuliana.allegrucci@uniroma2.it</t>
  </si>
  <si>
    <t>Allegrucci, Giuliana/AAZ-2217-2021; Convey, Peter/AAV-5728-2020; Sbordoni, Valerio/L-8889-2013</t>
  </si>
  <si>
    <t>Convey, Peter/0000-0001-8497-9903; Sbordoni, Valerio/0000-0002-9510-1925</t>
  </si>
  <si>
    <t>0024-4066</t>
  </si>
  <si>
    <t>1095-8312</t>
  </si>
  <si>
    <t>BIOL J LINN SOC</t>
  </si>
  <si>
    <t>Biol. J. Linnean Soc.</t>
  </si>
  <si>
    <t>10.1111/j.1095-8312.2012.01864.x</t>
  </si>
  <si>
    <t>Evolutionary Biology</t>
  </si>
  <si>
    <t>927UW</t>
  </si>
  <si>
    <t>WOS:000302936800002</t>
  </si>
  <si>
    <t>Schmid, T; López-Martínez, J; Koch, M; Maestro, A; Serrano, E; Linés, C</t>
  </si>
  <si>
    <t>Schmid, Thomas; Lopez-Martinez, Jeronimo; Koch, Magaly; Maestro, Adolfo; Serrano, Enrique; Lines, Clara</t>
  </si>
  <si>
    <t>Geomorphological mapping in the Antarctic Peninsula region applying single and multipolarization RADARSAT-2 data</t>
  </si>
  <si>
    <t>CANADIAN JOURNAL OF REMOTE SENSING</t>
  </si>
  <si>
    <t>SOUTH-SHETLAND ISLANDS; PERIGLACIAL PROCESSES; BYERS PENINSULA; LAND-COVER; MARITIME; PERMAFROST; LANDFORMS; GLACIERS</t>
  </si>
  <si>
    <t>RADARSAT-2 data in the ultra-fine and fine quad polarization mode was evaluated to identify morphostructural, periglacial, and other geomorphological features within the Antarctic Peninsula region. The study was carried out within Byers Peninsula, the largest ice-free area on the South Shetland Islands. A methodology was developed to integrate and compare data from different sources to optimize the selection of criteria and techniques to obtain information from RADARSAT-2 relevant to the geomorphology of the study area. Ultra-fine data were focused on the extraction of linear features and fine structures; whereas, fine quad polarized data were implemented to identify scattering mechanisms for different surface covers. It was possible to extract a greater number of lineaments and structures with the ultra-fine data. A supervised classification was carried out using the fine quad polarized data, where a careful selection of training and validation sites was needed. The overall classification accuracy was 75% with a Kappa coefficient of 0.71. Surface cover features with low entropy scattering mechanisms were well identified with a maximum of 86% accuracy. The accuracy for higher entropy volume and multiple scattering mechanisms were only slightly lower and are considered especially important for the type of geomorphological features studied on Byers Peninsula.</t>
  </si>
  <si>
    <t>[Schmid, Thomas] CIEMAT, E-28040 Madrid, Spain; [Lopez-Martinez, Jeronimo; Maestro, Adolfo; Lines, Clara] Univ Autonoma Madrid, Fac Ciencias, Dpt Geol &amp; Geoquim, E-28049 Madrid, Spain; [Koch, Magaly] Boston Univ, Ctr Remote Sensing, Boston, MA 02215 USA; [Serrano, Enrique] Univ Valladolid, Dpt Geog, E-47011 Valladolid, Spain; [Maestro, Adolfo] Inst Geol &amp; Minero Espana, Madrid 28003, Spain</t>
  </si>
  <si>
    <t>Centro de Investigaciones Energeticas, Medioambientales Tecnologicas; Autonomous University of Madrid; Boston University; Universidad de Valladolid</t>
  </si>
  <si>
    <t>Schmid, T (corresponding author), CIEMAT, Avda Complutense 22, E-28040 Madrid, Spain.</t>
  </si>
  <si>
    <t>thomas.schmid@ciemat.es</t>
  </si>
  <si>
    <t>Lopez-Martinez, Jeronimo/C-5744-2011; Maestro, Adolfo/K-2434-2014; SERRANO, ENRIQUE/AAH-7986-2020; Schmid, Thomas/L-3397-2014; Maestro, Adolfo/ABG-7268-2021; Koch, Magaly/B-3467-2017</t>
  </si>
  <si>
    <t>Lopez-Martinez, Jeronimo/0000-0002-1750-8287; Maestro, Adolfo/0000-0002-7474-725X; SERRANO, ENRIQUE/0000-0001-9760-3876; Schmid, Thomas/0000-0002-2849-4730; Koch, Magaly/0000-0002-6186-1619; Lines, Clara/0000-0003-3437-5145</t>
  </si>
  <si>
    <t>Canadian Space Agency and MacDonald; Dettwiler and Associates Ltd.; Geospatial Services Inc., Canada; Spanish RD National Plan [CGL2005-03256, CGL2007-28812-E, CTM2011-26372, CTM2011-13902-E]</t>
  </si>
  <si>
    <t>Canadian Space Agency and MacDonald; Dettwiler and Associates Ltd.; Geospatial Services Inc., Canada; Spanish RD National Plan(Spanish Government)</t>
  </si>
  <si>
    <t>This work was supported by the RADARSAT-2 Science and Operational Applications Research Program (SOAR) from the Canadian Space Agency and MacDonald, Dettwiler and Associates Ltd. Geospatial Services Inc., Canada, that provided satellite data through the SOAR-1376 project granted to the Universidad Autonoma de Madrid, Spain. The authors would like to thank them for their assistance in acquiring the data. Many thanks also go to Ms. A. B. Nieto for the preprocessing work related to the geometric correction of the images and to S. Mink for her contribution to prepare the DEM. The authors' research and the field work were funded by the projects CGL2005-03256, CGL2007-28812-E, CTM2011-26372, and CTM2011-13902-E of the Spanish R&amp;D National Plan. This work is also a contribution to the IPY project ANTPAS (Antarctic Permafrost and Soils). Logistic support for field work was provided by the Spanish Antarctic program. Finally, the authors would like to thank the reviewers and the editor for their suggestions and comments.</t>
  </si>
  <si>
    <t>TAYLOR &amp; FRANCIS INC</t>
  </si>
  <si>
    <t>530 WALNUT STREET, STE 850, PHILADELPHIA, PA 19106 USA</t>
  </si>
  <si>
    <t>0703-8992</t>
  </si>
  <si>
    <t>1712-7971</t>
  </si>
  <si>
    <t>CAN J REMOTE SENS</t>
  </si>
  <si>
    <t>Can. J. Remote Sens.</t>
  </si>
  <si>
    <t>10.5589/m12-029</t>
  </si>
  <si>
    <t>981KZ</t>
  </si>
  <si>
    <t>WOS:000306968400011</t>
  </si>
  <si>
    <t>Choi, KS; Wu, CC; Byun, HR</t>
  </si>
  <si>
    <t>Choi, Ki-Seon; Wu, Chun-Chieh; Byun, Hi-Ryong</t>
  </si>
  <si>
    <t>Possible connection between summer tropical cyclone frequency and spring Arctic Oscillation over East Asia</t>
  </si>
  <si>
    <t>Tropical cyclone; Arctic Oscillation; Mid-latitude anticyclone</t>
  </si>
  <si>
    <t>WESTERN NORTH PACIFIC; ANTARCTIC OSCILLATION; TYPHOON FREQUENCY; EXTRATROPICAL CIRCULATION; INTERANNUAL VARIABILITY; ANNULAR MODES; EL-NINO; PART I; ENSO; CLIMATE</t>
  </si>
  <si>
    <t>This study shows that the frequency of summer tropical cyclones (TCs) in the areas of Japan, Korea, and Taiwan (JKT), which are located in the middle latitudes of East Asia, has a positive correlation with the Arctic Oscillation (AO) occurring during the preceding spring, while summer TC frequency in the Philippines (PH), located in the low latitudes, has a negative correlation with the AO of the preceding spring. During a positive AO phase, when the anomalous anticyclone forms over the mid-latitudes of East Asia, other anomalous cyclones develop not only in the high latitudes but also in the low latitudes from the preceding spring to the summer months. With this change, while southeasterlies in the JKT area derived from the mid-latitude anticyclone plays a role in steering TCs toward this area, northwesterlies strengthened in the PH area by the low-latitude cyclone plays a role in preventing TC movement toward this area. In addition, because of this pressure systems developed during this AO phase, TCs occur, move, and recurve in further northeastern part of the western North Pacific than they do during a negative AO phase.</t>
  </si>
  <si>
    <t>[Byun, Hi-Ryong] Pukyong Natl Univ, Dept Environm Atmospher Sci, Pusan, South Korea; [Choi, Ki-Seon] Korea Meteorol Adm, Natl Typhoon Ctr, Cheju, South Korea; [Wu, Chun-Chieh] Natl Taiwan Univ, Dept Atmospher Sci, Taipei 106, Taiwan</t>
  </si>
  <si>
    <t>Pukyong National University; Korea Meteorological Administration (KMA); National Taiwan University</t>
  </si>
  <si>
    <t>Byun, HR (corresponding author), Pukyong Natl Univ, Dept Environm Atmospher Sci, Pusan, South Korea.</t>
  </si>
  <si>
    <t>choiks@kma.go.kr; cwu@typhoon.as.ntu.edu.tw; hrbyun@pknu.ac.kr</t>
  </si>
  <si>
    <t>Wu, Chun-Chieh/0000-0002-3612-4537</t>
  </si>
  <si>
    <t>Korea Meteorological Administration [CATER 2006-2306]</t>
  </si>
  <si>
    <t>Korea Meteorological Administration(Korea Meteorological Administration (KMA))</t>
  </si>
  <si>
    <t>This work was funded by the Korea Meteorological Administration Research and Development Program under Grant CATER 2006-2306.</t>
  </si>
  <si>
    <t>10.1007/s00382-011-1088-z</t>
  </si>
  <si>
    <t>WOS:000304696300029</t>
  </si>
  <si>
    <t>Sinha, NK; Shkhinek, K; Smirnov, V</t>
  </si>
  <si>
    <t>Sinha, Nirmal K.; Shkhinek, Karl; Smirnov, Victor</t>
  </si>
  <si>
    <t>On borehole indentor (BHI) measurements and analysis</t>
  </si>
  <si>
    <t>Ice strength; In-situ; Borehole indentor; Failure classification; Acoustic-emissions; Microstructural analysis</t>
  </si>
  <si>
    <t>ANISOTROPIC CONSTITUTIVE MODEL; COLUMNAR-GRAINED ICE; DUCTILE BEHAVIOR; SEA-ICE; STRENGTH; CREEP; TESTS</t>
  </si>
  <si>
    <t>In situ measurements on stress-indentation curves conducted with the National Research Council (NRC), Canada and the Arctic and Antarctic Research Institute (ARRI), Russia borehole indentors (BHI) are analyzed and classified. This establishes harmony with laboratory observations on stress-strain diagrams and some compatibility with the recommendations (ISO/DIS 19906) on estimating uniaxial ice strengths from BHI strengths. The analysis is devoted mainly to consider the influence of local ice conditions and the indentation rates on the pressure-indentation curves. Simultaneous records of the acoustic emission (AE) detected by accelerometers installed on the ice surface, within 1.5 m of the indentation plate, indicated that major cracks are nucleated at the ice/plate interface. Microstructural analysis of the indented ice confirmed this important conclusion in addition to revealing recrystallization as well as healing activities in the indented ice. An attempt, with extremely limited success, has been made in applying conventional ice failure criteria for predicting the observed stress-indentation curves. Phenomenologically, however, a power-law between the indentation-rate and upper-yield strength exhibits the same rate sensitivity (about 3) usually obtained for strain-rate dependence of uniaxial strengths. Numerical solutions of the rate-sensitive indentation processes must be developed (as has successfully been achieved for uniaxial tests) on microstructure-property based mathematical (rheological) model that includes the effects of the rate-dependent kinetics of deformation, microcracking and crack-enhanced creep. Premature brittle fractures are contact problems and modeling must consider the nucleation of cracks in ice at the ice/plate contact surface. Crown Copyright (C) 2012 Published by Elsevier B.V. All rights reserved.</t>
  </si>
  <si>
    <t>[Sinha, Nirmal K.] Natl Res Council Canada, Ottawa, ON K1A 0R6, Canada; [Shkhinek, Karl] St Petersburg State Polytech Univ, St Petersburg, Russia; [Smirnov, Victor] Arctic &amp; Antarctic Res Inst, St Petersburg 199226, Russia</t>
  </si>
  <si>
    <t>National Research Council Canada; Peter the Great St. Petersburg Polytechnic University; Arctic &amp; Antarctic Research Institute</t>
  </si>
  <si>
    <t>Sinha, NK (corresponding author), Natl Res Council Canada, 1200 Montreal Rd,Bldg M17, Ottawa, ON K1A 0R6, Canada.</t>
  </si>
  <si>
    <t>nirmal.sinha@nrc-cnrc.gc.ca; shkhinek@cef.spbstu.ru; smirnov@aari.nw.ru</t>
  </si>
  <si>
    <t>76-77</t>
  </si>
  <si>
    <t>10.1016/j.coldregions.2012.01.009</t>
  </si>
  <si>
    <t>928GH</t>
  </si>
  <si>
    <t>WOS:000302970700014</t>
  </si>
  <si>
    <t>Jackson, JA; Laikre, L; Baker, CS; Kendall, KC</t>
  </si>
  <si>
    <t>Jackson, Jennifer A.; Laikre, Linda; Baker, C. Scott; Kendall, Katherine C.</t>
  </si>
  <si>
    <t>Genetic Monitoring Working Grp</t>
  </si>
  <si>
    <t>Guidelines for collecting and maintaining archives for genetic monitoring</t>
  </si>
  <si>
    <t>CONSERVATION GENETICS RESOURCES</t>
  </si>
  <si>
    <t>Conservation; Museum DNA; Biodiversity; Molecular markers; Biological collections</t>
  </si>
  <si>
    <t>EFFECTIVE POPULATION-SIZE; TROUT SALMO-TRUTTA; CONSERVATION GENETICS; GENOME AMPLIFICATION; MITOCHONDRIAL-DNA; SAMPLES; FISHERIES; FUTURE; TEMPERATURE; DEMOGRAPHY</t>
  </si>
  <si>
    <t>Rapid advances in molecular genetic techniques and the statistical analysis of genetic data have revolutionized the way that populations of animals, plants and microorganisms can be monitored. Genetic monitoring is the practice of using molecular genetic markers to track changes in the abundance, diversity or distribution of populations, species or ecosystems over time, and to follow adaptive and non-adaptive genetic responses to changing external conditions. In recent years, genetic monitoring has become a valuable tool in conservation management of biological diversity and ecological analysis, helping to illuminate and define cryptic and poorly understood species and populations. Many of the detected biodiversity declines, changes in distribution and hybridization events have helped to drive changes in policy and management. Because a time series of samples is necessary to detect trends of change in genetic diversity and species composition, archiving is a critical component of genetic monitoring. Here we discuss the collection, development, maintenance, and use of archives for genetic monitoring. This includes an overview of the genetic markers that facilitate effective monitoring, describes how tissue and DNA can be stored, and provides guidelines for proper practice.</t>
  </si>
  <si>
    <t>[Jackson, Jennifer A.; Baker, C. Scott] Oregon State Univ, Marine Mammal Inst, Newport, OR 97365 USA; [Laikre, Linda] Stockholm Univ, Dept Zool, Div Populat Genet, S-10691 Stockholm, Sweden; [Baker, C. Scott] Oregon State Univ, Dept Fisheries &amp; Wildlife, Newport, OR 97365 USA; [Baker, C. Scott] Univ Auckland, Sch Biol Sci, Auckland 1, New Zealand; [Kendall, Katherine C.] US Geol Survey, No Rocky Mt Sci Ctr, W Glacier, MT USA</t>
  </si>
  <si>
    <t>Oregon State University; Stockholm University; Oregon State University; University of Auckland; United States Department of the Interior; United States Geological Survey</t>
  </si>
  <si>
    <t>Jackson, JA (corresponding author), British Antarctic Survey, Madingley Rd, Cambridge CB3 0ET, England.</t>
  </si>
  <si>
    <t>Jennifer.Jackson@bas.ac.uk; scott.baker@oregonstate.edu</t>
  </si>
  <si>
    <t>Hansen, Michael/I-5979-2013; Jackson, Jennifer A/E-7997-2013; Olivieri, Isabelle/E-5872-2016</t>
  </si>
  <si>
    <t>Hansen, Michael/0000-0001-5372-4828; Jackson, Jennifer/0000-0003-4158-1924; Plenty Sweetgrass-She Kills, Ruth/0000-0002-5738-6480</t>
  </si>
  <si>
    <t>National Evolutionary Synthesis Center (NSF) [EF-0423641]; National Center for Ecological Analysis and Synthesis; NSF [EF-0553768]; University of California, Santa Barbara; State of California; European Community [217246]; Direct For Biological Sciences; Division Of Environmental Biology [0742181] Funding Source: National Science Foundation; Natural Environment Research Council [bas0100026] Funding Source: researchfish; NERC [bas0100026] Funding Source: UKRI</t>
  </si>
  <si>
    <t>National Evolutionary Synthesis Center (NSF); National Center for Ecological Analysis and Synthesis; NSF(National Science Foundation (NSF)); University of California, Santa Barbara(University of California System); State of California; European Community; Direct For Biological Sciences; Division Of Environmental Biology(National Science Foundation (NSF)NSF - Directorate for Biological Sciences (BIO)); Natural Environment Research Council(UK Research &amp; Innovation (UKRI)Natural Environment Research Council (NERC)); NERC(UK Research &amp; Innovation (UKRI)Natural Environment Research Council (NERC))</t>
  </si>
  <si>
    <t>This work was conducted as part of the Genetic Monitoring (GeM) Working Group jointly supported by the National Evolutionary Synthesis Center (NSF #EF-0423641) and the National Center for Ecological Analysis and Synthesis, a center funded by NSF (NSF #EF-0553768), the University of California, Santa Barbara, and the State of California. L.L. also acknowledges the European Community's Seventh Framework Programme (FP/2007-2013) under grant agreement No 217246 made with BONUS, the joint Baltic Sea research and development programme. Any use of trade, product, or firm names is for descriptive purposes only and does not imply endorsement by the US Government.</t>
  </si>
  <si>
    <t>1877-7252</t>
  </si>
  <si>
    <t>1877-7260</t>
  </si>
  <si>
    <t>CONSERV GENET RESOUR</t>
  </si>
  <si>
    <t>Conserv. Genet. Resour.</t>
  </si>
  <si>
    <t>10.1007/s12686-011-9545-x</t>
  </si>
  <si>
    <t>Biodiversity Conservation; Genetics &amp; Heredity</t>
  </si>
  <si>
    <t>Biodiversity &amp; Conservation; Genetics &amp; Heredity</t>
  </si>
  <si>
    <t>935QZ</t>
  </si>
  <si>
    <t>WOS:000303536400077</t>
  </si>
  <si>
    <t>Haase, KM; Beier, C; Fretzdorff, S; Smellie, JL; Garbe-Schönberg, D</t>
  </si>
  <si>
    <t>Haase, K. M.; Beier, C.; Fretzdorff, S.; Smellie, J. L.; Garbe-Schoenberg, D.</t>
  </si>
  <si>
    <t>Magmatic evolution of the South Shetland Islands, Antarctica, and implications for continental crust formation</t>
  </si>
  <si>
    <t>CONTRIBUTIONS TO MINERALOGY AND PETROLOGY</t>
  </si>
  <si>
    <t>Subduction zone; Magmatism; Geochemistry; Fractionation</t>
  </si>
  <si>
    <t>KING-GEORGE-ISLAND; BACK-ARC BASIN; TRACE-ELEMENT; GEOCHEMICAL CONSTRAINTS; CALC-ALKALINE; K-AR; SUBDUCTION HISTORY; LIVINGSTON-ISLAND; PACIFIC MARGIN; VOLCANIC-ROCKS</t>
  </si>
  <si>
    <t>Lavas from the South Shetland Islands volcanic arc (northern Antarctic Peninsula) have been investigated in order to determine the age, petrogenesis and compositional evolution of a long-lived volcanic arc constructed on 32-km-thick crust, a thickness comparable with average continental crust. New 40Ar-39Ar ages for the volcanism range between 135 and 47 Ma and, together with published younger ages, confirm a broad geographical trend of decreasing ages for the volcanism from southwest to northeast. The migration pattern breaks down in Palaeogene time, with Eocene magmatism present on both Livingston and King George islands, which may be due to a change in both subduction direction and velocity after c. 60 Ma. The lavas range from tholeiitic to calc-alkaline, but there is no systematic change with age or geographic location. The compositions of lavas from the north-eastern islands indicate magma generation in a depleted mantle wedge with relatively low Sr and high Nd isotopic compositions and low U/Nb, Th/Nd and Ba/Nb ratios that was metasomatized by hydrous fluids from subducted basaltic oceanic crust. Lavas from the south-western islands show an additional sedimentary influence most likely due to fluid release from subducted sediments into the mantle wedge. Although magmatic activity in the South Shetland arc extended over c. 100 m.y., there is no evolution towards more enriched or evolved magmas with time. Few South Shetland arc lavas are sufficiently enriched with incompatible elements to provide a potential protolith for the generation of average continental crust. We conclude that even long-established subduction zones with magmatic systems founded on relatively thick crust do not necessarily form continental crustal building blocks. They probably represent only the juvenile stages of continental crust formation, and additional re-working, for example during subsequent arc-continental margin collision, is required before they can evolve into average continental crust.</t>
  </si>
  <si>
    <t>[Haase, K. M.; Beier, C.] Univ Erlangen Nurnberg, GeoZentrum Nordbayern, D-91054 Erlangen, Germany; [Fretzdorff, S.; Garbe-Schoenberg, D.] Univ Kiel, Inst Geowissensch, D-24118 Kiel, Germany; [Smellie, J. L.] Univ Leicester, Dept Geol, Leicester LE1 7RH, Leics, England</t>
  </si>
  <si>
    <t>University of Erlangen Nuremberg; University of Kiel; University of Leicester</t>
  </si>
  <si>
    <t>Haase, KM (corresponding author), Univ Erlangen Nurnberg, GeoZentrum Nordbayern, Schlossgarten 5, D-91054 Erlangen, Germany.</t>
  </si>
  <si>
    <t>karsten.haase@geol.uni-erlangen.de</t>
  </si>
  <si>
    <t>Beier, Christoph/F-5604-2012; Garbe-Schönberg, Dieter/AAO-3827-2020; Garbe-Schönberg, Dieter/E-2439-2016; Beier, Christoph/A-3522-2014</t>
  </si>
  <si>
    <t>Beier, Christoph/0000-0001-7014-7049; Garbe-Schönberg, Dieter/0000-0001-9006-9463; Beier, Christoph/0000-0001-7014-7049; Haase, Karsten/0000-0003-4768-5978</t>
  </si>
  <si>
    <t>Deutsche Forschungsgemeinschaft (DFG) [STO110/41-1, -2]</t>
  </si>
  <si>
    <t>The assistance of P. Appel, S. Hauff, B. Mader and A. Weinkauf during the analytical work is gratefully acknowledged. P. van den Bogaard is thanked for the Ar-Ar age determinations. Constructive reviews by P. Leat and an anonymous reviewer are gratefully acknowledged. This work was funded by the Deutsche Forschungsgemeinschaft (DFG grant STO110/41-1 and -2).</t>
  </si>
  <si>
    <t>0010-7999</t>
  </si>
  <si>
    <t>1432-0967</t>
  </si>
  <si>
    <t>CONTRIB MINERAL PETR</t>
  </si>
  <si>
    <t>Contrib. Mineral. Petrol.</t>
  </si>
  <si>
    <t>10.1007/s00410-012-0719-7</t>
  </si>
  <si>
    <t>Geochemistry &amp; Geophysics; Mineralogy</t>
  </si>
  <si>
    <t>943QV</t>
  </si>
  <si>
    <t>WOS:000304141200011</t>
  </si>
  <si>
    <t>Frederiksen, M; Moe, B; Daunt, F; Phillips, RA; Barrett, RT; Bogdanova, MI; Boulinier, T; Chardine, JW; Chastel, O; Chivers, LS; Christensen-Dalsgaard, S; Clément-Chastel, C; Colhoun, K; Freeman, R; Gaston, AJ; González-Solís, J; Goutte, A; Grémillet, D; Guilford, T; Jensen, GH; Krasnov, Y; Lorentsen, SH; Mallory, ML; Newell, M; Olsen, B; Shaw, D; Steen, H; Strom, H; Systad, GH; Thórarinsson, TL; Anker-Nilssen, T</t>
  </si>
  <si>
    <t>Frederiksen, Morten; Moe, Borge; Daunt, Francis; Phillips, Richard A.; Barrett, Robert T.; Bogdanova, Maria I.; Boulinier, Thierry; Chardine, John W.; Chastel, Olivier; Chivers, Lorraine S.; Christensen-Dalsgaard, Signe; Clement-Chastel, Celine; Colhoun, Kendrew; Freeman, Robin; Gaston, Anthony J.; Gonzalez-Solis, Jacob; Goutte, Aurelie; Gremillet, David; Guilford, Tim; Jensen, Gitte H.; Krasnov, Yuri; Lorentsen, Svein-Hakon; Mallory, Mark L.; Newell, Mark; Olsen, Bergur; Shaw, Deryk; Steen, Harald; Strom, Hallvard; Systad, Geir H.; Thorarinsson, Thorkell L.; Anker-Nilssen, Tycho</t>
  </si>
  <si>
    <t>Multicolony tracking reveals the winter distribution of a pelagic seabird on an ocean basin scale</t>
  </si>
  <si>
    <t>Black-legged kittiwake; geolocation; migration; non-breeding ecology; North Atlantic; Rissa tridactyla</t>
  </si>
  <si>
    <t>BLACK-LEGGED KITTIWAKE; GUILLEMOTS URIA-AALGE; RISSA-TRIDACTYLA; NORTH-ATLANTIC; CALANUS-FINMARCHICUS; BREEDING PERFORMANCE; POPULATION-DYNAMICS; MARINE PREDATOR; CLIMATE; SURVIVAL</t>
  </si>
  <si>
    <t>Aim An understanding of the non-breeding distribution and ecology of migratory species is necessary for successful conservation. Many seabirds spend the non-breeding season far from land, and information on their distribution during this time is very limited. The black-legged kittiwake, Rissa tridactyla, is a widespread and numerous seabird in the North Atlantic and Pacific, but breeding populations throughout the Atlantic range have declined recently. To help understand the reasons for the declines, we tracked adults from colonies throughout the Atlantic range over the non-breeding season using light-based geolocation. Location North Atlantic. Methods Geolocation data loggers were deployed on breeding kittiwakes from 19 colonies in 2008 and 2009 and retrieved in 2009 and 2010. Data from 236 loggers were processed and plotted using GIS. Size and composition of wintering populations were estimated using information on breeding population size. Results Most tracked birds spent the winter in the West Atlantic, between Newfoundland and the Mid-Atlantic Ridge, including in offshore, deep-water areas. Some birds (mainly local breeders) wintered in the North Sea and west of the British Isles. There was a large overlap in winter distributions of birds from different colonies, and colonies closer to each other showed larger overlap. We estimated that 80% of the 4.5 million adult kittiwakes in the Atlantic wintered west of the Mid-Atlantic Ridge, with only birds from Ireland and western Britain staying mainly on the European side. Main conclusions The high degree of mixing in winter of kittiwakes breeding in various parts of the Atlantic range implies that the overall population could be sensitive to potentially deteriorating environmental conditions in the West Atlantic, e.g. owing to lack of food or pollution. Our approach to estimating the size and composition of wintering populations should contribute to improved management of birds faced with such challenges.</t>
  </si>
  <si>
    <t>[Frederiksen, Morten; Jensen, Gitte H.] Aarhus Univ, NERI, Dept Arctic Environm, DK-4000 Roskilde, Denmark; [Moe, Borge; Systad, Geir H.] Norwegian Inst Nat Res, Fram Ctr, N-9296 Tromso, Norway; [Daunt, Francis; Bogdanova, Maria I.; Newell, Mark] Ctr Ecol &amp; Hydrol, Penicuik EH26 0QB, Midlothian, Scotland; [Phillips, Richard A.] British Antarctic Survey, NERC, Cambridge CB3 0ET, England; [Barrett, Robert T.] Tromso Univ Museum, Dept Nat Sci, N-9037 Tromso, Norway; [Boulinier, Thierry; Gremillet, David] CNRS, Ctr Ecol Fonct &amp; Evolut, F-34293 Montpellier, France; [Chardine, John W.] Environm Canada, Sackville, NB E4L 1G6, Canada; [Chastel, Olivier; Clement-Chastel, Celine; Goutte, Aurelie] CNRS, Ctr Etud Biol Chize, F-79360 Villiers En Bois, France; [Chivers, Lorraine S.] Queens Univ Belfast, Sch Biol Sci, MBC, Quercus, Belfast BT9 7BL, Antrim, North Ireland; [Christensen-Dalsgaard, Signe; Lorentsen, Svein-Hakon; Anker-Nilssen, Tycho] Norwegian Inst Nat Res, N-7485 Trondheim, Norway; [Colhoun, Kendrew] RSPB No Ireland, Belfast BT8 7QT, Antrim, North Ireland; [Freeman, Robin; Guilford, Tim] Univ Oxford, Dept Zool, Anim Behav Res Grp, Oxford OX1 3PS, England; [Gaston, Anthony J.] Carleton Univ, Environm Canada, Natl Wildlife Res Ctr, Ottawa, ON K1A 0H, Canada; [Gonzalez-Solis, Jacob] Univ Barcelona, Inst Recerca Biodiversitat, E-08028 Barcelona, Spain; [Krasnov, Yuri] Murmansk Marine Biol Inst KSC RAS, Murmansk, Russia; [Mallory, Mark L.] Canadian Wildlife Serv, Iqaluit, NU X0A 0H0, Canada; [Shaw, Deryk] Fair Isle Bird Observ, Fair Isle ZE2 9JU, Zetland, England; [Steen, Harald; Strom, Hallvard] Norwegian Polar Res Inst, Fram Ctr, N-9296 Tromso, Norway; [Thorarinsson, Thorkell L.] NE Iceland Nat Ctr, IS-640 Husavik, Iceland; [Gonzalez-Solis, Jacob] Univ Barcelona, Dept Biol Anim, E-08028 Barcelona, Spain</t>
  </si>
  <si>
    <t>Aarhus University; Norwegian Institute Nature Research; UK Centre for Ecology &amp; Hydrology (UKCEH); UK Research &amp; Innovation (UKRI); Natural Environment Research Council (NERC); NERC British Antarctic Survey; UiT The Arctic University of Tromso; Universite PSL; Ecole Pratique des Hautes Etudes (EPHE); Institut Agro; Montpellier SupAgro; CIRAD; Centre National de la Recherche Scientifique (CNRS); Institut de Recherche pour le Developpement (IRD); Universite Paul-Valery; Universite de Montpellier; Environment &amp; Climate Change Canada; Centre National de la Recherche Scientifique (CNRS); Queens University Belfast; Norwegian Institute Nature Research; Royal Society for Protection of Birds; University of Oxford; Carleton University; Environment &amp; Climate Change Canada; Canadian Wildlife Service; National Wildlife Research Centre - Canada; University of Barcelona; Environment &amp; Climate Change Canada; Canadian Wildlife Service; Norwegian Polar Institute; University of Barcelona</t>
  </si>
  <si>
    <t>Frederiksen, M (corresponding author), Aarhus Univ, Dept Biosci, Frederiksborgvej 399, DK-4000 Roskilde, Denmark.</t>
  </si>
  <si>
    <t>mfr@dmu.dk</t>
  </si>
  <si>
    <t>González-Solís, Jacob/AAB-1161-2019; Systad, Geir Helge Rødli/IAR-4562-2023; Gonzalez-Solis, Jacob/C-3942-2008; Goutte, Aurelie/F-7572-2017; Goutte, Aurelie/JZT-6808-2024; Freeman, Robin/JOZ-4393-2023; Frederiksen, Morten/A-7542-2008; Krasnov, Yuri V/H-1581-2016; Jensen, Gitte Høj/J-2787-2013; Anker-Nilssen, Tycho/AAB-7666-2022; Bogdanova, Maria/AAS-2483-2020; Daunt, Francis/K-6688-2012; Moe, Borge/P-2946-2015; Mallory, Mark/A-1952-2017; Gremillet, David/W-1946-2018</t>
  </si>
  <si>
    <t>Gonzalez-Solis, Jacob/0000-0002-8691-9397; Freeman, Robin/0000-0002-0560-8942; Frederiksen, Morten/0000-0001-5550-0537; Anker-Nilssen, Tycho/0000-0002-1030-5524; Colhoun, Kendrew/0000-0003-4451-695X; Daunt, Francis/0000-0003-4638-3388; BOULINIER, Thierry/0000-0002-5898-7667; Moe, Borge/0000-0002-2306-1899; Goutte, Aurelie/0000-0001-8322-5843; Thorarinsson, Thorkell Lindberg/0000-0002-1638-2555; Systad, Geir Helge Rodli/0000-0002-9291-4517; Mallory, Mark/0000-0003-2744-3437; Gremillet, David/0000-0002-7711-9398</t>
  </si>
  <si>
    <t>Norwegian SEAPOP; French Polar Institute [330, 333]; Northern Ireland Environment Agency; Greenland Bureau of Minerals and Petroleum; Environment Canada; Natural Resources Canada; Microsoft Research, Cambridge; Shetland Oil Terminal Environmental Advisory Group; SEAPOP; Danish Ministry of the Environment; NERC [bas0100025] Funding Source: UKRI; Natural Environment Research Council [bas0100025, CEH010021] Funding Source: researchfish</t>
  </si>
  <si>
    <t>Norwegian SEAPOP; French Polar Institute; Northern Ireland Environment Agency; Greenland Bureau of Minerals and Petroleum; Environment Canada(CGIAR); Natural Resources Canada(Natural Resources CanadaCanadian Forest Service); Microsoft Research, Cambridge; Shetland Oil Terminal Environmental Advisory Group; SEAPOP; Danish Ministry of the Environment; NERC(UK Research &amp; Innovation (UKRI)Natural Environment Research Council (NERC)); Natural Environment Research Council(UK Research &amp; Innovation (UKRI)Natural Environment Research Council (NERC))</t>
  </si>
  <si>
    <t>We thank all the people involved in deploying and retrieving loggers, too many to mention here. Special thanks to Sarah Wanless, Martin Heubeck, Chris Perrins, Dave Boyle, Dave Fifield and Karen McCoy. Thomas Bauditz Hansen assisted with data handling. James Fox answered technical queries about geolocation and geolocators. Fieldwork was supported by many organizations, including: the Norwegian SEAPOP programme (eight sites in Norway and one in Russia), the French Polar Institute [IPEV programmes 330 (O.C., Kongsfjorden) and 333 (T.B., Hornoya)], the Northern Ireland Environment Agency via the Natural Heritage Research Partnership (L.S.C., Rathlin), the Greenland Bureau of Minerals and Petroleum (M.F., Kippaku), Environment Canada, Natural Resources Canada (PCSP), Microsoft Research, Cambridge (T.G., Skomer) and Shetland Oil Terminal Environmental Advisory Group (D.S., Fair Isle). The joint analysis was supported by grants from SEAPOP to T.A.-N. and from the Danish Ministry of the Environment to M. F. Procedures followed relevant ethical guidelines and legislation in all countries involved.</t>
  </si>
  <si>
    <t>10.1111/j.1472-4642.2011.00864.x</t>
  </si>
  <si>
    <t>937NU</t>
  </si>
  <si>
    <t>Green Submitted, hybrid</t>
  </si>
  <si>
    <t>WOS:000303666000001</t>
  </si>
  <si>
    <t>Filatov, NN; Georgiev, AP; Efremova, TV; Nazarova, LE; Pal'shin, NI; Rukhovets, LA; Tolstikov, AV; Sharov, AN</t>
  </si>
  <si>
    <t>Filatov, N. N.; Georgiev, A. P.; Efremova, T. V.; Nazarova, L. E.; Pal'shin, N. I.; Rukhovets, L. A.; Tolstikov, A. V.; Sharov, A. N.</t>
  </si>
  <si>
    <t>Response of lakes in Eastern Fennoscandia and Eastern Antarctica to climate changes</t>
  </si>
  <si>
    <t>TEMPERATURE</t>
  </si>
  <si>
    <t>[Filatov, N. N.; Georgiev, A. P.; Efremova, T. V.; Nazarova, L. E.; Pal'shin, N. I.; Tolstikov, A. V.; Sharov, A. N.] Russian Acad Sci, Karelian Sci Ctr, Inst Water Problems N, Petrozavodsk 185030, Russia; [Rukhovets, L. A.] Russian Acad Sci, St Petersburg Inst Econ &amp; Math, St Petersburg 196140, Russia</t>
  </si>
  <si>
    <t>Russian Academy of Sciences; Karelian Research Centre of the Russian Academy of Sciences; Northern Water Problems Institute, Karelian Scientific Center, RAS; Russian Academy of Sciences; Central Economics &amp; Mathematics Institute RAS; Institute for Regional Economic Studies Russian Academy of Sciences</t>
  </si>
  <si>
    <t>Filatov, NN (corresponding author), Russian Acad Sci, Karelian Sci Ctr, Inst Water Problems N, Pr A Nevskogo 50, Petrozavodsk 185030, Russia.</t>
  </si>
  <si>
    <t>nfilatov@rambler.ru</t>
  </si>
  <si>
    <t>Palshin, Nikolay/L-8634-2013; Tolstikov, Alexey/J-4579-2018; Georgiev, Andrew/AAE-2391-2020; Nazarova, Larisa E./AAC-2945-2022; Sharov, Andrey/K-4222-2013; Efremova, Tatiana/M-1943-2013</t>
  </si>
  <si>
    <t>Palshin, Nikolay/0000-0003-1540-3788; Tolstikov, Alexey/0000-0002-7690-3404; Sharov, Andrey/0000-0001-7581-2538; Efremova, Tatiana/0000-0003-0313-6731</t>
  </si>
  <si>
    <t>Russian Foundation for Basic Research [10-05-00963]</t>
  </si>
  <si>
    <t>We are grateful to V.V. Lukin, the chief of the Russian Antarctic Expedition of the Arctic and Antarctic Research Institute; V. A. Kuchin, the head of the 56th Russian Antarctic Expedition; and V. V. Kiselev, the chief of the Molodezhnaya Station for their help in these studies. This work was supported by the Russian Foundation for Basic Research, project no. 10-05-00963.</t>
  </si>
  <si>
    <t>10.1134/S1028334X1206013X</t>
  </si>
  <si>
    <t>969NT</t>
  </si>
  <si>
    <t>WOS:000306063100020</t>
  </si>
  <si>
    <t>Larrasoaña, JC; Roberts, AP; Chang, L; Schellenberg, SA; Gerald, JDF; Norris, RD; Zachos, JC</t>
  </si>
  <si>
    <t>Larrasoana, Juan C.; Roberts, Andrew P.; Chang, Liao; Schellenberg, Stephen A.; Gerald, John D. Fitz; Norris, Richard D.; Zachos, James C.</t>
  </si>
  <si>
    <t>Magnetotactic bacterial response to Antarctic dust supply during the Palaeocene-Eocene thermal maximum</t>
  </si>
  <si>
    <t>Palaeocene/Eocene thermal maximum; marine sediments; environmental magnetism; biogenic magnetite; aeolian dust</t>
  </si>
  <si>
    <t>ORGANIC-CARBON FLUX; GRAIN-SIZE; FERROMAGNETIC-RESONANCE; REMANENCE ACQUISITION; MAGNETIC-PROPERTIES; BIOGENIC MAGNETITE; KERGUELEN PLATEAU; ROCK-MAGNETISM; SEA-LEVEL; MAGNETOFOSSILS</t>
  </si>
  <si>
    <t>Distinct magnetic properties of marine sediments that record the Palaeocene-Eocene thermal maximum (PETM) have been suggested to be due to a bacterial magnetofossil signal that is linked to enhanced weathering conditions during the PETM. We document the dominance of bacterial magnetite in deep-sea sediments from southern Kerguelen Plateau (Ocean Drilling Program Hole 738C, southern Ocean) not only during the PETM, but also before and after the thermal event. This occurrence of magnetofossils throughout the PETM indicates that the occurrence of bacterial magnetosomes is not due to a preservation effect. Instead, we suggest that it is due to sustained mild iron-reducing conditions that dissolved the most labile aeolian-derived iron, which favoured continued magnetotactic bacterial activity without being strong enough to dissolve the less reactive magnetite and haematite. Enhanced aeolian haematite abundances at the beginning of the PETM indicate drier conditions on the neighbouring Antarctic continent at those times. Our results provide evidence that iron fertilisation by aeolian dust was the main limiting factor that conditioned proliferation of magnetotactic bacteria in the deep sea at the southern Kerguelen Plateau, with the exception of two short periods of rapidly changing palaeoenvironmental conditions at the onset and termination of the PETM. Increased iron supply from aeolian dust, that enhanced oceanic primary productivity and subsequent delivery of organic carbon to the seafloor, along with mild iron-reducing diagenetic conditions, seem to have been necessary to provide the iron needed for magnetite biomineralization by magnetotactic bacteria to drive their marked increase in abundance in the studied PETM record from southern Kerguelen Plateau. Our analyses of a deep-sea PETM record from Hole 1051B at Blake Nose (Atlantic Ocean) failed to identify magnetofossils despite evidence for the occurrence of magnetite and haematite of probable aeolian origin. Contrasting magnetic properties at these PETM sections indicate that further work is needed to understand the palaeoenvironmental and diagenetic factors whose interactions lead to production and preservation of magnetofossils in deep-sea sediments. (C) 2012 Elsevier B.V. All rights reserved.</t>
  </si>
  <si>
    <t>[Larrasoana, Juan C.] Inst Geol &amp; Minero Espana, Unidad Zaragoza, Zaragoza 50006, Spain; [Larrasoana, Juan C.; Roberts, Andrew P.; Chang, Liao; Gerald, John D. Fitz] Australian Natl Univ, Res Sch Earth Sci, Canberra, ACT 0200, Australia; [Roberts, Andrew P.] Univ Southampton, Natl Oceanog Ctr, Sch Ocean &amp; Earth Sci, Southampton SO14 3ZH, Hants, England; [Chang, Liao] Univ Utrecht, Inst Earth Sci, Palaeomagnet Lab Ft Hoofddijk, NL-3584 CD Utrecht, Netherlands; [Schellenberg, Stephen A.] San Diego State Univ, Dept Geol Sci, San Diego, CA 92182 USA; [Norris, Richard D.] Univ Calif San Diego, Scripps Inst Oceanog, La Jolla, CA 92093 USA; [Zachos, James C.] Univ Calif Santa Cruz, Dept Earth &amp; Planetary Sci, Santa Cruz, CA 95064 USA</t>
  </si>
  <si>
    <t>Australian National University; NERC National Oceanography Centre; University of Southampton; Utrecht University; California State University System; San Diego State University; University of California System; University of California San Diego; Scripps Institution of Oceanography; University of California System; University of California Santa Cruz</t>
  </si>
  <si>
    <t>Larrasoaña, JC (corresponding author), Inst Geol &amp; Minero Espana, Unidad Zaragoza, C Manuel Lasala 44,9B, Zaragoza 50006, Spain.</t>
  </si>
  <si>
    <t>jc.larra@igme.es</t>
  </si>
  <si>
    <t>Chang, Liao/AAU-3724-2020; Larrasoana, Juan C./O-1350-2013; Roberts, Andrew P/E-6422-2010; Zachos, James C/A-7674-2008</t>
  </si>
  <si>
    <t>Chang, Liao/0000-0002-0165-1310; Larrasoana, Juan Cruz/0000-0003-4568-631X; Roberts, Andrew P./0000-0003-0566-8117</t>
  </si>
  <si>
    <t>U.S. National Science Foundation; UK Engineering and Physical Sciences Research Council; NERC [NE/G003319/1]; NSF [EAR-0120727]; Spanish MEC [PR2011-0480]; European Community TMR Network [ERBFMRXCT98-0247]; Natural Environment Research Council [NE/G003319/1] Funding Source: researchfish; NERC [NE/G003319/1] Funding Source: UKRI</t>
  </si>
  <si>
    <t>U.S. National Science Foundation(National Science Foundation (NSF)); UK Engineering and Physical Sciences Research Council(UK Research &amp; Innovation (UKRI)Engineering &amp; Physical Sciences Research Council (EPSRC)); NERC(UK Research &amp; Innovation (UKRI)Natural Environment Research Council (NERC)); NSF(National Science Foundation (NSF)); Spanish MEC(Spanish Government); European Community TMR Network; Natural Environment Research Council(UK Research &amp; Innovation (UKRI)Natural Environment Research Council (NERC)); NERC(UK Research &amp; Innovation (UKRI)Natural Environment Research Council (NERC))</t>
  </si>
  <si>
    <t>Samples were provided by the IODP, which is sponsored by the U.S. National Science Foundation and participating countries under management of Joint Oceanographic Institutions, Inc. We are grateful to the staff from the IODP Core Repositories in Bremen and Kochi for technical assistance. We thank J. Wolowska for technical assistance with FMR measurements, which were made at the FMR National Service Centre at the University of Manchester, which is funded by the UK Engineering and Physical Sciences Research Council. We are also grateful for access to TEM equipment of the Centre for Advanced Microscopy in the ANU, which is a node of the Australian Microscopy and Microanalysis Research Facility. Shane Paxton provided valuable assistance with magnetic mineral separations. Liao Chang undertook the FMR measurements in conjunction with work funded by the NERC Grant NE/G003319/1 to Andrew Roberts. Stable isotope analytical work was supported by the NSF Grant EAR-0120727 to James Zachos. Andrew Roberts acknowledges a period of sabbatical leave from the University of Southampton that facilitated completion of aspects of this study. Juan C. Larrasoana acknowledges the Spanish MEC (PR2011-0480) for funding a Visiting Fellowship at the ANU, where this study was completed. This work was started with financial support by the European Community TMR Network contract MAG-NET (ERBFMRXCT98-0247). We are also grateful to two anonymous reviewers whose constructive comments greatly improved the manuscript.</t>
  </si>
  <si>
    <t>10.1016/j.epsl.2012.04.003</t>
  </si>
  <si>
    <t>980HK</t>
  </si>
  <si>
    <t>WOS:000306884000013</t>
  </si>
  <si>
    <t>Gladstone, RM; Lee, V; Rougier, J; Payne, AJ; Hellmer, H; Le Brocq, A; Shepherd, A; Edwards, TL; Gregory, J; Cornford, SL</t>
  </si>
  <si>
    <t>Gladstone, Rupert M.; Lee, Victoria; Rougier, Jonathan; Payne, Antony J.; Hellmer, Hartmut; Le Brocq, Anne; Shepherd, Andrew; Edwards, Tamsin L.; Gregory, Jonathan; Cornford, Stephen L.</t>
  </si>
  <si>
    <t>Calibrated prediction of Pine Island Glacier retreat during the 21st and 22nd centuries with a coupled flowline model</t>
  </si>
  <si>
    <t>West Antarctic ice sheet; Pine Island Glacier; calibrated prediction; marine ice sheet instability; ice sheet modelling</t>
  </si>
  <si>
    <t>DIGITAL ELEVATION MODEL; ANTARCTIC ICE-SHEET; WEST ANTARCTICA; LASER DATA; SATELLITE; THWAITES; BENEATH; RADAR</t>
  </si>
  <si>
    <t>A flowline ice sheet model is coupled to a box model for cavity circulation and configured for the Pine Island Glacier. An ensemble of 5000 simulations are carried out from 1900 to 2200 with varying inputs and parameters, forced by ocean temperatures predicted by a regional ocean model under the A1B 'business as usual' emissions scenario. Comparison is made against recent observations to provide a calibrated prediction in the form of a 95% confidence set. Predictions are for monotonic (apart from some small scale fluctuations in a minority of cases) retreat of the grounding line over the next 200 yr with huge uncertainty in the rate of retreat. Full collapse of the main trunk of the PIG during the 22nd century remains a possibility. (C) 2012 Elsevier B.V. All rights reserved.</t>
  </si>
  <si>
    <t>[Gladstone, Rupert M.; Lee, Victoria; Payne, Antony J.; Edwards, Tamsin L.; Cornford, Stephen L.] Univ Bristol, Sch Geog Sci, Bristol BS8 1SS, Avon, England; [Le Brocq, Anne] Univ Exeter, Coll Life &amp; Environm Sci, Exeter EX4 4RJ, Devon, England; [Hellmer, Hartmut] Alfred Wegener Inst, D-27570 Bremerhaven, Germany; [Shepherd, Andrew] Univ Leeds, Sch Earth &amp; Environm, Leeds LS2 9JT, W Yorkshire, England; [Rougier, Jonathan] Univ Bristol, Dept Math, Bristol BS8 1TW, Avon, England; [Gregory, Jonathan] Univ Reading, NCAS Climate, Reading RG6 6BB, Berks, England; [Gregory, Jonathan] Met Off Hadley Ctr, Exeter EX1 3PB, Devon, England</t>
  </si>
  <si>
    <t>University of Bristol; University of Exeter; Helmholtz Association; Alfred Wegener Institute, Helmholtz Centre for Polar &amp; Marine Research; University of Leeds; University of Bristol; University of Reading; UK Research &amp; Innovation (UKRI); Natural Environment Research Council (NERC); NERC National Centre for Atmospheric Science; Met Office - UK; Hadley Centre</t>
  </si>
  <si>
    <t>Gladstone, RM (corresponding author), Univ Lapland, Arctic Ctr, POB 122, FIN-96101 Rovaniemi, Finland.</t>
  </si>
  <si>
    <t>rupert_gladstone@yahoo.com</t>
  </si>
  <si>
    <t>Gregory, Jonathan/J-2939-2016; Edwards, Tamsin/H-6462-2019; payne, antony/A-8916-2008; Gladstone, Rupert/C-1086-2013</t>
  </si>
  <si>
    <t>Gregory, Jonathan/0000-0003-1296-8644; Edwards, Tamsin/0000-0002-4760-4704; Hellmer, Hartmut/0000-0002-9357-9853; Rougier, Jonathan/0000-0003-3072-7043; Cornford, Stephen/0000-0003-1844-274X; Cornford, Stephen/0000-0002-2461-1645; payne, antony/0000-0001-8825-8425; Gladstone, Rupert/0000-0002-1582-3857; Shepherd, Andrew/0000-0002-4914-1299</t>
  </si>
  <si>
    <t>UK's National Centre for Earth Observation cryosphere and climate themes; European project ice2sea; project Understanding contemporary change in the West Antarctic ice sheet; NERC [NE/E006256/1, NE/E006108/1]; Natural Environment Research Council [ncas10006, earth010006, cpom20001, NE/E006256/1] Funding Source: researchfish; NERC [ncas10006, NE/E006256/1, cpom20001] Funding Source: UKRI</t>
  </si>
  <si>
    <t>UK's National Centre for Earth Observation cryosphere and climate themes; European project ice2sea; project Understanding contemporary change in the West Antarctic ice sheet; 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</si>
  <si>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the UK's National Centre for Earth Observation cryosphere and climate themes and the European project ice2sea, as well as the project Understanding contemporary change in the West Antarctic ice sheet funded by NERC standard grants NE/E006256/1 and NE/E006108/1.</t>
  </si>
  <si>
    <t>10.1016/j.epsl.2012.04.022</t>
  </si>
  <si>
    <t>WOS:000306884000020</t>
  </si>
  <si>
    <t>Dani, KGS; Mader, HM; Wolff, EW; Wadham, JL</t>
  </si>
  <si>
    <t>Dani, K. G. Srikanta; Mader, Heidy M.; Wolff, Eric W.; Wadham, Jemma L.</t>
  </si>
  <si>
    <t>Modelling the liquid-water vein system within polar ice sheets as a potential microbial habitat</t>
  </si>
  <si>
    <t>polar ice cores; polycrystalline ice; psychrophilic bacterial metabolism; vein system; temperature depression</t>
  </si>
  <si>
    <t>LAKE VOSTOK; SUBGLACIAL SEDIMENTS; GRAIN-BOUNDARIES; GLACIAL ICE; GREENLAND; MICROORGANISMS; TEMPERATURE; GROWTH; CORE; DOME</t>
  </si>
  <si>
    <t>Based on the fundamental and distinctive physical properties of polycrystalline ice lh, the chemical and temperature profiles within the polar ice sheets, and the observed selective partitioning of bacteria into liquid water filled veins in the ice, we consider the possibility that microbial life could survive and be sustained within glacial systems. Here, we present a set of modelled vertical profiles of vein diameter, vein chemical concentration, and vein water volume variability across a range of polar ice sheets using their ice core chemical profiles. A sensitivity analysis of VeinsIuIce1.0, the numerical model used in this study shows that the ice grain size and the local borehole temperature are the most significant factors that influence the intergranular liquid vein size and the amount of freeze-concentrated impurities partitioned into the veins respectively. Model results estimate the concentration and characteristics of the chemical broth in the veins to be a potential extremophilic microbial medium. The vein sizes are estimated to vary between 0.3 mu m to 8 mu m across the vertical length of many polar ice sheets and they may contain up to 2 mu L, of liquid water per litre of solid ice. The results suggest that these veins in polar ice sheets could accommodate populations of psychrophilic and hyperacidophilic ultra-small bacteria and in some regions even support the habitation of unicellular eukaryotes. This highlights the importance of understanding the potential impact of englacial microbial metabolism on polar ice core chemical profiles and provides a model for similar extreme habitats elsewhere in the universe. (C) 2012 Elsevier B.V. All rights reserved.</t>
  </si>
  <si>
    <t>[Dani, K. G. Srikanta; Mader, Heidy M.] Univ Bristol, Sch Earth Sci, Bristol BS8 1RJ, Avon, England; [Wolff, Eric W.] British Antarctic Survey, Cambridge CB3 0ET, England; [Wadham, Jemma L.] Univ Bristol, Sch Geog Sci, Bristol BS8 1SS, Avon, England</t>
  </si>
  <si>
    <t>University of Bristol; UK Research &amp; Innovation (UKRI); Natural Environment Research Council (NERC); NERC British Antarctic Survey; University of Bristol</t>
  </si>
  <si>
    <t>Mader, HM (corresponding author), Univ Bristol, Sch Earth Sci, Wills Mem Bldg,Queens Rd, Bristol BS8 1RJ, Avon, England.</t>
  </si>
  <si>
    <t>h.m.mader@bristol.ac.uk</t>
  </si>
  <si>
    <t>Wadham, Jemma L/A-8352-2012; Wolff, Eric W/D-7925-2014; Wadham, Jemma L/G-3138-2014</t>
  </si>
  <si>
    <t>Wolff, Eric W/0000-0002-5914-8531;</t>
  </si>
  <si>
    <t>Association of Commonwealth Universities; Commonwealth Scholarship Commission (UK); NERC [bas0100024] Funding Source: UKRI; Natural Environment Research Council [bas0100024] Funding Source: researchfish</t>
  </si>
  <si>
    <t>Association of Commonwealth Universities; Commonwealth Scholarship Commission (UK); NERC(UK Research &amp; Innovation (UKRI)Natural Environment Research Council (NERC)); Natural Environment Research Council(UK Research &amp; Innovation (UKRI)Natural Environment Research Council (NERC))</t>
  </si>
  <si>
    <t>We are thankful to Dr Grzegorz Lis (LOWTEX, University of Bristol, UK), Vittal Mallya Scientific Research Foundation (Bangalore, India), and Mr Michael Baxter (Macquarie University, Australia). The polar ice core borehole temperature and grain size profiles shared by the research collaborators of British Antarctic Survey and EPICA are gratefully acknowledged. KGSD is grateful to the Association of Commonwealth Universities and the Commonwealth Scholarship Commission (UK) for sponsoring his fellowship during this study. We also thank four anonymous reviewers, whose constructive critique helped to improve the manuscript.</t>
  </si>
  <si>
    <t>10.1016/j.epsl.2012.04.009</t>
  </si>
  <si>
    <t>WOS:000306884000024</t>
  </si>
  <si>
    <t>Ling, SD; Johnson, CR</t>
  </si>
  <si>
    <t>Ling, S. D.; Johnson, C. R.</t>
  </si>
  <si>
    <t>Marine reserves reduce risk of climate-driven phase shift by reinstating size- and habitat-specific trophic interactions</t>
  </si>
  <si>
    <t>ECOLOGICAL APPLICATIONS</t>
  </si>
  <si>
    <t>Centrostephanus rodgersii; climate change; fishing; kelp beds; marine protected areas; predation; range extension; resilience; sea urchin; spatial refuge; Tasmanian temperate reefs; urchin barrens</t>
  </si>
  <si>
    <t>URCHIN CENTROSTEPHANUS-RODGERSII; NEW-SOUTH-WALES; SEA-URCHIN; PARACENTROTUS-LIVIDUS; JASUS-EDWARDSII; KELP BEDS; PREDATION; POPULATIONS; PATTERNS; IMPACTS</t>
  </si>
  <si>
    <t>Spatial closures in the marine environment are widely accepted as effective conservation and fisheries management tools. Given increasing human-derived stressors acting on marine ecosystems, the need for such effective action is urgently clear. Here we explore mechanisms underlying the utility of marine reserves to reinstate trophic dynamics and to increase resilience of kelp beds against climate-driven phase shift to sea urchin barrens on the rapidly warming Tasmanian east coast. Tethering and tagging experiments were used to examine size-and shelter-specific survival of the range-extending sea urchin Centrostephanus rodgersii (Diadematidae) translocated to reefs inside and outside no-take Tasmanian marine reserves. Results show that survival rates of C. rodgersii exposed on flat reef substratum by tethering were approximately seven times (small urchins 10.1 times; large urchins 6.1 times) lower on protected reef within marine reserve boundaries (high abundance of large predatory-capable lobsters) compared to fished reef (large predatory lobsters absent). When able to seek crevice shelter, tag-resighting models estimated that mortality rates of C. rodgersii were lower overall but remained 3.3 times (small urchins 2.1 times; large urchins 6.4 times) higher in the presence of large lobsters inside marine reserves, with higher survival of small urchins owing to greater access to crevices relative to large urchins. Indeed, shelter was 6.3 times and 3.1 times more important to survival of small and large urchins, respectively, on reserved relative to fished reef. Experimental results corroborate with surveys throughout the range extension region, showing greater occurrence of overgrazing on high-relief rocky habitats where shelter for C. rodgersii is readily available. This shows that ecosystem impacts mediated by range extension of such habitat-modifying organisms will be heterogeneous in space, and that marine systems with a more natural complement of large and thus functional predators, as achievable within no-take reserves, will minimize local risk of phase shifts by reinstating size and habitat-specific predator-prey dynamics eroded by fishing. Importantly, our findings also highlight the crucial need to account for the influence of size dynamics and habitat complexity on rates of key predator-prey interactions when managing expectations of ecosystem-level responses within marine reserve boundaries.</t>
  </si>
  <si>
    <t>[Ling, S. D.; Johnson, C. R.] Univ Tasmania, Inst Marine &amp; Antarctic Studies, Hobart, Tas 7001, Australia</t>
  </si>
  <si>
    <t>Ling, SD (corresponding author), Univ Tasmania, Inst Marine &amp; Antarctic Studies, Hobart, Tas 7001, Australia.</t>
  </si>
  <si>
    <t>Scott.Ling@utas.edu.au</t>
  </si>
  <si>
    <t>Ling, Scott/J-7161-2014; Johnson, Craig/E-1788-2013</t>
  </si>
  <si>
    <t>Ling, Scott/0000-0002-5544-8174; Johnson, Craig/0000-0002-9511-905X</t>
  </si>
  <si>
    <t>School of Zoology, University of Tasmania; Tasmanian Aquaculture and Fisheries Institute (TAFI); Tasmanian Abalone Council; Fisheries Research and Development Corporation [2001/044]</t>
  </si>
  <si>
    <t>School of Zoology, University of Tasmania; Tasmanian Aquaculture and Fisheries Institute (TAFI); Tasmanian Abalone Council; Fisheries Research and Development Corporation</t>
  </si>
  <si>
    <t>Many divers assisted with this work. Particular acknowledgment goes to Anthony Reid, Dave Stevenson, and Luisa Lyall for their assistance with sea urchin collections and deployments. Shane Fava assisted with video monitoring. D. Mills and K. Pollock assisted with mark-recapture analysis. Reef maps were supplied courtesy of SeaMap Tasmania. This work was supported by the School of Zoology, University of Tasmania, and the Tasmanian Aquaculture and Fisheries Institute (TAFI). Additional funding came from the Tasmanian Abalone Council and a grant from the Fisheries Research and Development Corporation (no. 2001/044 to C. R. Johnson). S. D. Ling received scholarship support from TAFI and was a member of the Commonwealth Scientific and Industrial Research Organization Joint Ph.D. Program in Quantitative Marine Science. Appropriate state research permits (permit nos. 4074 and 4159 issued under section 12 of the Living Marine Resources Management Act 1995) were obtained to undertake this research.</t>
  </si>
  <si>
    <t>1051-0761</t>
  </si>
  <si>
    <t>1939-5582</t>
  </si>
  <si>
    <t>ECOL APPL</t>
  </si>
  <si>
    <t>Ecol. Appl.</t>
  </si>
  <si>
    <t>10.1890/11-1587.1</t>
  </si>
  <si>
    <t>966KN</t>
  </si>
  <si>
    <t>WOS:000305836600014</t>
  </si>
  <si>
    <t>Lynch, HJ; Naveen, R; Trathan, PN; Fagan, WF</t>
  </si>
  <si>
    <t>Lynch, Heather J.; Naveen, Ron; Trathan, Philip N.; Fagan, William F.</t>
  </si>
  <si>
    <t>Spatially integrated assessment reveals widespread changes in penguin populations on the Antarctic Peninsula</t>
  </si>
  <si>
    <t>ECOLOGY</t>
  </si>
  <si>
    <t>Adelie Penguin; Antarctic Peninsula; Chinstrap Penguin; chlorophyll a; climate change; Gentoo Penguin; monitoring; population trend; Pygoscelis spp.; regional scale; sea ice</t>
  </si>
  <si>
    <t>SOUTH ORKNEY ISLANDS; KING-GEORGE-ISLAND; SEA-ICE EXTENT; CLIMATE-CHANGE; CHINSTRAP PENGUINS; MARINE ECOSYSTEM; PYGOSCELIS-PAPUA; ADELIE PENGUINS; GENTOO PENGUINS; REPRODUCTIVE SUCCESS</t>
  </si>
  <si>
    <t>As important marine mesopredators and sensitive indicators of Antarctic ecosystem change, penguins have been a major focus of long-term biological research in the Antarctic. However, the vast majority of such studies have been constrained by logistics and relate mostly to the temporal dynamics of individual breeding populations from which regional trends have been inferred, often without regard for the complex spatial heterogeneity of population processes and the underlying environmental conditions. Integrating diverse census data from 70 breeding sites across 31 years in a robust, hierarchical analysis, we find that trends from intensely studied populations may poorly reflect regional dynamics and confuse interpretation of environmental drivers. Results from integrated analyses confirm that Pygoscelis adeliae (Adelie Penguins) are decreasing at almost all locations on the Antarctic Peninsula. Results also resolve previously contradictory studies and unambiguously establish that P. antarctica (Chinstrap Penguins), thought to benefit from decreasing sea ice, are instead declining regionally. In contrast, another open-water species, P. papua (Gentoo Penguin), is increasing in abundance and expanding southward. These disparate population trends accord with recent mechanistic hypotheses of biological change in the Southern Ocean and highlight limitations of the influential but oversimplified sea ice'' hypothesis. Aggregating population data at the regional scale also allows us to quantify rates of regional population change in a way not previously possible.</t>
  </si>
  <si>
    <t>[Lynch, Heather J.] SUNY Stony Brook, Dept Ecol &amp; Evolut, Stony Brook, NY 11794 USA; [Naveen, Ron] Oceanites Inc, Chevy Chase, MD 20825 USA; [Trathan, Philip N.] British Antarctic Survey, Cambridge CB3 0ET, England; [Fagan, William F.] Univ Maryland, Dept Biol, College Pk, MD 20742 USA</t>
  </si>
  <si>
    <t>State University of New York (SUNY) System; State University of New York (SUNY) Stony Brook; UK Research &amp; Innovation (UKRI); Natural Environment Research Council (NERC); NERC British Antarctic Survey; University System of Maryland; University of Maryland College Park</t>
  </si>
  <si>
    <t>Lynch, HJ (corresponding author), SUNY Stony Brook, Dept Ecol &amp; Evolut, 640 Life Sci Bldg, Stony Brook, NY 11794 USA.</t>
  </si>
  <si>
    <t>hlynch@life.bio.sunysb.edu</t>
  </si>
  <si>
    <t>U.S. National Science Foundation Office of Polar Programs [NSF/OPP-0230069, NSF/OPP-0739515]; Directorate For Geosciences [0739430] Funding Source: National Science Foundation; Division Of Polar Programs [0739430] Funding Source: National Science Foundation; Office of Polar Programs (OPP); Directorate For Geosciences [0739515] Funding Source: National Science Foundation</t>
  </si>
  <si>
    <t>U.S. National Science Foundation Office of Polar Programs(National Science Foundation (NSF)); Directorate For Geosciences(National Science Foundation (NSF)NSF - Directorate for Geosciences (GEO)); Division Of Polar Programs(National Science Foundation (NSF)NSF - Directorate for Geosciences (GEO)); Office of Polar Programs (OPP); Directorate For Geosciences(National Science Foundation (NSF)NSF - Directorate for Geosciences (GEO))</t>
  </si>
  <si>
    <t>We thank Evan H. C. Grant and Mike Polito for their review of the manuscript, and David Ainley and Martin Montes-Hugo for interesting discussions regarding aspects of this research. H. J. Lynch, R. Naveen, and W. F. Fagan gratefully acknowledge assistance from the U.S. National Science Foundation Office of Polar Programs (Award Nos. NSF/OPP-0230069 and NSF/OPP-0739515).</t>
  </si>
  <si>
    <t>0012-9658</t>
  </si>
  <si>
    <t>1939-9170</t>
  </si>
  <si>
    <t>959EV</t>
  </si>
  <si>
    <t>WOS:000305296600014</t>
  </si>
  <si>
    <t>Avinash, K; Jena, B; Vinaya, MS; Jayappa, KS; Narayana, AC; Bhat, HG</t>
  </si>
  <si>
    <t>Avinash, Kumar; Jena, Babula; Vinaya, M. S.; Jayappa, K. S.; Narayana, A. C.; Bhat, H. Gangadhara</t>
  </si>
  <si>
    <t>Regionally tuned algorithm to study the seasonal variation of suspended sediment concentration using IRS-P4 Ocean Colour Monitor data</t>
  </si>
  <si>
    <t>EGYPTIAN JOURNAL OF REMOTE SENSING AND SPACE SCIENCES</t>
  </si>
  <si>
    <t>Suspended sediment; Coastal water; IRS-P4 OCM data; ANOVA; Southwest monsoon; Off southern Karnataka; India</t>
  </si>
  <si>
    <t>DISSOLVED ORGANIC-MATTER; SURFACE CHLOROPHYLL-A; ATMOSPHERIC CORRECTION; COASTAL WATERS; SOUTHERN KARNATAKA; ARABIAN SEA; WEST-COAST; PHYTOPLANKTON; RETRIEVAL; QUALITY</t>
  </si>
  <si>
    <t>Satellite data product validation and algorithm development activities both require the substantial accumulation of high-quality in situ observations. Data were acquired from Ocean Colour Monitor (OCM) and in situ observations for tuning of Tassan's algorithm (Tassan, 1994) to retrieve the suspended sediment concentration (SSC) in the coastal waters off southern Karnataka, India. Tassan's algorithm has been modified regionally by adopting statistical/graphical criteria to characterize the spatial and seasonal distribution of SSC. A concurrent and collocated datasets (n= 120) of in situ SSC and OCM based remote sensing reflectance [Rrs(lambda) in bands 490, 555 and 670 nm] were regressed. The linear fit yielded regionally tuned new coefficients which were replaced in place of Tassan's global coefficients. The tuned algorithm was shown to retrieve SSC with range of 1.1-37.12 mg/l, which means it can be used for coastal waters. Since in situ samples were collected within the continental margin (average depth of similar to 20 m), we retain the global SSC algorithm (Tassan, 1994) approach for deeper bathymetric values (&gt; 50 m depth) where we have no in situ measurements. Comparative analysis indicated statistically significant relationship (R-2 = 0.99; n= 45; p&lt; 0.05 at 95% confidence level) between in situ SSC and regionally tuned algorithm based SSC, with bias of 0.36 mg/l and root mean square (RMS) difference of 0.73 mg/l. This result clearly demonstrated the improvement of SSC measurement from OCM using</t>
  </si>
  <si>
    <t>[Avinash, Kumar; Jena, Babula] EEZ Mapping Grp, Natl Ctr Antarctic &amp; Ocean Res, Vasco Da Gama 403804, Goa, India; [Avinash, Kumar; Vinaya, M. S.; Jayappa, K. S.; Bhat, H. Gangadhara] Mangalore Univ, Dept Marine Geol, Mangalore 574199, India; [Narayana, A. C.] Univ Hyderabad, Ctr Earth &amp; Space Sci, Hyderabad 500046, Andhra Pradesh, India</t>
  </si>
  <si>
    <t>Ministry of Earth Sciences (MoES) - India; National Centre for Polar and Ocean Research (NCPOR); Mangalore University; University of Hyderabad</t>
  </si>
  <si>
    <t>Avinash, K (corresponding author), EEZ Mapping Grp, Natl Ctr Antarctic &amp; Ocean Res, Vasco Da Gama 403804, Goa, India.</t>
  </si>
  <si>
    <t>avinash@ncaor.org</t>
  </si>
  <si>
    <t>Avinash, Kumar/0000-0002-6511-8435; Jayappa, K. S./0000-0001-7930-0265</t>
  </si>
  <si>
    <t>NCAOR, Goa</t>
  </si>
  <si>
    <t>The authors (AK and Jena) would like to thank the Director, NCAOR, Goa, for encouragement and supports. The OCM datasets were processed at the Space Applications Center, Ahmedabad. We acknowledge the College of Fisheries, Mangalore for providing the Coastal Research Vessel. Authors also acknowledge anonymous reviewers and Editor-in-Chief of the journal, for their insightful comments and suggestions on the previous draft, which improved the quality of the paper. This is NCAOR contribution no 22/2012.</t>
  </si>
  <si>
    <t>1110-9823</t>
  </si>
  <si>
    <t>2090-2476</t>
  </si>
  <si>
    <t>EGYPT J REMOTE SENS</t>
  </si>
  <si>
    <t>Egypt. J. Remote Sens. Space Sci.</t>
  </si>
  <si>
    <t>10.1016/j.ejrs.2012.05.003</t>
  </si>
  <si>
    <t>Environmental Sciences; Remote Sensing</t>
  </si>
  <si>
    <t>Environmental Sciences &amp; Ecology; Remote Sensing</t>
  </si>
  <si>
    <t>V0U9G</t>
  </si>
  <si>
    <t>WOS:000216581500007</t>
  </si>
  <si>
    <t>Vecchio, A; Anzidei, M; Capparelli, V; Carbone, V; Guerra, I</t>
  </si>
  <si>
    <t>Vecchio, A.; Anzidei, M.; Capparelli, V.; Carbone, V.; Guerra, I.</t>
  </si>
  <si>
    <t>Has the Mediterranean Sea felt the March 11th, 2011, Mw 9.0 Tohoku-Oki earthquake?</t>
  </si>
  <si>
    <t>EPL</t>
  </si>
  <si>
    <t>EMPIRICAL MODE DECOMPOSITION; PACIFIC COAST; TIME-SERIES; TSUNAMI; SOLAR</t>
  </si>
  <si>
    <t>The possibility that the tsunami, generated as a consequence of the large Mw 9.0 Tohoku-Oki earthquake of March 11th 2011, could be recorded by the tide gauge stations located in the Mediterranean Sea has been investigated. We find two kinds of transient signatures which should be attributed to the far-field destabilizing effect of the tsunami on the usual tidal components: 1) the excitation of a broad spectrum of frequency fluctuations, superimposed to the diurnal and semidiurnal tidal components, 2) the change of amplitude of the low- frequency tidal components in the Mediterranean, related to the sea surface fluctuation perhaps caused by the direct transmission of the tsunami across Gibraltar. Copyright (C) EPLA, 2012</t>
  </si>
  <si>
    <t>[Vecchio, A.; Anzidei, M.; Capparelli, V.; Carbone, V.; Guerra, I.] Univ Calabria, Dipartimento Fis, I-87036 Arcavacata Di Rende, CS, Italy; [Anzidei, M.] Ist Nazl Geofis &amp; Vulcanol, Rome, Italy; [Capparelli, V.] British Antarctic Survey, NERC, Cambridge CB3 0ET, England; [Carbone, V.] Univ Calabria, IPCF CNR, I-87036 Arcavacata Di Rende, CS, Italy</t>
  </si>
  <si>
    <t>University of Calabria; Istituto Nazionale Geofisica e Vulcanologia (INGV); UK Research &amp; Innovation (UKRI); Natural Environment Research Council (NERC); NERC British Antarctic Survey; Consiglio Nazionale delle Ricerche (CNR); Istituto per i Processi Chimico-Fisici (IPCF-CNR); University of Calabria</t>
  </si>
  <si>
    <t>Vecchio, A (corresponding author), Univ Calabria, Dipartimento Fis, Ponte P Bucci Cubo 31C, I-87036 Arcavacata Di Rende, CS, Italy.</t>
  </si>
  <si>
    <t>antonio.vecchio@fis.unical.it</t>
  </si>
  <si>
    <t>Vecchio, Antonio/AAS-9232-2020; Anzidei, Marco/A-3873-2017; Carbone, Vincenzo/AAD-8557-2020; Carbone, Virginia/H-7750-2013</t>
  </si>
  <si>
    <t>Anzidei, Marco/0000-0003-1935-1049; Carbone, Vincenzo/0000-0002-3182-6679; Vecchio, Antonio/0000-0002-2002-1701</t>
  </si>
  <si>
    <t>Natural Environment Research Council [bas0100026] Funding Source: researchfish; NERC [bas0100026] Funding Source: UKRI</t>
  </si>
  <si>
    <t>0295-5075</t>
  </si>
  <si>
    <t>1286-4854</t>
  </si>
  <si>
    <t>EPL-EUROPHYS LETT</t>
  </si>
  <si>
    <t>10.1209/0295-5075/98/59001</t>
  </si>
  <si>
    <t>958YJ</t>
  </si>
  <si>
    <t>WOS:000305276600041</t>
  </si>
  <si>
    <t>Hamon, N; Sepulchre, P; Donnadieu, Y; Henrot, AJ; François, L; Jaeger, JJ; Ramstein, G</t>
  </si>
  <si>
    <t>Hamon, N.; Sepulchre, P.; Donnadieu, Y.; Henrot, A. -J.; Francois, L.; Jaeger, J. -J.; Ramstein, G.</t>
  </si>
  <si>
    <t>Growth of subtropical forests in Miocene Europe: The roles of carbon dioxide and Antarctic ice volume</t>
  </si>
  <si>
    <t>CLIMATE; VEGETATION; EVOLUTION; WESTERN; IMPACT; RECONSTRUCTION; TRENDS; SHEET; CO2</t>
  </si>
  <si>
    <t>The middle Miocene is a crucial period for the evolution of apes, and it corresponds to their appearance in Europe. The dispersion of apes was made possible by tectonic changes and the expansion of their habitat, (sub-) tropical forest, in Europe. The context in which the middle Miocene climatic optimum occurred still lacks constraints in terms of atmospheric pCO(2) and ice-sheet volume and extent. Using a coupled atmosphere-ocean general circulation model (GCM) and dynamic vegetation model, we investigated the sensitivity of Miocene climate and vegetation to pCO(2) levels and Antarctic ice-sheet configurations. Our results indicate that higher than present pCO(2) is necessary to simulate subtropical forest in Western and Central Europe during the middle Miocene, but that a threshold at high pCO(2) makes subtropical forest partly collapse. Moreover, removing ice over Antarctica modifies oceanic circulation and induces warmer and slightly wetter conditions in Europe, which are consistent with the expansion of subtropical forest. These results suggest that a small East Antarctic Ice Sheet (25% of present-day ice volume) together with higher than present pCO(2) values are in better agreement with available European middle Miocene data.</t>
  </si>
  <si>
    <t>[Hamon, N.] Univ Poitiers, CNRS INEE, Inst Paleoprimatol Paleontol Humaine Evolut &amp; Pal, F-86022 Poitiers, France; [Hamon, N.; Sepulchre, P.; Donnadieu, Y.; Ramstein, G.] CNRS CEA UVSQ, Lab Sci Climat &amp; Environm, F-91191 Gif Sur Yvette, France; [Henrot, A. -J.; Francois, L.] Univ Liege, Unite Modelisat Climat &amp; Cycles Biogeochim, B-4000 Liege, Belgium</t>
  </si>
  <si>
    <t>Universite de Poitiers; Centre National de la Recherche Scientifique (CNRS); CNRS - Institute of Ecology &amp; Environment (INEE); CEA; Centre National de la Recherche Scientifique (CNRS); Universite Paris Saclay; University of Liege</t>
  </si>
  <si>
    <t>Hamon, N (corresponding author), Univ Poitiers, CNRS INEE, Inst Paleoprimatol Paleontol Humaine Evolut &amp; Pal, 40 Ave Recteur Pineau, F-86022 Poitiers, France.</t>
  </si>
  <si>
    <t>François, Louis/K-9172-2019; Ramstein, Gilles/L-3328-2014; Sepulchre, Pierre/Q-2006-2017; donnadieu, yannick/G-7546-2016</t>
  </si>
  <si>
    <t>François, Louis/0000-0001-8292-8360; Ramstein, Gilles/0000-0002-1522-917X; Sepulchre, Pierre/0000-0002-4267-4025; donnadieu, yannick/0000-0002-7315-2684</t>
  </si>
  <si>
    <t>10.1130/G32990.1</t>
  </si>
  <si>
    <t>948PL</t>
  </si>
  <si>
    <t>WOS:000304515000023</t>
  </si>
  <si>
    <t>Le Heron, DP</t>
  </si>
  <si>
    <t>Le Heron, Daniel Paul</t>
  </si>
  <si>
    <t>The Location and Styles of Ice-Free Oases during Neoproterozoic Glaciations with Evolutionary Implications</t>
  </si>
  <si>
    <t>GEOSCIENCES</t>
  </si>
  <si>
    <t>Neoproterozoic; Snowball Earth; glaciation; evolution</t>
  </si>
  <si>
    <t>SNOWBALL EARTH HYPOTHESIS; EDIACARAN ANIMAL EMBRYOS; ANTARCTIC SEA-ICE; MASS EXTINCTION; OXYGENATION; FOSSILS; HISTORY; RODINIA; PHOTOSYNTHESIS; MICROFOSSILS</t>
  </si>
  <si>
    <t>Evidence based on molecular clocks, together with molecular evidence/biomarkers and putative body fossils, points to major evolutionary events prior to and during the intense Cryogenian and Ediacaran glaciations. The glaciations themselves were of global extent. Sedimentological evidence, including hummocky cross-stratification (representing ice-free seas affected by intra-glacial storms), dropstone textures, microbial mat-bearing ironstones, ladderback ripples, and wave ripples, militates against a hard Snowball Earth event. Each piece of sedimentological evidence potentially allows insight into the shape and location, with respect to the shoreline, of ice-free areas (oases) that may be viewed as potential refugia. The location of such oases must be seen in the context of global paleogeography, and it is emphasized that continental reconstructions at 600 Ma (about 35 millions years after the Marinoan ice age) are non-unique solutions. Specifically, whether continents such as greater India, Australia/East Antarctica, Kalahari, South and North China, and Siberia, were welded to a southern supercontinent or not, has implications for island speciation, faunal exchange, and the development of endemism.</t>
  </si>
  <si>
    <t>[Le Heron, Daniel Paul] Royal Holloway Univ London, Dept Earth Sci, Queens Bldg, Egham TW20 0EX, Surrey, England</t>
  </si>
  <si>
    <t>University of London; Royal Holloway University London</t>
  </si>
  <si>
    <t>Le Heron, DP (corresponding author), Royal Holloway Univ London, Dept Earth Sci, Queens Bldg, Egham TW20 0EX, Surrey, England.</t>
  </si>
  <si>
    <t>d.leheron@es.rhul.ac.uk</t>
  </si>
  <si>
    <t>Le Heron, Daniel/AAK-7639-2020</t>
  </si>
  <si>
    <t>Le Heron, Daniel/0000-0002-7213-5874</t>
  </si>
  <si>
    <t>2076-3263</t>
  </si>
  <si>
    <t>Geosciences</t>
  </si>
  <si>
    <t>10.3390/geosciences2020090</t>
  </si>
  <si>
    <t>VA0RZ</t>
  </si>
  <si>
    <t>WOS:000409616300005</t>
  </si>
  <si>
    <t>Guly, H. R.</t>
  </si>
  <si>
    <t>Psychology during the expeditions of the heroic age of Antarctic exploration</t>
  </si>
  <si>
    <t>HISTORY OF PSYCHIATRY</t>
  </si>
  <si>
    <t>Antarctic; environment; expedition; exploration; isolation; polar psychology; seasonal affective disorder (SAD); winter-over syndrome</t>
  </si>
  <si>
    <t>The psychology of Antarctic explorers and groups in Antarctic bases has been much studied in recent years, and current knowledge has been summarized in a review by Palinkas and Suedenfeld (2008). There was no formal psychological research during the heroic age of Antarctic exploration, but a number of the doctors and non-medical personnel on the expeditions were keen observers of the psychological aspects of the expeditions and wrote about them. In this paper, I describe their understanding of the psychology of Antarctic exploration. By comparing this with current knowledge, it is clear that most of what has been found by formal study was known to the explorers of the heroic age.</t>
  </si>
  <si>
    <t>Derriford Hosp, British Antarctic Survey, Med Unit, Plymouth PL6 8DH, Devon, England</t>
  </si>
  <si>
    <t>Derriford Hospital; UK Research &amp; Innovation (UKRI); Natural Environment Research Council (NERC); NERC British Antarctic Survey</t>
  </si>
  <si>
    <t>Guly, HR (corresponding author), Derriford Hosp, British Antarctic Survey, Med Unit, Plymouth PL6 8DH, Devon, England.</t>
  </si>
  <si>
    <t>henry.guly@nhs.net</t>
  </si>
  <si>
    <t>Natural Environment Research Council [bas010013] Funding Source: researchfish; NERC [bas010013] Funding Source: UKRI; Wellcome Trust Funding Source: Medline</t>
  </si>
  <si>
    <t>Natural Environment Research Council(UK Research &amp; Innovation (UKRI)Natural Environment Research Council (NERC)); NERC(UK Research &amp; Innovation (UKRI)Natural Environment Research Council (NERC)); Wellcome Trust(Wellcome Trust)</t>
  </si>
  <si>
    <t>0957-154X</t>
  </si>
  <si>
    <t>HIST PSYCHIATR</t>
  </si>
  <si>
    <t>Hist. Psychiatr.</t>
  </si>
  <si>
    <t>10.1177/0957154X11399203</t>
  </si>
  <si>
    <t>History Of Social Sciences; Psychiatry</t>
  </si>
  <si>
    <t>Social Sciences - Other Topics; Psychiatry</t>
  </si>
  <si>
    <t>950OY</t>
  </si>
  <si>
    <t>WOS:000304659800005</t>
  </si>
  <si>
    <t>Psychiatric illness and suicide in the heroic age of Antarctic exploration</t>
  </si>
  <si>
    <t>Acute stress disorder; alcoholism; Antarctic; expedition; exploration; isolation; polar psychology; posttraumatic stress disorder; psychosis; seasonal affective disorder (SAD); shell shock; suicide</t>
  </si>
  <si>
    <t>STRESS</t>
  </si>
  <si>
    <t>During the heroic age of Antarctic exploration, a number of the early explorers developed psychiatric illness either in the Antarctic or shortly after leaving it. Most of these were psychotic illnesses and stress reactions. At least six explorers committed suicide either in the Antarctic or after their return. These cases are described, and possible reasons for the apparent high incidence of psychiatric disease and suicide are discussed. There are also examples of the possible misuse of psychiatric labels.</t>
  </si>
  <si>
    <t>NERC [bas010013] Funding Source: UKRI; Natural Environment Research Council [bas010013] Funding Source: researchfish; Wellcome Trust Funding Source: Medline</t>
  </si>
  <si>
    <t>NERC(UK Research &amp; Innovation (UKRI)Natural Environment Research Council (NERC)); Natural Environment Research Council(UK Research &amp; Innovation (UKRI)Natural Environment Research Council (NERC)); Wellcome Trust(Wellcome Trust)</t>
  </si>
  <si>
    <t>10.1177/0957154X11399209</t>
  </si>
  <si>
    <t>WOS:000304659800006</t>
  </si>
  <si>
    <t>Jena, B; Kurian, PJ; Swain, D; Tyagi, A; Ravindra, R</t>
  </si>
  <si>
    <t>Jena, B.; Kurian, P. J.; Swain, D.; Tyagi, A.; Ravindra, R.</t>
  </si>
  <si>
    <t>Prediction of bathymetry from satellite altimeter based gravity in the Arabian Sea: Mapping of two unnamed deep seamounts</t>
  </si>
  <si>
    <t>Multibeam echosounder; Bathymetry; Satellite altimetry; ANN; Seamount</t>
  </si>
  <si>
    <t>This work attempts to predict bathymetry from satellite altimeter based gravity in the Arabian Sea. A collocated match-up database (n = 17,016) was created on Multibeam Echosounder (MBES) bathymetry and satellite gravity values (similar to 1 min spatial resolution) derived from remote sensing satellites. A Radial Basis Function (RBF) based Artificial Neural Network (ANN) model was developed to predict bathymetry from satellite gravity values. The ANN model was trained with variable undersea features such as seamount, knoll, abyssal plain, hill, etc. to familiarize the network with all possible geomorphic features as inputs through learning and the corresponding target outputs. The performance of the predictive model was evaluated by comparing bathymetric values with MBES datasets that were not used during the training and verification steps of the ANN model formulation. The model was then compared with MBES surveyed seamount observations (those were not used during ANN analysis) and global model bathymetry products. Results demonstrate better performance of ANN model compared to global model products for mapping of two unnamed seamounts in the Arabian Sea. These two unnamed seamounts have been predicted, mapped and their morphology is reported for the first time through this work. (C) 2011 Elsevier B.V. All rights reserved.</t>
  </si>
  <si>
    <t>[Jena, B.; Kurian, P. J.; Tyagi, A.; Ravindra, R.] Natl Ctr Antarctic &amp; Ocean Res, Goa 403804, India; [Swain, D.] ISRO, NRSC, Hyderabad 500037, Andhra Pradesh, India</t>
  </si>
  <si>
    <t>Kurian, PJ (corresponding author), Natl Ctr Antarctic &amp; Ocean Res, Goa 403804, India.</t>
  </si>
  <si>
    <t>kurian.ncaor@gmail.com</t>
  </si>
  <si>
    <t>Ministry of Earth Sciences (MoES), Government of India</t>
  </si>
  <si>
    <t>Ministry of Earth Sciences (MoES), Government of India(Ministry of Earth Science (MoES), Government of India)</t>
  </si>
  <si>
    <t>The authors are thankful to the Ministry of Earth Sciences (MoES), Government of India for funding as well as for the permission to publish the results. Dr. Shailesh Nayak, Secretary MoES and Dr. S. K. Das and Dr. M Sudhakar, Advisors, MoES are gratefully acknowledged for their continuous encouragement and support. The various institutions like the National Geophysical Data Center (NGDC), British Oceanographic Data Centre (BODC) are acknowledged for making the datasets available through their web sites. We also acknowledge anonymous reviewers for carefully going through the manuscript. This is NCAOR contribution number 37/2011.</t>
  </si>
  <si>
    <t>10.1016/j.jag.2011.11.008</t>
  </si>
  <si>
    <t>924BI</t>
  </si>
  <si>
    <t>WOS:000302665200001</t>
  </si>
  <si>
    <t>Heidinger, AK; Evan, AT; Foster, MJ; Walther, A</t>
  </si>
  <si>
    <t>Heidinger, Andrew K.; Evan, Amato T.; Foster, Michael J.; Walther, Andi</t>
  </si>
  <si>
    <t>A Naive Bayesian Cloud-Detection Scheme Derived from CALIPSO and Applied within PATMOS-x</t>
  </si>
  <si>
    <t>JOURNAL OF APPLIED METEOROLOGY AND CLIMATOLOGY</t>
  </si>
  <si>
    <t>SURFACE TEMPERATURE RETRIEVAL; PART I; MODIS; RADIANCES; MASK</t>
  </si>
  <si>
    <t>The naive Bayesian methodology has been applied to the challenging problem of cloud detection with NOAA's Advanced Very High Resolution Radiometer (AVHRR). An analysis of collocated NOAA-18/AVHRR and Cloud-Aerosol Lidar and Infrared Pathfinder Satellite Observations (CALIPSO)/Cloud-Aerosol Lidar with Orthogonal Polarization (CALIOP) observations was used to automatically and globally derive the Bayesian classifiers. The resulting algorithm used six Bayesian classifiers computed separately for seven surface types. Relative to CALIPSO, the final results show a probability of correct detection of roughly 90% over water, deserts, and snow-free land; 82% over the Arctic; and below 80% over the Antarctic. This technique is applied within the NOAA Pathfinder Atmosphere's Extended (PATMOS-x) climate dataset and the Clouds from AVHRR Extended (CLAVR-x) real-time product generation system. Comparisons of the PATMOS-x results with those from International Satellite Cloud Climatology Project (ISCCP) and Moderate Resolution Imaging Spectroradiometer (MODIS) indicate close agreement with zonal mean differences in cloud amount being less than 5% over most zones. Most areas of difference coincided with regions where the Bayesian cloud mask reported elevated uncertainties. The ability to report uncertainties is a critical component of this approach.</t>
  </si>
  <si>
    <t>[Heidinger, Andrew K.] NOAA, NESDIS, Ctr Satellite Applicat &amp; Res, Madison, WI 53706 USA; [Evan, Amato T.] Univ Virginia, Dept Environm Sci, Charlottesville, VA 22903 USA; [Foster, Michael J.; Walther, Andi] Univ Wisconsin, Cooperat Inst Meteorol Satellite Studies, Madison, WI USA</t>
  </si>
  <si>
    <t>National Oceanic Atmospheric Admin (NOAA) - USA; University of Virginia; University of Wisconsin System; University of Wisconsin Madison</t>
  </si>
  <si>
    <t>Heidinger, AK (corresponding author), NOAA, NESDIS, Ctr Satellite Applicat &amp; Res, 1225 W Dayton St, Madison, WI 53706 USA.</t>
  </si>
  <si>
    <t>andrew.heidinger@noaa.gov</t>
  </si>
  <si>
    <t>Evan, Amato/GZL-2684-2022; Heidinger, Andrew/F-5591-2010</t>
  </si>
  <si>
    <t>Evan, Amato/0000-0003-2812-3750; Heidinger, Andrew/0000-0001-7631-109X</t>
  </si>
  <si>
    <t>1558-8424</t>
  </si>
  <si>
    <t>J APPL METEOROL CLIM</t>
  </si>
  <si>
    <t>J. Appl. Meteorol. Climatol.</t>
  </si>
  <si>
    <t>10.1175/JAMC-D-11-02.1</t>
  </si>
  <si>
    <t>959KA</t>
  </si>
  <si>
    <t>WOS:000305310100010</t>
  </si>
  <si>
    <t>Jones, CD; Near, TJ</t>
  </si>
  <si>
    <t>Jones, C. D.; Near, T. J.</t>
  </si>
  <si>
    <t>The reproductive behaviour of Pogonophryne scotti confirms widespread egg-guarding parental care among Antarctic notothenioids</t>
  </si>
  <si>
    <t>Antarctic fish nesting; artedidraconidae</t>
  </si>
  <si>
    <t>HARPAGIFER-BISPINIS; NESTING-BEHAVIOR; SOUTHERN-OCEAN; GENE-SEQUENCES; ROSS SEA; ICEFISH; PISCES; FISHES; MITOCHONDRIAL; PERCIFORMES</t>
  </si>
  <si>
    <t>In this paper, the first documentation of egg-guarding behaviour in an artedidraconid species, Pogonophryne scotti, through in situ photographic imagery obtained during video transects is provided. The male specimen was observed closely guarding a well-defined multi-layered egg mass deposited on the sea floor at 240 m on the southern South Orkney Islands shelf in the northern Weddell Sea. Egg-guarding parental care is present in species that are distributed among all of the major lineages of Antarctic notothenioids; however, lack of information on egg-deposition behaviours in Bovichtidae and Pseudaphritis prevents assessment of whether parental care originated prior to the origin of the Antarctic notothenioid radiation.</t>
  </si>
  <si>
    <t>[Jones, C. D.] Natl Marine Fisheries Serv, Antarctic Ecosyst Res Div, SW Fisheries Sci Ctr, NOAA, La Jolla, CA 92037 USA; [Near, T. J.] Yale Univ, Dept Ecol &amp; Evolutionary Biol, New Haven, CT 06520 USA; [Near, T. J.] Yale Univ, Peabody Museum Nat Hist, New Haven, CT 06520 USA</t>
  </si>
  <si>
    <t>National Oceanic Atmospheric Admin (NOAA) - USA; Yale University; Yale University</t>
  </si>
  <si>
    <t>Jones, CD (corresponding author), Natl Marine Fisheries Serv, Antarctic Ecosyst Res Div, SW Fisheries Sci Ctr, NOAA, 3333 N Torrey Pines Court, La Jolla, CA 92037 USA.</t>
  </si>
  <si>
    <t>chris.d.jones@noaa.gov</t>
  </si>
  <si>
    <t>Near, Thomas J./K-1204-2012</t>
  </si>
  <si>
    <t>Near, Thomas J./0000-0002-7398-6670</t>
  </si>
  <si>
    <t>U.S. National Science Foundation [ANT-0839007]; Office of Polar Programs (OPP); Directorate For Geosciences [0839007] Funding Source: National Science Foundation</t>
  </si>
  <si>
    <t>U.S. National Science Foundation(National Science Foundation (NSF)); Office of Polar Programs (OPP); Directorate For Geosciences(National Science Foundation (NSF)NSF - Directorate for Geosciences (GEO))</t>
  </si>
  <si>
    <t>We greatly appreciate the hard work and skill of the captain and crew of the R.V. Yuzhmorgeologiya during the 2009 U.S. AMLR field season. We are also grateful to our skilled underwater camera technicians, A. Hoek and A. Cossio. The U.S. National Science Foundation (ANT-0839007) provided additional support.</t>
  </si>
  <si>
    <t>10.1111/j.1095-8649.2012.03282.x</t>
  </si>
  <si>
    <t>952QX</t>
  </si>
  <si>
    <t>WOS:000304808400016</t>
  </si>
  <si>
    <t>Nuncio, M; Kumar, SP</t>
  </si>
  <si>
    <t>Nuncio, M.; Kumar, S. Prasanna</t>
  </si>
  <si>
    <t>Life cycle of eddies along the western boundary of the Bay of Bengal and their implications</t>
  </si>
  <si>
    <t>Western boundary currents; Satellite altimetry; Oceanic eddies; Chlorophylls; Indian Ocean; Bay of Bengal</t>
  </si>
  <si>
    <t>CIRCULATION; EDDY; SUBSURFACE; ENERGY; OCEAN</t>
  </si>
  <si>
    <t>Analysis of vertical thermohaline structure along the western boundary of the Bay of Bengal revealed many undulations during April-May 2003. A prominent feature noticed was a dome in the northwestern boundary of the Bay of Bengal, which was found to be a cyclonic eddy (NCE). This eddy altered the ambient temperature by 6 degrees C and salinity by 0.8 psu. NCE was formed from a meander generated out of an instability due to cross-shore density gradient in the northeastward flowing western boundary current during early February. The cross-shore density gradient was developed under the influence of cyclonic (upwelling)/anticyclonic (downwelling) wind stress curl along the western boundary/open ocean region and the westward propagating Rossby wave. EOFs of SLA showed that annual cycle (EOFs 1 and 2) accounts for 39% of the total variance, while meso-scale eddies contributed up to 25% of the variance. Meso-scale eddies dominate the BOB circulation and are able to enhance the surface chlorophyll whenever the stratification is weak as in the case of intermonsoon 2003. (C) 2011 Elsevier B.V. All rights reserved.</t>
  </si>
  <si>
    <t>[Nuncio, M.; Kumar, S. Prasanna] Natl Inst Oceanog, Panaji 403004, Goa, India</t>
  </si>
  <si>
    <t>Council of Scientific &amp; Industrial Research (CSIR) - India; CSIR - National Institute of Oceanography (NIO)</t>
  </si>
  <si>
    <t>Nuncio, M (corresponding author), Natl Ctr Antarctic &amp; Ocean Res, Vasco Da Gama 403804, Goa, India.</t>
  </si>
  <si>
    <t>nuncio@ncaor.org</t>
  </si>
  <si>
    <t>Ministry of Earth Sciences (MoES), New Delhi; NIO, Goa; Council of Scientific and Industrial Research (CSIR), New Delhi; NCAOR; CSIR, India</t>
  </si>
  <si>
    <t>Ministry of Earth Sciences (MoES), New Delhi; NIO, Goa; Council of Scientific and Industrial Research (CSIR), New Delhi(Council of Scientific &amp; Industrial Research (CSIR) - India); NCAOR; CSIR, India(Council of Scientific &amp; Industrial Research (CSIR) - India)</t>
  </si>
  <si>
    <t>Authors are thankful to P.M. Muraleedharan, Late G. Nampoothiri and Jayu Narvekar for helping in the data collection. This work was supported by Ministry of Earth Sciences (MoES), New Delhi under the program Bay of Bengal Process studies (BOBPS). We acknowledge Director, NIO, Goa and Council of Scientific and Industrial Research (CSIR), New Delhi for all the support and encouragement. M. Nuncio acknowledges Director NCAOR for his keen interest and support. The chlorophyll images and data used in this study were acquired from NOAA's ERDDAp website http://coastwatch.pfeg.noaa.gov/erddap/griddap/erdSHchla8day.html. Sea level anomalies were downloaded from AVISO live access server (http://las.aviso.oceanobs.com). Nuncio M was supported by the Senior Research Fellowship of the CSIR, India when the work was carried out. This is NIO contribution number 5074 and NCAOR contribution number 33/2011.</t>
  </si>
  <si>
    <t>10.1016/j.jmarsys.2011.10.002</t>
  </si>
  <si>
    <t>898NG</t>
  </si>
  <si>
    <t>WOS:000300748500002</t>
  </si>
  <si>
    <t>Letessier, TB; Pond, DW; McGill, RAR; Reid, WDK; Brierley, AS</t>
  </si>
  <si>
    <t>Letessier, T. B.; Pond, David W.; McGill, Rona A. R.; Reid, William D. K.; Brierley, Andrew S.</t>
  </si>
  <si>
    <t>Trophic interaction of invertebrate zooplankton on either side of the Charlie Gibbs Fracture Zone/Subpolar Front of the Mid-Atlantic Ridge</t>
  </si>
  <si>
    <t>Pelagic; Food web; Mid-oceanic ridge; Zooplankton; Stable isotopes; Fatty acids</t>
  </si>
  <si>
    <t>MEGANYCTIPHANES-NORVEGICA; ORGANIC-CARBON; ISOTOPE COMPOSITION; LIMACINA-HELICINA; SEASONAL-CHANGES; IRMINGER SEA; FATTY-ACID; NORTH; PHYTOPLANKTON; ABUNDANCE</t>
  </si>
  <si>
    <t>Trophic relationships and vertical distribution patterns of dominant mesozooplankton (2-20 mm) and macrozooplankton (&gt;20 mm) invertebrates (Euphausiacea, Copepoda, Decapoda, Amphipoda, Thecosomata and Lophogastrida) were investigated within the epi- and meso-pelagic zone (0-200 and 200-800 m depth), north (54 degrees N) and south (49 degrees N) of the Subpolar Front (SPF) on the Mid-Atlantic Ridge (MAR). Dietary relationships were explored using stable isotope ratios of nitrogen and carbon, and fatty acid trophic markers (FATM). Individuals from the southern stations (similar to 49 degrees N) had higher concentrations of the dinoflagellate FATM (22:6(n-3)), and individuals from northern stations had higher concentration in Calanus sp. and storage FATMs (20:1(n-9) and 22:1(n-9)). Energy pathways on either side of the SPF showed retention of delta C-13 differences (as measured in POM) in bathypelagic species. Observations of FATM levels and abundance patterns are consistent with present theories pertaining to primary production patterns at the base of the food chain, which states that the peak of the production is higher in the northern sector than in the south. (C) 2011 Elsevier B.V. All rights reserved.</t>
  </si>
  <si>
    <t>[Letessier, T. B.; Brierley, Andrew S.] Univ St Andrews, Scottish Oceans Inst, Pelag Ecol Res Grp, St Andrews KY16 8LB, Fife, Scotland; [Letessier, T. B.] Univ Western Australia, UWA Oceans Inst, Ctr Marine Futures, Crawley, WA 6009, Australia; [Pond, David W.] British Antarctic Survey, Cambridge CB3 0ET, Cambs, England; [McGill, Rona A. R.] Scottish Univ Environm Res Ctr, NERC Life Sci Mass Spectrometry Facil, E Kilbride G75 0QF, Lanark, Scotland; [Reid, William D. K.] Newcastle Univ, Sch Marine Sci &amp; Technol, Newcastle Upon Tyne NE1 7RU, Tyne &amp; Wear, England</t>
  </si>
  <si>
    <t>University of St Andrews; University of Western Australia; UK Research &amp; Innovation (UKRI); Natural Environment Research Council (NERC); NERC British Antarctic Survey; UK Research &amp; Innovation (UKRI); Natural Environment Research Council (NERC); Scottish Universities Research &amp; Reactor Center; Newcastle University - UK</t>
  </si>
  <si>
    <t>Letessier, TB (corresponding author), Univ St Andrews, Scottish Oceans Inst, Pelag Ecol Res Grp, St Andrews KY16 8LB, Fife, Scotland.</t>
  </si>
  <si>
    <t>tbl@st-andrews.ac.uk; dwpo@bas.ac.uk; r.mcgill@suerc.gla.ac.uk; w.d.k.reid@newcastle.ac.uk; asb4@st-andrews.ac.uk</t>
  </si>
  <si>
    <t>McGill, Rona/F-1793-2010; Letessier, Tom Bech/AAV-2759-2020; McGill, Rona/JAC-6969-2023; Reid, William/J-8528-2013; Brierley, Andrew/G-8019-2011</t>
  </si>
  <si>
    <t>McGill, Rona/0000-0003-0400-7288; Letessier, Tom Bech/0000-0003-4011-0207; Reid, William/0000-0003-0190-0425; Brierley, Andrew/0000-0002-6438-6892</t>
  </si>
  <si>
    <t>School of Biology of University of St-Andrews; NERC [EK151-13/09]; [NE/F010664/1]; NERC [dml010002, bas0100025, lsmsf010002] Funding Source: UKRI; Natural Environment Research Council [bas0100025, lsmsf010002, dml010002] Funding Source: researchfish</t>
  </si>
  <si>
    <t>School of Biology of University of St-Andrews; NERC(UK Research &amp; Innovation (UKRI)Natural Environment Research Council (NERC)); ; NERC(UK Research &amp; Innovation (UKRI)Natural Environment Research Council (NERC)); Natural Environment Research Council(UK Research &amp; Innovation (UKRI)Natural Environment Research Council (NERC))</t>
  </si>
  <si>
    <t>We thank Dr. Gustavo Saiz, Ms. Nora Hanson, Dr. Joel Hoffman, and Dr. Tracy Sutton for their advice on laboratory analysis of samples. For assistance with preparation and analysis of the JC011 samples we thank Ms. Vanda Carmo, Dr. Tracy Sutton, and Dr. Joel Hoffman. We thank Dr. Sammy De Grave for taxonomical analysis of decapod shrimps. We thank Ms. Susan Evans and all helpers at sea for sorting catches. We are grateful to School of Biology of University of St-Andrews for funding toward Tom Letessier's PhD, and to NERC for funding toward stable isotope analysis (grant EK151-13/09) and for access to IRMS facilities at SUERC in East Kilbride, as well as providing funding for William D. K. Reid's studentship (NE/F010664/1). We thank Dr. Martin Cox, Mr. Ben Boorman, and Dr. David Shale for fishing efforts. We thank the master, crew and officers of the RSS James Cook (cruise JC011 and JC037) for their hard work.</t>
  </si>
  <si>
    <t>10.1016/j.jmarsys.2011.11.020</t>
  </si>
  <si>
    <t>WOS:000300748500015</t>
  </si>
  <si>
    <t>Thompson, AF; Sallée, JB</t>
  </si>
  <si>
    <t>Thompson, Andrew F.; Sallee, Jean-Baptiste</t>
  </si>
  <si>
    <t>Jets and Topography: Jet Transitions and the Impact on Transport in the Antarctic Circumpolar Current</t>
  </si>
  <si>
    <t>SOUTHERN-OCEAN FRONTS; MEAN-FLOW; OVERTURNING CIRCULATION; EDDY HEAT; POTENTIAL VORTICITY; COORDINATE SYSTEM; ALTIMETER DATA; DRAKE PASSAGE; FLUXES; DIFFUSIVITY</t>
  </si>
  <si>
    <t>The Southern Ocean's Antarctic Circumpolar Current (ACC) naturally lends itself to interpretations using a zonally averaged framework. Yet, navigation around steep and complicated bathymetric obstacles suggests that local dynamics may be far removed from those described by zonally symmetric models. In this study, both observational and numerical results indicate that zonal asymmetries, in the form of topography, impact global flow structure and transport properties. The conclusions are based on a suite of more than 1.5 million virtual drifter trajectories advected using a satellite altimetry-derived surface velocity field spanning 17 years. The focus is on sites of cross front transport as defined by movement across selected sea surface height contours that correspond to jets along most of the ACC. Cross-front exchange is localized in the lee of bathymetric features with more than 75% of crossing events occurring in regions corresponding to only 20% of the ACC's zonal extent. These observations motivate a series of numerical experiments using a two-layer quasigeostrophic model with simple, zonally asymmetric topography, which often produces transitions in the front structure along the channel. Significantly, regimes occur where the equilibrated number of coherent jets is a function of longitude and transport barriers are not periodic. Jet reorganization is carried out by eddy flux divergences acting to both accelerate and decelerate the mean flow of the jets. Eddy kinetic energy is amplified downstream of topography due to increased baroclinicity related to topographic steering. The combination of high eddy kinetic energy,and recirculation features enhances particle exchange. These results stress the complications in developing consistent circumpolar definitions of the ACC fronts.</t>
  </si>
  <si>
    <t>[Thompson, Andrew F.] CALTECH, Pasadena, CA 91125 USA; [Thompson, Andrew F.; Sallee, Jean-Baptiste] British Antarctic Survey, Cambridge CB3 0ET, England</t>
  </si>
  <si>
    <t>California Institute of Technology; UK Research &amp; Innovation (UKRI); Natural Environment Research Council (NERC); NERC British Antarctic Survey</t>
  </si>
  <si>
    <t>Thompson, AF (corresponding author), CALTECH, 1200 E Calif Blvd, Pasadena, CA 91125 USA.</t>
  </si>
  <si>
    <t>andrewt@caltech.edu</t>
  </si>
  <si>
    <t>SALLEE, Jean baptiste/HDO-5355-2022; SALLEE, Jean baptiste/A-5837-2010</t>
  </si>
  <si>
    <t>SALLEE, Jean baptiste/0000-0002-6109-5176</t>
  </si>
  <si>
    <t>Natural Environment Research Council [NE/H015760/1]; Natural Environment Research Council [NE/E005667/1, NE/H015760/1, bas0100028] Funding Source: researchfish; NERC [NE/E005667/1, NE/H015760/1, bas0100028] Funding Source: UKRI</t>
  </si>
  <si>
    <t>AFT was supported by a Natural Environment Research Council Advanced Research Fellowship (NE/H015760/1). We thank two anonymous reviewers, whose comments substantially improved the presentation of the material.</t>
  </si>
  <si>
    <t>10.1175/JPO-D-11-0135.1</t>
  </si>
  <si>
    <t>966NW</t>
  </si>
  <si>
    <t>WOS:000305845700005</t>
  </si>
  <si>
    <t>Pond, DW</t>
  </si>
  <si>
    <t>Pond, David W.</t>
  </si>
  <si>
    <t>The physical properties of lipids and their role in controlling the distribution of zooplankton in the oceans</t>
  </si>
  <si>
    <t>zooplankton; lipid; phase transitions; buoyancy; omega 3 fatty acids</t>
  </si>
  <si>
    <t>FATTY-ACID-COMPOSITION; WAX ESTERS; ANTARCTIC KRILL; CALANUS-FINMARCHICUS; HYDROTHERMAL VENT; SOUTHERN-OCEAN; SPERM WHALE; MARINE COPEPOD; LIFE-CYCLE; BUOYANCY</t>
  </si>
  <si>
    <t>A new perspective on the role of lipids in zooplankton is proposed, with solidliquid phase transitions of lipids being a factor regulating their buoyancy. These phase transitions are controlled by zooplankton in relation to their physical environment, through the selective accumulation of specific lipids with optimum levels of unsaturation. The necessity to control buoyancy and maintain an optimum depth is a fundamental evolutionary force, driving anatomical, biochemical and behavioural adaptations of all organisms within the aquatic realm. It is hypothesized that each species adjusts the amount, composition and anatomical location of lipids, to maximize fitness according to their preferred habitat and life history traits. Recent discoveries regarding the role of phase transitions of lipids in marine zooplankton and their role in regulating buoyancy will require re-interpretation of existing data and stimulate future scientific endeavours in zooplankton research.</t>
  </si>
  <si>
    <t>British Antarctic Survey, NERC, Cambridge CB3 0ET, England</t>
  </si>
  <si>
    <t>Pond, DW (corresponding author), British Antarctic Survey, NERC, Madingley Rd, Cambridge CB3 0ET, England.</t>
  </si>
  <si>
    <t>dwpo@bas.ac.uk</t>
  </si>
  <si>
    <t>British Antarctic Survey, Natural Environment Research Council; NERC [NE/J007803/1, dml010002, bas0100025] Funding Source: UKRI; Natural Environment Research Council [NE/J007803/1, bas0100025, dml010002] Funding Source: researchfish</t>
  </si>
  <si>
    <t>British Antarctic Survey, Natural Environment Research Council; NERC(UK Research &amp; Innovation (UKRI)Natural Environment Research Council (NERC)); Natural Environment Research Council(UK Research &amp; Innovation (UKRI)Natural Environment Research Council (NERC))</t>
  </si>
  <si>
    <t>This research was supported by the ECOSYSTEM programme of the British Antarctic Survey, Natural Environment Research Council.</t>
  </si>
  <si>
    <t>10.1093/plankt/fbs027</t>
  </si>
  <si>
    <t>933DV</t>
  </si>
  <si>
    <t>WOS:000303340700001</t>
  </si>
  <si>
    <t>Tomlinson, S; Phillips, RD</t>
  </si>
  <si>
    <t>Tomlinson, S.; Phillips, R. D.</t>
  </si>
  <si>
    <t>Metabolic rate, evaporative water loss and field activity in response to temperature in an ichneumonid wasp</t>
  </si>
  <si>
    <t>JOURNAL OF ZOOLOGY</t>
  </si>
  <si>
    <t>Lissopimpla excelsa; ichneumonid; metabolic rate; evaporative water loss; temperature tolerance; activity; pollination</t>
  </si>
  <si>
    <t>TETRAGONISCA-ANGUSTULA-FIEBRIGI; SUB-ANTARCTIC CATERPILLAR; RESPIRATORY METABOLISM; LATITUDINAL GRADIENTS; POGONOMYRMEX-RUGOSUS; SPECIES-RICHNESS; DESERT; BEETLE; THERMOREGULATION; RESPIROMETRY</t>
  </si>
  <si>
    <t>High ambient temperatures can adversely affect insects through high evaporative water loss (EWL) and reduction of metabolic activity through enzyme denaturation. Establishing the relationship between the temperature at which these processes become detrimental and regulatory behaviour is critical in resolving the mechanisms by which insects cope with physiologically stressful environments. Here, we compare levels of metabolic rate and EWL measured by flow-through respirometry with field activity in the ichneumonid wasp Lissopimpla excelsa. Metabolic rate increased to a maximum of 10.8 +/- 0.4?mLCO 2.g-1.h-1 at 35 degrees C before decreasing to 8.4 +/- 0.4?mLCO2.g-1.h-1 at T a = 40 degrees C. EWL showed an exponential pattern of increase, with a significant increase in EWL from T a = 12 degrees C to T a = 35 and 40 degrees C. Male wasps were active in the field from T a = 20.1 to 36.8 degrees C (peak activity T a = 26.5 degrees C and relative humidity = 44.4%), though activity levels were most strongly correlated with time of day. Being active in the mornings may be advantageous in that temperatures are warm enough to maintain activity but avoid excess energy expenditure and EWL. Furthermore, food or calling females may be most abundant during this period. Based on a consensus allometric scaling relationship derived for insect resting metabolic rates, the metabolic rate of L.?excelsa at T a = 25 degrees C was higher than predicted, as was EWL. Since the present study is the first describing the metabolic physiology of an ichneumonid wasp, it remains unclear whether this pattern is characteristic of ichneumonids in general of L.?excelsa in particular.</t>
  </si>
  <si>
    <t>[Tomlinson, S.; Phillips, R. D.] Bot Gardens &amp; Parks Author, Div Sci, Kings Pk &amp; Bot Gardens, Perth, WA 6005, Australia; [Tomlinson, S.] Univ Western Australia, Sch Anim Biol, Crawley, WA, Australia; [Phillips, R. D.] Univ Western Australia, Sch Plant Biol, Crawley, WA, Australia; [Phillips, R. D.] Australian Natl Univ, Res Sch Biol, Canberra, ACT, Australia</t>
  </si>
  <si>
    <t>University of Western Australia; University of Western Australia; Australian National University</t>
  </si>
  <si>
    <t>Tomlinson, S (corresponding author), Bot Gardens &amp; Parks Author, Div Sci, Kings Pk &amp; Bot Gardens, Fraser Ave, Perth, WA 6005, Australia.</t>
  </si>
  <si>
    <t>sean.tomlinson@bgpa.wa.gov.au</t>
  </si>
  <si>
    <t>Tomlinson, Sean/AFG-8303-2022; Phillips, Ryan/HDM-9720-2022</t>
  </si>
  <si>
    <t>Tomlinson, Sean/0000-0003-0864-5391;</t>
  </si>
  <si>
    <t>Australian Orchid Foundation; Holsworth Wildllife Research Endowment; School of Plant Biology at The University of Western Australia</t>
  </si>
  <si>
    <t>Funding was provided to RDP by the Australian Orchid Foundation, the Holsworth Wildllife Research Endowment and the School of Plant Biology at The University of Western Australia. We thank Professor Phil Withers for use of his laboratory space and metabolic equipment, and his advice on the analysis and interpretation of the data. Thank you to Natalie Banks for access to the Australian National Insect Collection. Both authors were supported by Australian Post Graduate Awards.</t>
  </si>
  <si>
    <t>0952-8369</t>
  </si>
  <si>
    <t>1469-7998</t>
  </si>
  <si>
    <t>J ZOOL</t>
  </si>
  <si>
    <t>J. Zool.</t>
  </si>
  <si>
    <t>10.1111/j.1469-7998.2012.00903.x</t>
  </si>
  <si>
    <t>945TY</t>
  </si>
  <si>
    <t>WOS:000304300300001</t>
  </si>
  <si>
    <t>Vaughan, APM; Leat, PT; Dean, AA; Millar, IL</t>
  </si>
  <si>
    <t>Vaughan, Alan P. M.; Leat, Philip T.; Dean, Alison A.; Millar, Ian L.</t>
  </si>
  <si>
    <t>Crustal thickening along the West Antarctic Gondwana margin during mid-Cretaceous deformation of the Triassic intra-oceanic Dyer Arc</t>
  </si>
  <si>
    <t>LITHOS</t>
  </si>
  <si>
    <t>Antarctic Peninsula; Palmer Land Event; Accretion; Terrane; Basalt; Mantle melting</t>
  </si>
  <si>
    <t>EASTERN PALMER-LAND; HIGH-FIELD-STRENGTH; NEW-SOUTH-WALES; ISLAND-ARC; TECTONIC IMPLICATIONS; NEW-ZEALAND; GEOCHEMICAL EVIDENCE; PRIMITIVE MAGMAS; PENINSULA REGION; TRENCH COLLISION</t>
  </si>
  <si>
    <t>Subduction-related Mesozoic mafic dykes in eastern Palmer Land, Antarctic Peninsula, record the development of an intra-oceanic arc terrane, the Dyer Arc, probably of late Permian-Triassic age, represented by a tholeiitic dyke group. Arc rocks were deformed in late Triassic-early Jurassic and mid-Cretaceous times on the Gondwana margin. Eruption of syn- to post-mid-Cretaceous orogenesis magmatism is represented by a calc-alkaline group of dykes. The tholeiitic dykes intruded immature granitic crust of the Eastern Zone sub-terrane of the Central Domain, one of the magmatic terranes of the Pacific margin of Gondwana. The calc-alkaline dykes straddle the major tectonic boundary between the Central Domain and the continental margin Eastern Domain. 132 dykes were studied, 82 of which are calc-alkaline, 48 tholeiitic and two shoshonitic, across an area of approximately 4000 km(2). Tholeiitic dykes strike broadly NNW-SSE, transposed into parallelism with the strike of the tectonic boundary during Cretaceous orogenesis whereas calc-alkaline dykes strike tightly ESE-WNW at a high angle to the boundary. The tholeiites pre-date late Triassic deformation and metamorphism, and are interpreted as dominantly Triassic in age, whereas Ar-Ar dated calc-alkaline dykes are younger (similar to 100 Ma and similar to 97 Ma) and field relations indicate that they overlap with the waning phase of the mid-Cretaceous Palmer Land Event. The tholeiites have trace element abundances similar to, but more depleted than, those of modern intra-oceanic arcs, as recorded by Zr/Hf ratios. Nb/Yb versus TiO2*/Yb and Sm/Yb versus La/Sm plots are used to model depths of partial melting. The tholeiites were mostly generated at shallow depths corresponding to 2.5 and certainly less than 3.0 GPa in largely garnet-free mantle. The calc-alkaline magmas were generated at pressures greater than 3.0 to possibly &gt; 3.5 GPa, in the garnet zone. The deepening of the mantle source, and onset of calc-alkaline magmatism are interpreted to have been caused by deformation of the intra-oceanic arc terrane on the Gondwana margin, and lithospheric thickening during the Palmer Land Event. (C) 2012 Elsevier B.V. All rights reserved.</t>
  </si>
  <si>
    <t>[Vaughan, Alan P. M.; Leat, Philip T.; Dean, Alison A.] British Antarctic Survey, Cambridge CB3 0ET, England; [Millar, Ian L.] NERC, Isotope Geosci Lab, Kingsley Dunham Ctr, Keyworth NG12 5GG, Notts, England</t>
  </si>
  <si>
    <t>UK Research &amp; Innovation (UKRI); Natural Environment Research Council (NERC); NERC British Antarctic Survey; UK Research &amp; Innovation (UKRI); Natural Environment Research Council (NERC); NERC British Geological Survey</t>
  </si>
  <si>
    <t>a.vaughan@bas.ac.uk</t>
  </si>
  <si>
    <t>Vaughan, Alan PM/B-7829-2010; Millar, Ian L/F-1541-2010</t>
  </si>
  <si>
    <t>NERC Antarctic Fund Initiative (AFI) [NER/G/S/2000/00597]; British Antarctic Survey core, Polar Science for Planet Earth; Natural Environment Research Council [bas0100026] Funding Source: researchfish; NERC [bas0100026] Funding Source: UKRI</t>
  </si>
  <si>
    <t>NERC Antarctic Fund Initiative (AFI); British Antarctic Survey core, Polar Science for Planet Earth; Natural Environment Research Council(UK Research &amp; Innovation (UKRI)Natural Environment Research Council (NERC)); NERC(UK Research &amp; Innovation (UKRI)Natural Environment Research Council (NERC))</t>
  </si>
  <si>
    <t>This work was funded by NERC Antarctic Fund Initiative (AFI) grant NER/G/S/2000/00597 and British Antarctic Survey core funds as part of Polar Science for Planet Earth. The authors would like to thank Dr Fausto Ferraccioli, BAS, who provided the aerogravity data presented in Fig. 2b and also express their gratitude to Nick Mortimer and Richard Price for their helpful reviews. Dr Bob Duncan and his laboratory at the College of Oceanic and Atmospheric Sciences, Oregon State University are gratefully acknowledged for provision of the radiometric data presented.</t>
  </si>
  <si>
    <t>0024-4937</t>
  </si>
  <si>
    <t>1872-6143</t>
  </si>
  <si>
    <t>Lithos</t>
  </si>
  <si>
    <t>10.1016/j.lithos.2012.03.008</t>
  </si>
  <si>
    <t>951MU</t>
  </si>
  <si>
    <t>WOS:000304725500009</t>
  </si>
  <si>
    <t>Lörz, AN; Smith, P; Linse, K; Steinke, D</t>
  </si>
  <si>
    <t>Loerz, Anne-Nina; Smith, Peter; Linse, Katrin; Steinke, Dirk</t>
  </si>
  <si>
    <t>High genetic diversity within Epimeria georgiana (Amphipoda) from the southern Scotia Arc</t>
  </si>
  <si>
    <t>DNA barcoding; Epimeriidae; New species; Scanning electron microscopy; Scotia Arc; High biodiversity</t>
  </si>
  <si>
    <t>MITOCHONDRIAL LINEAGES; DNA; MARINE; CRUSTACEA; BIODIVERSITY; DIVERGENCE; SPECIATION; REVEALS; SEA; DIVERSIFICATION</t>
  </si>
  <si>
    <t>DNA barcoding revealed four well-supported clades among amphipod specimens that keyed out to Schellenberg, 1931, three clades with specimens from the southern Scotia Arc and one clade with specimens from the Weddell Sea. Detailed morphological investigations of sequenced specimens were conducted, through light and scanning electron microscopy. High magnification (500-2,000 fold) revealed features such as comb-scales on the first antenna and trich bearing pits on the fourth coxal plate to be similar for all specimens in the four clades. Consistent microstructure character differences in the Weddell Sea specimens combined with high genetic distances ( divergence &gt; 20%) allowed the description of a species new to science. Specimens of in the other three clades from the Scotia Arc were morphologically indistinguishable. Representative specimens of clade A are also illustrated in detail. Our results on the high genetic divergences in epimeriid amphipods support the theory of the southern Scotia Arc being a centre of Antarctic diversification.</t>
  </si>
  <si>
    <t>[Loerz, Anne-Nina] Natl Inst Water &amp; Atmospher Res NIWA, Wellington, New Zealand; [Smith, Peter] Museum Victoria, Melbourne, Vic 3001, Australia; [Linse, Katrin] British Antarctic Survey, Cambridge CB3 0ET, England; [Steinke, Dirk] Univ Guelph, Biodivers Inst Ontario, Guelph, ON N1G 2W1, Canada</t>
  </si>
  <si>
    <t>National Institute of Water &amp; Atmospheric Research (NIWA) - New Zealand; Museum Victoria; UK Research &amp; Innovation (UKRI); Natural Environment Research Council (NERC); NERC British Antarctic Survey; University of Guelph</t>
  </si>
  <si>
    <t>Lörz, AN (corresponding author), Natl Inst Water &amp; Atmospher Res NIWA, Private Bag 14 901, Wellington, New Zealand.</t>
  </si>
  <si>
    <t>a.loerz@niwa.co.nz</t>
  </si>
  <si>
    <t>Steinke, Dirk/D-4700-2009</t>
  </si>
  <si>
    <t>Linse, Katrin/0000-0003-3477-3047; Steinke, Dirk/0000-0002-8992-575X</t>
  </si>
  <si>
    <t>Genome Canada through the Ontario Genomics Institute; New Zealand Government; Natural Environment Research Council; Alfred P. Sloan Foundation; NERC [bas0100026] Funding Source: UKRI; Natural Environment Research Council [bas0100026] Funding Source: researchfish</t>
  </si>
  <si>
    <t>Genome Canada through the Ontario Genomics Institute(Genome Canada); New Zealand Government; Natural Environment Research Council(UK Research &amp; Innovation (UKRI)Natural Environment Research Council (NERC)); Alfred P. Sloan Foundation(Alfred P. Sloan Foundation); NERC(UK Research &amp; Innovation (UKRI)Natural Environment Research Council (NERC)); Natural Environment Research Council(UK Research &amp; Innovation (UKRI)Natural Environment Research Council (NERC))</t>
  </si>
  <si>
    <t>We are grateful to the team at the Canadian Centre for DNA Barcoding (supported by Genome Canada through the Ontario Genomics Institute) for providing they sequences for the CAML project. Angelika Brandt (Hamburg) kindly let the senior author use her microscope. Renate Walter (Hamburg) helped with the scanning electron microscopy. Erika Mackay (NIWA) kindly inked the drawings. Niamh Kilgallen (NIWA) and three anonymous reviewers are thanked for constructive criticism on an earlier version of the manuscript.; The Natural History Museums of Stockholm and London are thanked for the loan of type material. The curational help of the NIWA Invertebrate Collection (NIC) team is highly appreciated. A.N.L and P. S were supported by research funded by the New Zealand Government under the NZ International Polar Year-Census of Antarctic Marine Life Project, and gratefully acknowledge the Ministry of Fisheries Science Team and Ocean Survey 20/20 CAML Advisory Group (Land Information New Zealand, Ministry of Fisheries, Antarctica New Zealand, Ministry of Foreign Affairs and Trade, and National Institute of Water and Atmospheric Research Ltd.). K. L. was funded by The Natural Environment Research Council. D. S. was supported by funding of the Alfred P. Sloan Foundation to MarBOL. This study is part of the British Antarctic Survey Polar Science for Planet Earth Programme and the NZ International Polar Year-Census.</t>
  </si>
  <si>
    <t>10.1007/s12526-011-0098-8</t>
  </si>
  <si>
    <t>943CL</t>
  </si>
  <si>
    <t>WOS:000304098000004</t>
  </si>
  <si>
    <t>Cross, IA; Gebruk, A; Billett, D; Rogacheva, A</t>
  </si>
  <si>
    <t>Cross, Ian A.; Gebruk, Andrey; Billett, David; Rogacheva, Antonina</t>
  </si>
  <si>
    <t>Rediscovery of the elpidiid holothurian Peniagone horrifer (Elasipodida, Holothuroidea: Echinodermata) in the southern Indian Ocean</t>
  </si>
  <si>
    <t>Elpidiidae; Taxonomy; Abyssal sub-Antarctic; Deep-sea holothurian</t>
  </si>
  <si>
    <t>Peniagone horrifer Theel, 1882 was collected at abyssal depths from around the Crozet Islands in the southern Indian Ocean on RRS Cruise 300 in 2005. Previously known from only one specimen, is re-described based on a large haul of preserved material and an in situ photograph of the species on the seabed.</t>
  </si>
  <si>
    <t>[Gebruk, Andrey; Rogacheva, Antonina] Russian Acad Sci, PP Shirshov Oceanol Inst, Moscow 117997, Russia; [Cross, Ian A.; Billett, David] Natl Oceanog Ctr, Southampton SO14 3ZH, Hants, England</t>
  </si>
  <si>
    <t>Russian Academy of Sciences; Shirshov Institute of Oceanology; NERC National Oceanography Centre</t>
  </si>
  <si>
    <t>Rogacheva, A (corresponding author), Russian Acad Sci, PP Shirshov Oceanol Inst, Nakhimovsky Pr 36, Moscow 117997, Russia.</t>
  </si>
  <si>
    <t>ianc995@googlemail.com; agebruk@ocean.ru; dsmb@noc.soton.ac.uk; antonina@ocean.ru</t>
  </si>
  <si>
    <t>Cross, Ian/HJH-7802-2023; Gebruk, Andrey/A-9041-2016; Kremenetskaia, Antonina/H-5654-2018</t>
  </si>
  <si>
    <t>Kremenetskaia, Antonina/0000-0001-8851-3318</t>
  </si>
  <si>
    <t>CeDAMar exchange fellowship program for taxonomists; United Kingdom's Natural Environment Research Council (NERC) [NER/A/S/2003/00573]; NERC [noc010004, noc010009] Funding Source: UKRI; Natural Environment Research Council [NER/A/S/2003/00573, noc010004, noc010009] Funding Source: researchfish</t>
  </si>
  <si>
    <t>CeDAMar exchange fellowship program for taxonomists; United Kingdom's Natural Environment Research Council (NERC); NERC(UK Research &amp; Innovation (UKRI)Natural Environment Research Council (NERC)); Natural Environment Research Council(UK Research &amp; Innovation (UKRI)Natural Environment Research Council (NERC))</t>
  </si>
  <si>
    <t>We thank Andrew Cabrinovic (NHM) for the opportunity to examine the holotype of P. horrifer, and Mark O'Loughlin and two anonymous reviewers for valuable comments and improving the manuscript. This work was supported by CeDAMar exchange fellowship program for taxonomists. The work was financially supported by the United Kingdom's Natural Environment Research Council (NERC Grant NER/A/S/2003/00573).</t>
  </si>
  <si>
    <t>10.1007/s12526-012-0111-x</t>
  </si>
  <si>
    <t>WOS:000304098000012</t>
  </si>
  <si>
    <t>Rey, AR; Polito, M; Archuby, D; Coria, N</t>
  </si>
  <si>
    <t>Raya Rey, Andrea; Polito, Michael; Archuby, Diego; Coria, Nestor</t>
  </si>
  <si>
    <t>Stable isotopes identify age- and sex-specific dietary partitioning and foraging habitat segregation in southern giant petrels breeding in Antarctica and southern Patagonia</t>
  </si>
  <si>
    <t>INTRA-SPECIFIC COMPETITION; MACRONECTES-HALLI; DELTA-N-15 VALUES; CARBON; FOOD; DELTA-C-13; NITROGEN; BLOOD; SEABIRDS; STRATEGIES</t>
  </si>
  <si>
    <t>We examined the isotopic signatures (delta C-13, delta N-15) of adult body feathers from southern giant petrels Macronectes giganteus collected at two breeding colonies in Antarctica (Potter Peninsula and Cape Geddes) and one in southern Patagonia (Observatorio Island), as well as in whole blood collected from adults of both sexes at each Antarctic colonies and from chicks at Potter Peninsula. As body feather moult is a continuous process in giant petrels, feathers provide an integrated annual signal of an adult's diets and foraging habitats. In contrast, the stable isotope values of adult and chick blood are reflective of their diets during the breeding season. We found that sex-specific dietary segregation in adults breeding in Antarctica was notable during the breeding season (blood samples) but absent when examined across the entire year (feather samples). In addition, blood stable isotope values differed between chicks and adults, indicating that adults provision their offspring with a relatively higher amount of penguin and seal prey that what they consume themselves. This finding confirms previous work that suggests that chicks are preferentially fed with prey of presumably higher nutritional value such as carrion. Finally, based on isotopic differences between major oceanographic zones in the Southern Ocean, our data indicate population-specific differences in foraging distribution, with Antarctic populations move seasonally between Antarctic and subantarctic zones, while Patagonian populations likely forage in subtropical waters and in continental shelf habitats year-round.</t>
  </si>
  <si>
    <t>[Raya Rey, Andrea] Ctr Austral Invest Cient, Consejo Nacl Invest Cient &amp; Tecn, RA-9410 Ushuaia, Tierra Del Fueg, Argentina; [Polito, Michael] Univ N Carolina, Dept Biol &amp; Marine Biol, Wilmington, NC 28403 USA; [Archuby, Diego] Inst Antartico Argentino, Consejo Nacl Invest Cient &amp; Tecn, RA-1248 Buenos Aires, Argentina; [Coria, Nestor] Inst Antartico Argentino, Dept Ciencias Biol, RA-1248 Buenos Aires, Argentina</t>
  </si>
  <si>
    <t>Consejo Nacional de Investigaciones Cientificas y Tecnicas (CONICET); University of North Carolina; University of North Carolina Wilmington; Instituto Antartico Argentino; Consejo Nacional de Investigaciones Cientificas y Tecnicas (CONICET); Instituto Antartico Argentino</t>
  </si>
  <si>
    <t>Rey, AR (corresponding author), Ctr Austral Invest Cient, Consejo Nacl Invest Cient &amp; Tecn, Houssay 200, RA-9410 Ushuaia, Tierra Del Fueg, Argentina.</t>
  </si>
  <si>
    <t>arayarey@cadic-conicet.gob.ar</t>
  </si>
  <si>
    <t>Polito, Michael/0000-0001-8639-4431; Raya Rey, Andrea/0000-0003-0127-6650</t>
  </si>
  <si>
    <t>10.1007/s00227-012-1912-y</t>
  </si>
  <si>
    <t>934UL</t>
  </si>
  <si>
    <t>WOS:000303472100012</t>
  </si>
  <si>
    <t>Roura, A; González, AF; Redd, K; Guerra, A</t>
  </si>
  <si>
    <t>Roura, Alvaro; Gonzalez, Angel F.; Redd, Kevin; Guerra, Angel</t>
  </si>
  <si>
    <t>Molecular prey identification in wild Octopus vulgaris paralarvae</t>
  </si>
  <si>
    <t>POLYMERASE-CHAIN-REACTION; EXTERNAL DIGESTION; SQUID PARALARVAE; COMMON OCTOPUS; DIET ANALYSIS; GUT CONTENTS; DNA; CEPHALOPODA; MITOCHONDRIAL; MOLLUSCA</t>
  </si>
  <si>
    <t>The trophic ecology of Octopus vulgaris paralarvae collected in 2008 off the Ria de Vigo, NW Spain (42A degrees 12.80' N-9A degrees 00.00' W), was approached by both morphological and molecular methods. External digestion of prey and posterior suction of the liquefied contents by wild O. vulgaris paralarvae made the morphological identification of gut contents impossible. Thus, a PCR-based method using group-specific primers was selected to identify prey consumed by O. vulgaris paralarvae in the pelagic realm. The mitochondrial ribosomal 16S gene region was chosen for designing group-specific primers, which targeted a broad range of crustaceans and fishes but avoided the amplification of predator DNA. These primers successfully amplified DNA of prey by using a semi-nested PCR-based approach and posterior cloning. Homology search and phylogenetic analysis were then conducted with the 20 different operational taxonomic units obtained to identify the putative organisms ingested. The phylogenetic analysis clustered ingested prey into 12 families of crustaceans (11 belonging to the order Decapoda and 1 to the order Euphausiacea) and two families of fishes (Gobiidae and Carangidae). According to the Czekanowski's Index (CI), the trophic niche breadth of O. vulgaris paralarvae is low (CI = 0.13), which means that these paralarvae are specialist predators at least during the first weeks of their life cycle. It is the first time that natural prey has been identified in O. vulgaris paralarvae collected from the wild, and such knowledge may be critical to increasing the survival of O. vulgaris hatchlings in captivity, a goal that has been actively pursued since the 1960s by aquaculture researchers.</t>
  </si>
  <si>
    <t>[Roura, Alvaro; Gonzalez, Angel F.; Guerra, Angel] Inst Invest Marinas CSIC, Vigo 36208, Spain; [Redd, Kevin] Univ Tasmania, Inst Marine &amp; Antarctic Studies IMAS, Marine Res Labs, Hobart, Tas 7001, Australia</t>
  </si>
  <si>
    <t>Consejo Superior de Investigaciones Cientificas (CSIC); CSIC - Instituto de Investigaciones Marinas (IIM); University of Tasmania</t>
  </si>
  <si>
    <t>Roura, A (corresponding author), Inst Invest Marinas CSIC, Vigo 36208, Spain.</t>
  </si>
  <si>
    <t>aroura@iim.csic.es</t>
  </si>
  <si>
    <t>Roura, Alvaro/L-6754-2014</t>
  </si>
  <si>
    <t>Roura, Alvaro/0000-0003-3532-6759</t>
  </si>
  <si>
    <t>Spanish Ministry of Innovation and Science [CTM2007-66408-C02]; LARECO [CTM2011-25929]; FEDER; CSIC; Fondo Social Europeo (ESF)</t>
  </si>
  <si>
    <t>Spanish Ministry of Innovation and Science(Spanish Government); LARECO; FEDER(European Union (EU)Spanish Government); CSIC; Fondo Social Europeo (ESF)(European Social Fund (ESF))</t>
  </si>
  <si>
    <t>We acknowledge the comments and suggestions made by S. Jarman, B. Deagle and A. Passmore, during the onset of this work. We are indebted to Adam Smolenski (University of Tasmania) and Mariana Rivas (IIM, CSIC Vigo) for their valuable contribution to this research. We thank David Posada and Mateus Patricio (University of Vigo) for their advice to perform the phylogenetic analyses. We also thank the crew of the R/V Mytilus (IIM, CSIC Vigo) for their technical assistance in collecting the zooplankton samples. This study was supported by the project CAIBEX (Spanish Ministry of Innovation and Science CTM2007-66408-C02), LARECO (CTM2011-25929) and FEDER Funds and the first author by a JAE-pre grant (CSIC) that is cofinanced by Fondo Social Europeo (ESF).</t>
  </si>
  <si>
    <t>10.1007/s00227-012-1914-9</t>
  </si>
  <si>
    <t>WOS:000303472100014</t>
  </si>
  <si>
    <t>Bharate, SB; Yadav, RR; Battula, S; Vishwakarma, RA</t>
  </si>
  <si>
    <t>Bharate, S. B.; Yadav, R. R.; Battula, S.; Vishwakarma, R. A.</t>
  </si>
  <si>
    <t>Meridianins: Marine-Derived Potent Kinase Inhibitors</t>
  </si>
  <si>
    <t>MINI-REVIEWS IN MEDICINAL CHEMISTRY</t>
  </si>
  <si>
    <t>Anticancer; antimalarial; kinase inhibitors; marine natural product; meridianins</t>
  </si>
  <si>
    <t>TUNICATE APLIDIUM-MERIDIANUM; VITRO ANTIPROLIFERATIVE ACTIVITIES; SPONGE KIRKPATRICKIA-VARIALOSA; INDOLE ALKALOIDS; NATURAL-PRODUCTS; ANTARCTIC SPONGE; ANTIMALARIAL ACTIVITY; DERIVATIVES; ANALOGS; INDOLYLPYRIMIDINES</t>
  </si>
  <si>
    <t>Marine invertebrates are a rich source of novel, bioactive secondary metabolites and have attracted a great deal of attention from scientists in the fields of chemistry, pharmacology, ecology, and molecular biology. This profilic natural source has produced several antitumor secondary metabolites and amongst these, indole alkaloids are of wide occurrence. Meridianins A-G (1-7) are indole alkaloids isolated from tunicate Aplidium meridianum and are known to inhibit variety of protein kinases associated with cancer and neurodegenerative diseases. These compounds also exhibited promising antiproliferative activity in several cancer cell lines. Amongst natural meridianins, meridianin E (5) showed potent and selective inhibition of CDK-1 and CDK-5. Several synthetic meridianin analogs exhibited potent and selective inhibition of glycogen synthase-3 (GSK-3) and dual-specificity tyrosine-phosphorylation regulated kinase 1A (Dyrk-1A) which are known to be implicated in progression of Alzheimer's disease. The present review provides the critical account of isolation, medicinal chemistry and pharmacology of meridianins. Our analysis of the structure-activity relationships of this family of compounds highlights the existence of various potential leads for the development of novel anticancer and anti-Alzheimer's agents.</t>
  </si>
  <si>
    <t>[Bharate, S. B.; Yadav, R. R.; Battula, S.; Vishwakarma, R. A.] CSIR, Div Med Chem, Indian Inst Integrat Med, Jammu 180001, India</t>
  </si>
  <si>
    <t>Council of Scientific &amp; Industrial Research (CSIR) - India; CSIR - Indian Institute of Integrative Medicine (IIIM)</t>
  </si>
  <si>
    <t>Bharate, SB (corresponding author), CSIR, Div Med Chem, Indian Inst Integrat Med, Canal Rd, Jammu 180001, India.</t>
  </si>
  <si>
    <t>sbharate@iiim.ac.in; ram@iiim.ac.in</t>
  </si>
  <si>
    <t>Bharate, Sandip B/B-7104-2018; Battula, Satyanarayana/ITV-5126-2023; Vishwakarma, Aditya/IQR-5679-2023; Battula, Satyanarayana/N-4381-2016; Bheemanaboina, Rammohan R. Yadav/Q-9676-2019</t>
  </si>
  <si>
    <t>Battula, Satyanarayana/0000-0002-0540-8844; Bheemanaboina, Rammohan R. Yadav/0000-0003-2159-3856; Bharate, Sandip B./0000-0001-6081-5787</t>
  </si>
  <si>
    <t>BENTHAM SCIENCE PUBL LTD</t>
  </si>
  <si>
    <t>SHARJAH</t>
  </si>
  <si>
    <t>EXECUTIVE STE Y-2, PO BOX 7917, SAIF ZONE, 1200 BR SHARJAH, U ARAB EMIRATES</t>
  </si>
  <si>
    <t>1389-5575</t>
  </si>
  <si>
    <t>MINI-REV MED CHEM</t>
  </si>
  <si>
    <t>Mini-Rev. Med. Chem.</t>
  </si>
  <si>
    <t>Chemistry, Medicinal</t>
  </si>
  <si>
    <t>964XZ</t>
  </si>
  <si>
    <t>WOS:000305731300003</t>
  </si>
  <si>
    <t>Strugnell, JM; Watts, PC; Smith, PJ; Allcock, AL</t>
  </si>
  <si>
    <t>Strugnell, J. M.; Watts, P. C.; Smith, P. J.; Allcock, A. L.</t>
  </si>
  <si>
    <t>Persistent genetic signatures of historic climatic events in an Antarctic octopus</t>
  </si>
  <si>
    <t>circumpolar distribution; glacial cycles; octopod; population structure; southern ocean</t>
  </si>
  <si>
    <t>PARELEDONE-TURQUETI JOUBIN; SOUTHERN-OCEAN; SEA-ICE; MITOCHONDRIAL LINEAGES; POPULATION-STRUCTURE; POLAR FRONT; BARRIERS; MAXIMUM; DNA; SPECIATION</t>
  </si>
  <si>
    <t>Repeated cycles of glaciation have had major impacts on the distribution of genetic diversity of the Antarctic marine fauna. During glacial periods, ice cover limited the amount of benthic habitat on the continental shelf. Conversely, more habitat and possibly altered seaways were available during interglacials when the ice receded and the sea level was higher. We used microsatellites and partial sequences of the mitochondrial cytochrome oxidase 1 gene to examine genetic structure in the direct-developing, endemic Southern Ocean octopod Pareledone turqueti sampled from a broad range of areas that circumvent Antarctica. We find that, unusually for a species with poor dispersal potential, P. turqueti has a circumpolar distribution and is also found off the islands of South Georgia and Shag Rocks. The overriding pattern of spatial genetic structure can be explained by hydrographic (with ocean currents both facilitating and hindering gene flow) and bathymetric features. The Antarctic Peninsula region displays a complex population structure, consistent with its varied topographic and oceanographic influences. Genetic similarities between the Ross and Weddell Seas, however, are interpreted as a persistent historic genetic signature of connectivity during the hypothesized Pleistocene West Antarctic Ice Sheet collapses. A calibrated molecular clock indicates two major lineages within P. turqueti, a continental lineage and a sub-Antarctic lineage, that diverged in the mid-Pliocene with no subsequent gene flow. Both lineages survived subsequent major glacial cycles. Our data are indicative of potential refugia at Shag Rocks and South Georgia and also around the Antarctic continent within the Ross Sea, Weddell Sea and off Adelie Land. The mean age of mtDNA diversity within these main continental lineages coincides with Pleistocene glacial cycles.</t>
  </si>
  <si>
    <t>[Strugnell, J. M.] La Trobe Univ, Dept Genet, La Trobe Inst Mol Sci, Bundoora, Vic 3086, Australia; [Watts, P. C.] Univ Liverpool, Inst Integrat Biol, Liverpool L69 7ZB, Merseyside, England; [Smith, P. J.] Museum Victoria, Melbourne, Vic 3001, Australia; Natl Univ Ireland, Dept Zool, Ryan Inst, Galway, Ireland</t>
  </si>
  <si>
    <t>La Trobe University; University of Liverpool; Museum Victoria; Ollscoil na Gaillimhe-University of Galway</t>
  </si>
  <si>
    <t>Strugnell, JM (corresponding author), La Trobe Univ, Dept Genet, La Trobe Inst Mol Sci, Bundoora, Vic 3086, Australia.</t>
  </si>
  <si>
    <t>j.strugnell@latrobe.edu.au</t>
  </si>
  <si>
    <t>Watts, Phill/G-7257-2011; Strugnell, Jan M/P-9921-2016; Allcock, Louise/A-7359-2012</t>
  </si>
  <si>
    <t>Allcock, Louise/0000-0002-4806-0040; Watts, Phillip/0000-0001-7755-187X; Strugnell, Jan/0000-0003-2994-637X</t>
  </si>
  <si>
    <t>NERC AFI [NE/C506321/1]; Lloyd's Tercentenary Fellowship; CoSyst grant; Antarctic Science Bursary, a Systematics Association grant; Edith Mary Pratt Musgrave Fund; Australia and Pacific Science Foundation; New Zealand Government</t>
  </si>
  <si>
    <t>NERC AFI(UK Research &amp; Innovation (UKRI)Natural Environment Research Council (NERC)); Lloyd's Tercentenary Fellowship; CoSyst grant; Antarctic Science Bursary, a Systematics Association grant; Edith Mary Pratt Musgrave Fund; Australia and Pacific Science Foundation; New Zealand Government</t>
  </si>
  <si>
    <t>We thank the Alfred Wegner Institute, British Antarctic Survey, Australian Antarctic Division, the South Georgia Government and MRAG for provision of sea time and to all colleagues who facilitated sea time or assisted on board. We thank the Barcode of Life Database team, particularly D. Steinke for providing MT-CO1 sequences. JMS was supported by NERC AFI NE/C506321/1 awarded to ALA and a Lloyd's Tercentenary Fellowship. This work was also funded by a CoSyst grant awarded to JMS and PCW and an Antarctic Science Bursary, a Systematics Association grant, the Edith Mary Pratt Musgrave Fund and an Australia and Pacific Science Foundation grant awarded to JMS. PJS was supported by the New Zealand Government under the NZ International Polar Year-Census of Antarctic Marine Life Project (CAML) and gratefully acknowledges the Ministry of Fisheries Science Team and Ocean Survey 20/20 CAML Advisory Group (Land Information New Zealand, Ministry of Fisheries, Antarctica New Zealand, Ministry of Foreign Affairs and Trade, and National Institute of Water and Atmospheric Research Ltd.). The manuscript was substantially improved by the constructive input of five referees. This is CAML publication no. 77 and is a contribution to Evolution and Biodiversity in the Antarctic (EBA).</t>
  </si>
  <si>
    <t>10.1111/j.1365-294X.2012.05572.x</t>
  </si>
  <si>
    <t>946WZ</t>
  </si>
  <si>
    <t>WOS:000304389500018</t>
  </si>
  <si>
    <t>Nielsen, JF; English, S; Goodall-Copestake, WP; Wang, JL; Walling, CA; Bateman, AW; Flower, TP; Sutcliffe, RL; Samson, J; Thavarajah, NK; Kruuk, LEB; Clutton-Brock, TH; Pemberton, JM</t>
  </si>
  <si>
    <t>Nielsen, Johanna F.; English, Sinead; Goodall-Copestake, Will P.; Wang, Jinliang; Walling, Craig A.; Bateman, Andrew W.; Flower, Tom P.; Sutcliffe, Robert L.; Samson, Jamie; Thavarajah, Nathan K.; Kruuk, Loeske E. B.; Clutton-Brock, Tim H.; Pemberton, Josephine M.</t>
  </si>
  <si>
    <t>Inbreeding and inbreeding depression of early life traits in a cooperative mammal</t>
  </si>
  <si>
    <t>emergence mass; growth rate; inbreeding; inbreeding depression; juvenile survival; Suricata suricatta</t>
  </si>
  <si>
    <t>MEERKATS SURICATA-SURICATTA; REPRODUCTIVE SUCCESS; ENVIRONMENTAL-STRESS; NATURAL-POPULATION; BREEDING SUCCESS; NATAL DISPERSAL; SONG SPARROWS; SURVIVAL; EVOLUTION; AVOIDANCE</t>
  </si>
  <si>
    <t>Mating between relatives often results in negative fitness consequences or inbreeding depression. However, the expression of inbreeding in populations of wild cooperative mammals and the effects of environmental, maternal and social factors on inbreeding depression in these systems are currently not well understood. This study uses pedigree-based inbreeding coefficients from a long-term study of meerkats (Suricata suricatta) in South Africa to reveal that 44% of the population have detectably non-zero (F &gt; 0) inbreeding coefficients. 15% of these inbred individuals were the result of moderate inbreeding (F = 0.125), although such inbreeding events almost solely occurred when mating individuals had no prior experience of each other. Inbreeding depression was evident for a range of traits: pup mass at emergence from the natal burrow, hind-foot length, growth until independence and juvenile survival. However, we found no evidence of significant inbreeding depression for skull and forearm length or for pup survival. This research provides a rare investigation into inbreeding in a cooperative mammal, revealing high levels of inbreeding, considerable negative consequences and complex interactions with the social environment.</t>
  </si>
  <si>
    <t>[Nielsen, Johanna F.; Goodall-Copestake, Will P.; Walling, Craig A.; Kruuk, Loeske E. B.; Pemberton, Josephine M.] Univ Edinburgh, Inst Evolutionary Biol, Sch Biol Sci, Edinburgh EH9 3JT, Midlothian, Scotland; [Nielsen, Johanna F.; Wang, Jinliang] Zool Soc London, Inst Zool, London NW1 4RY, England; [English, Sinead; Bateman, Andrew W.; Kruuk, Loeske E. B.] Univ Cambridge, Dept Zool, Cambridge CB2 3EJ, England; [Goodall-Copestake, Will P.] British Antarctic Survey, Nat Environm Res Council, Cambridge CB3 0ET, England; [Flower, Tom P.; Sutcliffe, Robert L.; Samson, Jamie; Thavarajah, Nathan K.] Univ Pretoria, Mammal Res Inst, Dept Zool &amp; Entomol, ZA-0028 Hatfield, South Africa</t>
  </si>
  <si>
    <t>University of Edinburgh; Zoological Society of London; University of Cambridge; UK Research &amp; Innovation (UKRI); Natural Environment Research Council (NERC); NERC British Antarctic Survey; University of Pretoria</t>
  </si>
  <si>
    <t>Nielsen, JF (corresponding author), Univ Edinburgh, Inst Evolutionary Biol, Sch Biol Sci, W Mains Rd, Edinburgh EH9 3JT, Midlothian, Scotland.</t>
  </si>
  <si>
    <t>johanna.nielsen@ed.ac.uk</t>
  </si>
  <si>
    <t>Kruuk, Loeske/AAB-8714-2019; Kruuk, Loeske E. B./J-3295-2012; Goodall-Copestake, William P/C-1061-2011; Walling, Craig/HGT-8539-2022; Pemberton, Josephine M/F-3100-2010; Goodall-Copestake, William/CAF-6866-2022; Bateman, Andrew W/H-7276-2015; English, Sinead/N-6348-2014</t>
  </si>
  <si>
    <t>Kruuk, Loeske/0000-0001-8588-1123; Kruuk, Loeske E. B./0000-0001-8588-1123; Goodall-Copestake, Will/0000-0003-3586-9091; English, Sinead/0000-0003-2898-2301; Flower, Thomas/0000-0003-0531-8010</t>
  </si>
  <si>
    <t>Natural Environment Research Council; Earthwatch Institute; NERC CASE; Institute of Zoology, London; NERC [NE/H004912/1, bas0100025] Funding Source: UKRI; Natural Environment Research Council [NE/H004912/1, bas0100025] Funding Source: researchfish</t>
  </si>
  <si>
    <t>Natural Environment Research Council(UK Research &amp; Innovation (UKRI)Natural Environment Research Council (NERC)); Earthwatch Institute; NERC CASE(UK Research &amp; Innovation (UKRI)Natural Environment Research Council (NERC)); Institute of Zoology, London; NERC(UK Research &amp; Innovation (UKRI)Natural Environment Research Council (NERC)); Natural Environment Research Council(UK Research &amp; Innovation (UKRI)Natural Environment Research Council (NERC))</t>
  </si>
  <si>
    <t>We thank all the many volunteers and staff at the Kuruman River Reserve for the data collection and project management; the Kotze family for permission to work on their land; and the Northern Cape Conservation Authority for allowing us to conduct research in the Kalahari. We would also like to thank Jarrod Hadfield for his help with MASTERBAYES; Sheena Morrissey for genotyping assistance; Liz Heap for independently checking all the genotypes; and Matt Bell, Michael Morrissey and the reviewers for their comments on an earlier version of this manuscript. The Meerkat project is funded by the Natural Environment Research Council and the Earthwatch Institute. JFN is funded by a NERC CASE studentship with the Institute of Zoology, London.</t>
  </si>
  <si>
    <t>10.1111/j.1365-294X.2012.05565.x</t>
  </si>
  <si>
    <t>WOS:000304389500019</t>
  </si>
  <si>
    <t>Battistelli, ES; Amico, G; Baù, A; Bergé, L; Bréelle, É; Charlassier, R; Collin, S; Cruciani, A; de Bernardis, P; Dufour, C; Dumoulin, L; Gervasi, M; Giard, M; Giordano, C; Giraud-Héraud, Y; Guglielmi, L; Hamilton, JC; Landé, J; Maffei, B; Maiello, M; Marnieros, S; Masi, S; Passerini, A; Piacentini, F; Piat, M; Piccirillo, L; Pisano, G; Polenta, G; Rosset, C; Salatino, M; Schillaci, A; Sordini, R; Spinelli, S; Tartari, A; Zannoni, M</t>
  </si>
  <si>
    <t>Battistelli, E. S.; Amico, G.; Bau, A.; Berge, L.; Breelle, E.; Charlassier, R.; Collin, S.; Cruciani, A.; de Bernardis, P.; Dufour, C.; Dumoulin, L.; Gervasi, M.; Giard, M.; Giordano, C.; Giraud-Heraud, Y.; Guglielmi, L.; Hamilton, J-C; Lande, J.; Maffei, B.; Maiello, M.; Marnieros, S.; Masi, S.; Passerini, A.; Piacentini, F.; Piat, M.; Piccirillo, L.; Pisano, G.; Polenta, G.; Rosset, C.; Salatino, M.; Schillaci, A.; Sordini, R.; Spinelli, S.; Tartari, A.; Zannoni, M.</t>
  </si>
  <si>
    <t>Intensity and polarization of the atmospheric emission at millimetric wavelengths at Dome Concordia</t>
  </si>
  <si>
    <t>atmospheric effects; instrumentation: polarimeters; site testing; cosmic background radiation</t>
  </si>
  <si>
    <t>CMB POLARIZATION; ASTRONOMY</t>
  </si>
  <si>
    <t>Atmospheric emission is a dominant source of disturbance in ground-based astronomy at millimetric wavelengths. The Antarctic plateau is recognized as an ideal site for millimetric and submillimetric observations, and the French/Italian base of Dome Concordia (Dome C) is among the best sites on Earth for these observations. In this paper, we present measurements at Dome C of the atmospheric emission in intensity and polarization at a 2-mm wavelength. This is one of the best observational frequencies for cosmic microwave background (CMB) observations when considering cosmic signal intensity, atmospheric transmission, detector sensitivity and foreground removal. Using the B-mode radiation interferometer (BRAIN)-pathfinder experiment, we have performed measurements of the atmospheric emission at 150 GHz. Careful characterization of the airmass synchronous emission has been performed, acquiring more than 380 elevation scans (i.e. skydip) during the third BRAIN-pathfinder summer campaign in 2009 December/2010 January. The extremely high transparency of the Antarctic atmosphere over Dome C is proven by the very low measured optical depth, (iota(I))= 0.050 +/- 0.003 +/- 0.011, where the first error is statistical and the second is the systematic error. Mid-term stability, over the summer campaign, of the atmosphere emission has also been studied. Adapting the radiative transfer atmosphere emission model am to the particular conditions found at Dome C, we also infer the level of the precipitable water vapor (PWV) content of the atmosphere, which is notoriously the main source of disturbance in millimetric astronomy ( mm). Upper limits on the airmass correlated polarized signal are also placed for the first time. The degree of circular polarization of atmospheric emission is found to be lower than 0.2 per cent [95 per cent confidence level (CL)], while the degree of linear polarization is found to be lower than 0.1 per cent (95 per cent CL). These limits include signal-correlated instrumental spurious polarization.</t>
  </si>
  <si>
    <t>[Battistelli, E. S.; Amico, G.; Cruciani, A.; de Bernardis, P.; Giordano, C.; Maiello, M.; Masi, S.; Piacentini, F.; Polenta, G.; Salatino, M.; Schillaci, A.; Sordini, R.] Univ Roma La Sapienza, Dipartimento Fis, I-00185 Rome, Italy; [Bau, A.; Gervasi, M.; Passerini, A.; Spinelli, S.; Tartari, A.; Zannoni, M.] Univ Milano Bicocca, Dipartimento Fis G Occhialini, I-20126 Milan, Italy; [Berge, L.; Collin, S.; Dumoulin, L.; Marnieros, S.] Univ Paris 11, Ctr Spectroscopie Nucl &amp; Spectroscopie Masse, CNRS, IN2P3,UMR8609, F-91405 Orsay, France; [Breelle, E.; Charlassier, R.; Dufour, C.; Giraud-Heraud, Y.; Guglielmi, L.; Hamilton, J-C; Piat, M.; Rosset, C.; Tartari, A.] Univ Paris 07, APC, CNRS IN2P3, CEA,Observ Paris, Paris, France; [Giard, M.; Lande, J.] Univ Toulouse, Ctr Etud Spatiale Rayonnements, CNRS, F-31028 Toulouse 04, France; [Giordano, C.] Fdn Bruno Kessler, I-38122 Trento, Italy; [Maffei, B.; Piccirillo, L.; Pisano, G.] Univ Manchester, JBCA Sch Phys &amp; Astron, Manchester M13 9PL, Lancs, England; [Maiello, M.] Univ Siena, I-53100 Siena, Italy; [Polenta, G.] ESRIN, ASI Sci Data Ctr, I-00044 Frascati, Italy; [Polenta, G.] Osserv Astron Roma, INAF, I-00040 Monte Porzio Catone, Italy; [Sordini, R.] Univ Napoli Parthenope, Dipartimento Sci Applicate, Ctr Direz Napoli, I-80143 Naples, Italy; [Spinelli, S.] Media Lario Technol Srl, I-23842 Bosisio Parini, LC, Italy</t>
  </si>
  <si>
    <t>Sapienza University Rome; University of Milano-Bicocca; Centre National de la Recherche Scientifique (CNRS); CNRS - National Institute of Nuclear and Particle Physics (IN2P3); Universite Paris Saclay; Centre National de la Recherche Scientifique (CNRS); CNRS - National Institute of Nuclear and Particle Physics (IN2P3); Universite PSL; Observatoire de Paris; CEA; Universite Paris Cite; Centre National de la Recherche Scientifique (CNRS); Fondazione Bruno Kessler; University of Manchester; Jodrell Bank Centre for Astrophysics; University of Siena; Agenzia Spaziale Italiana (ASI); European Space Agency; Istituto Nazionale Astrofisica (INAF); Telecom Italia; Parthenope University Naples</t>
  </si>
  <si>
    <t>Battistelli, ES (corresponding author), Univ Roma La Sapienza, Dipartimento Fis, Piazzale Aldo Moro 5, I-00185 Rome, Italy.</t>
  </si>
  <si>
    <t>elia.battistelli@roma1.infn.it</t>
  </si>
  <si>
    <t>Piacentini, Francesco/E-7234-2010; Maffei, Bruno/ISA-8539-2023; Cruciani, Angelo/G-3465-2015; Tartari, Andrea/AAE-7150-2019; Gervasi, Massimo/AAG-7022-2020; Hamilton, Jean-Christophe/AAW-8855-2020; Pisano, Giampaolo/M-7218-2016; Piacentini, Francesco/ABD-3434-2020; Zannoni, Mario/H-6391-2017</t>
  </si>
  <si>
    <t>Piacentini, Francesco/0000-0002-5444-9327; Maffei, Bruno/0000-0002-2214-5329; Tartari, Andrea/0000-0003-3082-138X; Pisano, Giampaolo/0000-0003-4302-5681; Polenta, Gianluca/0000-0003-4067-9196; Masi, Silvia/0000-0001-5105-1439; Salatino, Maria/0000-0003-4006-1134; de Bernardis, Paolo/0000-0001-6547-6446; Marnieros, Stefanos/0000-0003-0558-2807; Zannoni, Mario/0000-0002-4495-571X; Schillaci, Alessandro/0000-0002-0512-1042; Hamilton, Jean-Christophe/0000-0002-7820-8405; /0000-0002-2242-6147; Cruciani, Angelo/0000-0003-2247-8067</t>
  </si>
  <si>
    <t>Progetto Nazionale Ricerche in Antartide (PNRA); Institut Polaire Francaise Paul Emile Victor (IPEV); Science and Technology Facilities Council [ST/J001562/1] Funding Source: researchfish; STFC [ST/J001562/1] Funding Source: UKRI</t>
  </si>
  <si>
    <t>Progetto Nazionale Ricerche in Antartide (PNRA); Institut Polaire Francaise Paul Emile Victor (IPEV); Science and Technology Facilities Council(UK Research &amp; Innovation (UKRI)Science &amp; Technology Facilities Council (STFC)); STFC(UK Research &amp; Innovation (UKRI)Science &amp; Technology Facilities Council (STFC))</t>
  </si>
  <si>
    <t>This work is supported and funded by the Progetto Nazionale Ricerche in Antartide (PNRA) and the Institut Polaire Francaise Paul Emile Victor (IPEV). We are grateful for the logistical support at Dome C. We acknowledge Dr Andrea Pellegrini for the radio sound data and information obtained from the IPEV/PNRA project 'Routine Meteorological Observation at Station Concordia - http://www.climantartide.it'. We thank Ken Ganga for comments and for reviewing the paper. We acknowledge Scott Paine (Smithsonian Astrophysical Observatory) for making the am code available and for kind support. We acknowledge the anonymous referee for comments that improved the paper.</t>
  </si>
  <si>
    <t>10.1111/j.1365-2966.2012.20951.x</t>
  </si>
  <si>
    <t>956DU</t>
  </si>
  <si>
    <t>WOS:000305070900022</t>
  </si>
  <si>
    <t>Huang, JP; Mojib, N; Goli, RR; Watkins, S; Waites, KB; Ravindra, R; Andersen, DT; Bej, AK</t>
  </si>
  <si>
    <t>Huang, Jonathan P.; Mojib, Nazia; Goli, Rakesh R.; Watkins, Samantha; Waites, Ken B.; Ravindra, Rasik; Andersen, Dale T.; Bej, Asim K.</t>
  </si>
  <si>
    <t>Antimicrobial activity of PVP from an Antarctic bacterium, Janthinobacterium sp. Ant5-2, on multi-drug and methicillin resistant Staphylococcus aureus</t>
  </si>
  <si>
    <t>NATURAL PRODUCTS AND BIOPROSPECTING</t>
  </si>
  <si>
    <t>natural product; bacterial pigment; resazurin assay; minimum inhibitory concentration (MIC)</t>
  </si>
  <si>
    <t>Multiple drug resistant (MDR) and methicillin-resistant Staphylococcus aureus (MRSA) have become increasingly prevalent as a community acquired infection. As a result limited treatment options are available with conventional synthetic antibiotics. Bioprospecting natural products with potent antimicrobial activity show promise for developing new drugs against this pathogen. In this study, we have investigated the antimicrobial activity of a purple violet pigment (PVP) from an Antarctic bacterium, Janthinobacterium sp. Ant5-2 on 15 clinical MDR and MRSA strains. The colorimetric resazurin assay was employed to determine the minimum inhibitory concentration (MIC90) of PVP against MDR and MRSA. The MIC90 ranged between 1.57 mu g/mL and 3.13 mu g/mL, which are significantly lower than many antimicrobials tested from natural sources against this pathogen. The spectrophotometrically determined growth analysis and total microscopic counts using Live/dead (R) BacLight (TM) fluorescent stain exhibited a steady decrease in viability of both MDR and MRSA cultures following treatment with PVP at the MIC levels. In silico predictive molecular docking study revealed that PVP could be a DNA-targeting minor groove binding antimicrobial compound. The continued development of novel antimicrobials derived from natural sources with the combination of a suite of conventional antibiotics could stem the rising pandemic of MDR and MRSA along with other deadly microbial pathogens.</t>
  </si>
  <si>
    <t>[Huang, Jonathan P.; Mojib, Nazia; Goli, Rakesh R.; Watkins, Samantha; Bej, Asim K.] Univ Alabama Birmingham, Dept Biol, Birmingham, AL 35294 USA; [Waites, Ken B.] Univ Alabama Birmingham, Dept Pathol, Birmingham, AL 35294 USA; [Ravindra, Rasik] Nat Ctr Antarct &amp; Ocean Res, Vasco Da Gama 403804, Goa, India; [Andersen, Dale T.] SETI Inst, Carl Sagan Ctr Study Life Univ, Mountain View, CA 94043 USA; [Mojib, Nazia] King Abdullah Univ Sci &amp; Technol, Red Sea Res Ctr, Thuwal 239556900, Saudi Arabia</t>
  </si>
  <si>
    <t>University of Alabama System; University of Alabama Birmingham; University of Alabama System; University of Alabama Birmingham; Ministry of Earth Sciences (MoES) - India; National Centre for Polar and Ocean Research (NCPOR); King Abdullah University of Science &amp; Technology</t>
  </si>
  <si>
    <t>Bej, AK (corresponding author), Univ Alabama Birmingham, Dept Biol, Birmingham, AL 35294 USA.</t>
  </si>
  <si>
    <t>abej@uab.edu</t>
  </si>
  <si>
    <t>Andersen, Dale T/B-4816-2013</t>
  </si>
  <si>
    <t>Andersen, Dale T/0000-0001-8827-1259</t>
  </si>
  <si>
    <t>2192-2209</t>
  </si>
  <si>
    <t>NAT PRODUCT BIOPROSP</t>
  </si>
  <si>
    <t>Nat. Product. Bioprospecting</t>
  </si>
  <si>
    <t>10.1007/s13659-012-0021-4</t>
  </si>
  <si>
    <t>V0U0H</t>
  </si>
  <si>
    <t>WOS:000216558200002</t>
  </si>
  <si>
    <t>Ross, N; Bingham, RG; Corr, HFJ; Ferraccioli, F; Jordan, TA; Le Brocq, A; Rippin, DM; Young, D; Blankenship, DD; Siegert, MJ</t>
  </si>
  <si>
    <t>Ross, Neil; Bingham, Robert G.; Corr, Hugh F. J.; Ferraccioli, Fausto; Jordan, Tom A.; Le Brocq, Anne; Rippin, David M.; Young, Duncan; Blankenship, Donald D.; Siegert, Martin J.</t>
  </si>
  <si>
    <t>Steep reverse bed slope at the grounding line of the Weddell Sea sector in West Antarctica</t>
  </si>
  <si>
    <t>ICE-SHEET; PINE ISLAND; COLLAPSE; SATELLITE; STREAMS; SHELF; OCEAN</t>
  </si>
  <si>
    <t>The bed of the West Antarctic Ice Sheet is, in places, more than 1.5 km below sea level(1,2). It has been suggested that a positive ice-loss feedback may occur when an ice sheet's grounding line retreats across a deepening bed(1-3). Applied to the West Antarctic Ice Sheet, this process could potentially raise global sea level(4) by more than 3 m. Hitherto, attention has focussed on changes at the Siple Coast(5-7) and Amundsen Sea embayment(8-10) sectors of West Antarctica. Here, we present radio-echo sounding information from the ice sheet's third sector, the Weddell Sea embayment, that reveals a large subglacial basin immediately upstream of the grounding line. The reverse bed slope is steep, with about 400 m of decline over 40 km. The basin floor is smooth and flat, with little small-scale topography that would delay retreat, indicating that it has been covered with marine sediment(5,11) and was previously deglaciated. Upstream of the basin, well-defined glacially carved fjords with bars at their mouths testify to the position of a former ice margin about 200 km inland from the present margin. Evidence so far suggests that the Weddell Sea sector of the West Antarctic Ice Sheet has been stable, but in the light of our data we propose that the region could be near a physical threshold of substantial change.</t>
  </si>
  <si>
    <t>[Ross, Neil; Siegert, Martin J.] Univ Edinburgh, Sch GeoSci, Edinburgh EH8 9XP, Midlothian, Scotland; [Bingham, Robert G.] Univ Aberdeen, Sch Geosci, Aberdeen AB24 3UF, Scotland; [Corr, Hugh F. J.; Ferraccioli, Fausto; Jordan, Tom A.] British Antarctic Survey, Cambridge CB3 0ET, England; [Le Brocq, Anne] Univ Exeter, Coll Life &amp; Environm Sci, Exeter EX4 4RJ, Devon, England; [Rippin, David M.] Univ York, Dept Environm, York YO10 5DD, N Yorkshire, England; [Young, Duncan; Blankenship, Donald D.] Univ Texas Austin, Inst Geophys, Austin, TX 78759 USA</t>
  </si>
  <si>
    <t>University of Edinburgh; University of Aberdeen; UK Research &amp; Innovation (UKRI); Natural Environment Research Council (NERC); NERC British Antarctic Survey; University of Exeter; University of York - UK; University of Texas System; University of Texas Austin</t>
  </si>
  <si>
    <t>Ross, N (corresponding author), Univ Edinburgh, Sch GeoSci, Edinburgh EH8 9XP, Midlothian, Scotland.</t>
  </si>
  <si>
    <t>neil.ross@ed.ac.uk; m.j.siegert@ed.ac.uk</t>
  </si>
  <si>
    <t>Rippin, David Manish/AAW-5063-2021; Siegert, Martin/M-9939-2019; Siegert, Martin J/A-3826-2008; Corr, Hugh/C-5398-2011; Bingham, Robert G/G-3576-2017; Young, Duncan/G-6256-2010</t>
  </si>
  <si>
    <t>Rippin, David Manish/0000-0001-7757-9880; Siegert, Martin/0000-0002-0090-4806; Siegert, Martin J/0000-0002-0090-4806; Bingham, Robert G/0000-0002-0630-2021; Ferraccioli, Fausto/0000-0002-9347-4736; Jordan, Tom/0000-0003-2780-1986; Young, Duncan/0000-0002-6866-8176</t>
  </si>
  <si>
    <t>UK Natural Environment Research Council AFI [NE/G013071/1]; National Science Foundation [ANT-0636724]; G. Unger Vetlesen Foundation; NERC [bas0100026, NE/G014248/1, NE/G013071/1, NE/G013098/1, NE/G013098/2] Funding Source: UKRI; Natural Environment Research Council [bas0100026, NE/G014248/1, NE/G013071/1, NE/G013098/1, NE/G013098/2] Funding Source: researchfish</t>
  </si>
  <si>
    <t>UK Natural Environment Research Council AFI; National Science Foundation(National Science Foundation (NSF)); G. Unger Vetlesen Foundation; NERC(UK Research &amp; Innovation (UKRI)Natural Environment Research Council (NERC)); Natural Environment Research Council(UK Research &amp; Innovation (UKRI)Natural Environment Research Council (NERC))</t>
  </si>
  <si>
    <t>Financial support was provided by the UK Natural Environment Research Council AFI grant NE/G013071/1. C. Robinson (airborne survey engineer), I. Potten and D. Cochrane (pilots) and M. Oostlander (air mechanic) are thanked for their invaluable assistance in the field. D.Y. and D.D.B. were supported by the National Science Foundation ANT-0636724 and the G. Unger Vetlesen Foundation. We thank K. Brunt and H. Fricker for discussions regarding ICESat data and for providing an in-press copy of their recent work.</t>
  </si>
  <si>
    <t>10.1038/NGEO1468</t>
  </si>
  <si>
    <t>982XW</t>
  </si>
  <si>
    <t>WOS:000307079700013</t>
  </si>
  <si>
    <t>Barnett, A; Semmens, JM</t>
  </si>
  <si>
    <t>Barnett, Adam; Semmens, Jayson M.</t>
  </si>
  <si>
    <t>Sequential movement into coastal habitats and high spatial overlap of predator and prey suggest high predation pressure in protected areas</t>
  </si>
  <si>
    <t>MARINE PREDATOR; APEX PREDATOR; SHARK; ECOLOGY; RISK; FEAR; MIGRATION; GAME</t>
  </si>
  <si>
    <t>In theory, predators should attempt to match the distribution of their prey, and prey to avoid areas of high predation risk. However, there is a scarcity of empirical knowledge on predator and prey spatial use when both are moving freely in their natural environment. In the current study, we use information collated on a predators diet, its population structure, as well as predator and prey relative abundance, and track the movements of predator and prey simultaneously to compare habitat use and evaluate predation pressure. The study was conducted in elasmobranch protected areas of coastal Tasmania, Australia. The species considered were the broadnose sevengill shark Notorynchus cepedianus, the apex predator in the area, and five chondrichthyan prey species. Notorynchus cepedianus and its prey show similar seasonality in the use of these coastal areas: more abundant in warmer months and absent in winter. Predator and prey also showed high spatial overlap and similar habitat use patterns. These similar movement patterns of predator and prey combined with the additional ecological information (diet, population structure of predator, relative abundance of predator and prey) suggests that N. cepedianus move into coastal areas to exploit seasonally abundant prey. Also, while in protected areas, chondrichthyans are subjected to high predation pressure. Overall, results illustrate the value of simultaneously recording and integrating multiple types of information to explore predatorprey relationships and predation pressure.</t>
  </si>
  <si>
    <t>[Barnett, Adam; Semmens, Jayson M.] Univ Tasmania, Fisheries Aquaculture &amp; Coasts Ctr, Inst Marine &amp; Antarctic Studies Tasmania, Hobart, Tas 7001, Australia</t>
  </si>
  <si>
    <t>Barnett, A (corresponding author), Univ Tasmania, Fisheries Aquaculture &amp; Coasts Ctr, Inst Marine &amp; Antarctic Studies Tasmania, Private Bag 49, Hobart, Tas 7001, Australia.</t>
  </si>
  <si>
    <t>adam.barnett@utas.edu.au</t>
  </si>
  <si>
    <t>, Adam/0000-0001-7430-8428; Semmens, Jayson/0000-0003-1742-6692</t>
  </si>
  <si>
    <t>Save Our Seas Foundation; Winifred Violet Scott Foundation; Holsworth Wildlife Research Endowment</t>
  </si>
  <si>
    <t>We would like to thank E. Forbes, J. Yick, K. Abrantes and D. Jones for field assistance, the TAFI habitat mapping section for supplying mapping information. D. Ebert for discussions on the topic of the paper. The Australian Animal Tagging And Monitoring System (AATAMS) for providing 12 receivers. This study was supported by grants from the Save Our Seas Foundation, Winifred Violet Scott Foundation and the Holsworth Wildlife Research Endowment.</t>
  </si>
  <si>
    <t>10.1111/j.1600-0706.2011.20000.x</t>
  </si>
  <si>
    <t>946XD</t>
  </si>
  <si>
    <t>WOS:000304389900009</t>
  </si>
  <si>
    <t>Scalzi, G; Selbmann, L; Zucconi, L; Rabbow, E; Horneck, G; Albertano, P; Onofri, S</t>
  </si>
  <si>
    <t>Scalzi, Giuliano; Selbmann, Laura; Zucconi, Laura; Rabbow, Elke; Horneck, Gerda; Albertano, Patrizia; Onofri, Silvano</t>
  </si>
  <si>
    <t>LIFE Experiment: Isolation of Cryptoendolithic Organisms from Antarctic Colonized Sandstone Exposed to Space and Simulated Mars Conditions on the International Space Station</t>
  </si>
  <si>
    <t>ORIGINS OF LIFE AND EVOLUTION OF BIOSPHERES</t>
  </si>
  <si>
    <t>11th European Workshop on Astrobiology of the European-Astrobiology-Network-Association (EANA)</t>
  </si>
  <si>
    <t>JUL 11-14, 2011</t>
  </si>
  <si>
    <t>German Aerosp Ctr, Cologne, GERMANY</t>
  </si>
  <si>
    <t>German Aerosp Ctr</t>
  </si>
  <si>
    <t>Antarctic colonized rocks; EXPOSE-E; International space station; Lithopanspermia; Lichens and Fungi Experiment</t>
  </si>
  <si>
    <t>ENDOLITHIC MICROORGANISMS; NATURAL TRANSFER; VIABLE MICROBES; CHLOROPHYTA; SURVIVE; PLANETS; LICHENS; MODELS; FUNGI</t>
  </si>
  <si>
    <t>Desiccated Antarctic rocks colonized by cryptoendolithic communities were exposed on the International Space Station (ISS) to space and simulated Mars conditions (LiFE-Lichens and Fungi Experiment). After 1.5 years in space samples were retrieved, rehydrated and spread on different culture media. Colonies of a green alga and a pink-coloured fungus developed on Malt-Agar medium; they were isolated from a sample exposed to simulated Mars conditions beneath a 0.1 % T Suprasil neutral density filter and from a sample exposed to space vacuum without solar radiation exposure, respectively. None of the other flight samples showed any growth after incubation. The two organisms able to grow were identified at genus level by Small SubUnit (SSU) and Internal Transcribed Spacer (ITS) rDNA sequencing as Stichococcus sp. (green alga) and Acarospora sp. (lichenized fungal genus) respectively. The data in the present study provide experimental information on the possibility of eukaryotic life transfer from one planet to another by means of rocks and of survival in Mars environment.</t>
  </si>
  <si>
    <t>[Scalzi, Giuliano; Selbmann, Laura; Zucconi, Laura; Onofri, Silvano] Univ Tuscia, Dept Ecol &amp; Biol Sci DEB, I-01100 Viterbo, Italy; [Rabbow, Elke; Horneck, Gerda] German Aerosp Ctr, Inst Aerosp Med, D-51170 Cologne, Germany; [Albertano, Patrizia] Univ Roma Tor Vergata, Dept Biol, I-00133 Rome, Italy</t>
  </si>
  <si>
    <t>Tuscia University; Helmholtz Association; German Aerospace Centre (DLR); University of Rome Tor Vergata</t>
  </si>
  <si>
    <t>Scalzi, G (corresponding author), Univ Tuscia, Dept Ecol &amp; Biol Sci DEB, Largo Univ Snc, I-01100 Viterbo, Italy.</t>
  </si>
  <si>
    <t>scalzig@gmail.com</t>
  </si>
  <si>
    <t>Zucconi, L./U-9781-2018; Selbmann, Laura/L-3056-2013</t>
  </si>
  <si>
    <t>Zucconi, L./0000-0001-9793-2303; Selbmann, Laura/0000-0002-8967-3329; ONOFRI, Silvano/0000-0001-8872-1440</t>
  </si>
  <si>
    <t>0169-6149</t>
  </si>
  <si>
    <t>1573-0875</t>
  </si>
  <si>
    <t>ORIGINS LIFE EVOL B</t>
  </si>
  <si>
    <t>Orig. Life Evol. Biosph.</t>
  </si>
  <si>
    <t>2-3</t>
  </si>
  <si>
    <t>10.1007/s11084-012-9282-5</t>
  </si>
  <si>
    <t>968MM</t>
  </si>
  <si>
    <t>WOS:000305985800014</t>
  </si>
  <si>
    <t>Escutia, C; Bentley, MJ; Florindo, F; DeConto, RM</t>
  </si>
  <si>
    <t>Escutia, Carlota; Bentley, Michael J.; Florindo, Fabio; DeConto, Robert M.</t>
  </si>
  <si>
    <t>Cenozoic evolution of Antarctic climates, oceans and ice sheets: An introduction Preface</t>
  </si>
  <si>
    <t>GLACIATION; CIRCULATION</t>
  </si>
  <si>
    <t>[Escutia, Carlota] Univ Granada, CSIC, Inst Andaluz Ciencias Tierra, Granada 18100, Spain; [Bentley, Michael J.] Univ Durham, Dept Geog, Durham DH1 3LE, England; [Florindo, Fabio] Ist Nazl Geofis &amp; Vulcanol, I-00143 Rome, Italy; [DeConto, Robert M.] Univ Massachusetts, Dept Geosci, Morrill Sci Ctr 233, Amherst, MA 01003 USA</t>
  </si>
  <si>
    <t>Consejo Superior de Investigaciones Cientificas (CSIC); CSIC - Instituto Andaluz de Ciencias de la Tierra (IACT); University of Granada; Durham University; Istituto Nazionale Geofisica e Vulcanologia (INGV); University of Massachusetts System; University of Massachusetts Amherst</t>
  </si>
  <si>
    <t>Escutia, C (corresponding author), Univ Granada, CSIC, Inst Andaluz Ciencias Tierra, Av Palmeras 4, Granada 18100, Spain.</t>
  </si>
  <si>
    <t>Florindo, Fabio/AAU-2548-2021; Florindo, Fabio/M-1459-2019; Escutia, Carlota/B-8614-2015; Bentley, Michael J/F-7386-2011; Florindo, Fabio/F-4119-2010</t>
  </si>
  <si>
    <t>Florindo, Fabio/0000-0002-6058-9748; Bentley, Michael J/0000-0002-2048-0019; Florindo, Fabio/0000-0002-6058-9748</t>
  </si>
  <si>
    <t>10.1016/j.palaeo.2012.04.005</t>
  </si>
  <si>
    <t>WOS:000305378600001</t>
  </si>
  <si>
    <t>Wilson, DS; Jamieson, SSR; Barrett, PJ; Leitchenkov, G; Gohl, K; Larter, RD</t>
  </si>
  <si>
    <t>Wilson, Douglas S.; Jamieson, Stewart S. R.; Barrett, Peter J.; Leitchenkov, German; Gohl, Karsten; Larter, Robert D.</t>
  </si>
  <si>
    <t>Antarctic topography at the Eocene-Oligocene boundary</t>
  </si>
  <si>
    <t>Topography; Tectonics; Glacial erosion; Reconstruction; Antarctica</t>
  </si>
  <si>
    <t>DRONNING MAUD LAND; MARIE-BYRD-LAND; CENOZOIC LANDSCAPE EVOLUTION; FENNOSCANDIAN ICE-SHEET; EAST ANTARCTICA; WEST ANTARCTICA; CONTINENTAL-MARGIN; CRUSTAL STRUCTURE; WEDDELL SEA; TRANSANTARCTIC MOUNTAINS</t>
  </si>
  <si>
    <t>We present a reconstruction of the Antarctic topography at the Eocene-Oligocene (ca. 34 Ma) climate transition. This provides a realistic key boundary condition for modeling the first big Antarctic ice sheets at this time instead of using the present day bedrock topography, which has changed significantly from millions of years of tectonism and erosion. We reconstruct topography using a set of tools including ice sheet-erosion models, models of thermal subsidence and plate movement. Erosion estimates are constrained with offshore sediment volumes estimated from seismic stratigraphy. Maximum and minimum topographic reconstructions are presented as indicators of the range of uncertainty. Our results point to a significant upland area in the Ross Sea/Marie Byrd Land and Weddell Sea sectors. In addition, East Antarctic coastal troughs are much shallower than today due to the restoration of material that has been selectively eroded by the evolving ice sheets. Parts of East Antarctica have not changed since the E-O boundary because they were protected under non-erosive cold-based ice. The reconstructions provide a better-defined boundary condition for modeling that seeks to understand interaction between the Antarctic ice sheet and climate, along with more robust estimates of past ice volumes under a range of orbital settings and greenhouse gas concentrations. (c) 2011 Elsevier B.V. All rights reserved.</t>
  </si>
  <si>
    <t>[Wilson, Douglas S.] Univ Calif Santa Barbara, Inst Marine Sci, Santa Barbara, CA 93106 USA; [Jamieson, Stewart S. R.] Univ Durham, Dept Geog, Durham DH1 3LE, England; [Barrett, Peter J.] Victoria Univ Wellington, Antarctic Res Ctr, Wellington, New Zealand; [Leitchenkov, German] Inst Geol &amp; Mineral Resources World Ocean, St Petersburg, Russia; [Gohl, Karsten] Alfred Wegener Inst Polar &amp; Marine Res, D-27515 Bremerhaven, Germany; [Larter, Robert D.] British Antarctic Survey, Cambridge CB3 0ET, England</t>
  </si>
  <si>
    <t>University of California System; University of California Santa Barbara; Durham University; Victoria University Wellington; Helmholtz Association; Alfred Wegener Institute, Helmholtz Centre for Polar &amp; Marine Research; UK Research &amp; Innovation (UKRI); Natural Environment Research Council (NERC); NERC British Antarctic Survey</t>
  </si>
  <si>
    <t>Wilson, DS (corresponding author), Univ Calif Santa Barbara, Inst Marine Sci, Santa Barbara, CA 93106 USA.</t>
  </si>
  <si>
    <t>dwilson@geol.ucsb.edu; Stewart.Jamieson@dur.ac.uk</t>
  </si>
  <si>
    <t>Jamieson, Stewart S.R./B-8330-2013</t>
  </si>
  <si>
    <t>Jamieson, Stewart S.R./0000-0002-9036-2317; Leitchenkov, German/0000-0001-6316-8511; Gohl, Karsten/0000-0002-9558-2116; Larter, Robert/0000-0002-8414-7389</t>
  </si>
  <si>
    <t>Scientific Committee for Antarctic Research; Antarctic Climate Evolution program; Natural Environmental Research Council UK; National Science Foundation [0342484]; Natural Environment Research Council [bas0100027] Funding Source: researchfish; NERC [bas0100027] Funding Source: UKRI</t>
  </si>
  <si>
    <t>Scientific Committee for Antarctic Research; Antarctic Climate Evolution program; Natural Environmental Research Council UK(UK Research &amp; Innovation (UKRI)Natural Environment Research Council (NERC)); National Science Foundation(National Science Foundation (NSF)); Natural Environment Research Council(UK Research &amp; Innovation (UKRI)Natural Environment Research Council (NERC)); NERC(UK Research &amp; Innovation (UKRI)Natural Environment Research Council (NERC))</t>
  </si>
  <si>
    <t>We are grateful to the Scientific Committee for Antarctic Research and to the Antarctic Climate Evolution program for funding and to the ANTscape working group (www.antscape.org) for the discussions from which this paper was developed. We thank Graeme Eagles and an anonymous reviewer for their constructive criticism and encouraging comments. Stewart Jamieson was funded by the Natural Environmental Research Council UK. This material is based upon work supported by the National Science Foundation under Cooperative Agreement No. 0342484 through subawards administered and issued by the ANDRILL Science Management Office at the University of Nebraska-Lincoln, as part of the ANDRILL U.S. Science Support Program.</t>
  </si>
  <si>
    <t>10.1016/j.palaeo.2011.05.028</t>
  </si>
  <si>
    <t>WOS:000305378600004</t>
  </si>
  <si>
    <t>Fogwill, CJ; Hein, AS; Bentley, MJ; Sugden, DE</t>
  </si>
  <si>
    <t>Fogwill, Christopher J.; Hein, Andrew S.; Bentley, Michael J.; Sugden, David E.</t>
  </si>
  <si>
    <t>Do blue-ice moraines in the Heritage Range show the West Antarctic ice sheet survived the last interglacial?</t>
  </si>
  <si>
    <t>Blue-ice moraine; West Antarctic Ice Sheet; Geomorphology; Last Glacial cycle</t>
  </si>
  <si>
    <t>SEA-LEVEL FLUCTUATIONS; MARIE-BYRD-LAND; GLACIAL MAXIMUM; EXPOSURE AGES; AMS STANDARDS; GREENLAND; HISTORY; EROSION; BE-10; AREAS</t>
  </si>
  <si>
    <t>We present a hypothesis that best explains cosmogenic isotope data on blue-ice moraines in the Heritage Range, West Antarctica. The age of the moraines implies that they, and the related ice-sheet surface with which they are associated, have persisted on the flanks of nunataks throughout at least the last interglacial/glacial cycle. The implication is that although the West Antarctic: Ice Sheet (WAIS) may have fluctuated in thickness during glacial cycles, the central dome has remained intact for at least 200 kyr and possibly even for 400 kyr. Such a finding, if substantiated, would contribute to our understanding of the sensitivity of the WAIS to climate change. Further it would be a powerful geomorphic constraint on models of the past behaviour of the ice sheet during glacial cycles and thus those predicting the future of the ice sheet in a warming world. (c) 2011 Elsevier B.V. All rights reserved.</t>
  </si>
  <si>
    <t>[Hein, Andrew S.; Sugden, David E.] Univ Edinburgh, Sch Geosci, Edinburgh EH8 9XP, Midlothian, Scotland; [Fogwill, Christopher J.] Univ Exeter, Sch Geog, Exeter EX4 4QJ, Devon, England; [Bentley, Michael J.] Univ Durham, Dept Geog, Durham DH1 3LE, England</t>
  </si>
  <si>
    <t>University of Edinburgh; University of Exeter; Durham University</t>
  </si>
  <si>
    <t>Sugden, DE (corresponding author), Univ Edinburgh, Sch Geosci, Edinburgh EH8 9XP, Midlothian, Scotland.</t>
  </si>
  <si>
    <t>C.J.Fogwill@exeter.ac.uk; Andy.Hein@ed.ac.uk; M.J.Bentley@durham.ac.uk; David.Sugden@ed.ac.uk</t>
  </si>
  <si>
    <t>Hein, Andrew/JWO-3756-2024; Bentley, Michael J/F-7386-2011; Fogwill, Chris/AAW-3502-2021; Fogwill, Christopher/HPF-1150-2023</t>
  </si>
  <si>
    <t>Bentley, Michael J/0000-0002-2048-0019; Fogwill, Chris/0000-0002-6471-1106; Hein, Andrew/0000-0003-3397-3813</t>
  </si>
  <si>
    <t>UK Natural Environment Research Council; Natural Environment Research Council [NE/F014260/1] Funding Source: researchfish; NERC [NE/F014260/1]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</si>
  <si>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</si>
  <si>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The research was funded by the UK Natural Environment Research Council. We acknowledge the contribution of SUERC, where the AMS analyses were carried out and the work of Elaine McDougall (Edinburgh) who prepared many samples. Antarctic Logistics and Expeditions provided the logistic support expertly.</t>
  </si>
  <si>
    <t>10.1016/j.palaeo.2011.01.027</t>
  </si>
  <si>
    <t>WOS:000305378600008</t>
  </si>
  <si>
    <t>Martinson, DG</t>
  </si>
  <si>
    <t>Martinson, Douglas G.</t>
  </si>
  <si>
    <t>Antarctic circumpolar current's role in the Antarctic ice system: An overview</t>
  </si>
  <si>
    <t>Antarctic Circumpolar Current; Ocean heat; Antarctica; Glacial ice; Sea level rise</t>
  </si>
  <si>
    <t>SEA-ICE; SOUTHERN-OCEAN; CLIMATE-CHANGE; PENINSULA; TEMPERATURE; EVOLUTION; FRONTS; LAYER</t>
  </si>
  <si>
    <t>The Antarctic Circumpolar Current (ACC) provides fundamental control on the Antarctic ice system. The tilt of the isopycnals of the ACC, in response to strong westerlies, serves to thermally isolate the Antarctic continent from directly receiving the overwhelming subtropical ocean surface heat. This same tilt provides the northern boundary of the polar seas; as such it contains the statically stable cold fresh surface polar waters required for sea ice formation. In this manner it effectively sets the northern limit for seasonal sea ice formation. The isopycnal tilt also allows warm deep water to upwell to the surface near the continental margin in western Antarctica where the ACC skirts the continental shelf, leading to excessive ocean heat flux to the atmosphere in winter, and providing heat to melt the underside of the glacial ice. (c) 2011 Elsevier B.V. All rights reserved.</t>
  </si>
  <si>
    <t>[Martinson, Douglas G.] Lamont Doherty Earth Observ, Div Ocean &amp; Climate Phys, Palisades, NY 10964 USA; [Martinson, Douglas G.] Columbia Univ, Dept Earth &amp; Environm Sci, Palisades, NY 10964 USA</t>
  </si>
  <si>
    <t>Columbia University; Columbia University</t>
  </si>
  <si>
    <t>Martinson, DG (corresponding author), Lamont Doherty Earth Observ, Div Ocean &amp; Climate Phys, 61 Route 9W, Palisades, NY 10964 USA.</t>
  </si>
  <si>
    <t>dgm@ldeo.columbia.edu</t>
  </si>
  <si>
    <t>NSF [LTER 0217282, 0823101]; SASSI</t>
  </si>
  <si>
    <t>NSF(National Science Foundation (NSF)); SASSI</t>
  </si>
  <si>
    <t>Thanks to the organizers of the ACE Symposium for asking me to participate in that interesting forum, and providing helpful comments for this paper. And, thanks, as always to Richard A. Iannuzzi who contributed heavily to the analyses and figures, and provided insightful science and editorial suggestions. Deepa Manandhar contributed to the figures and references. Thanks to the crew, staff and Raytheon Polar Services and our own LTER science support teams on our numerous LTER cruises aboard the RVIB LM Gould; all cooperated fully to help us acquire the data needed to answer the questions we were addressing. This work was supported by NSF grants: LTER 0217282 and 0823101, and SASSI. NOAA grant: NA08OAR4320912. This paper is LTER contribution 381 and Lamont contribution 7464.</t>
  </si>
  <si>
    <t>10.1016/j.palaeo.2011.04.007</t>
  </si>
  <si>
    <t>WOS:000305378600009</t>
  </si>
  <si>
    <t>Houben, AJP; van Mourik, CA; Montanari, A; Coccioni, R; Brinkhuis, H</t>
  </si>
  <si>
    <t>Houben, Alexander J. P.; van Mourik, Caroline A.; Montanari, Alessandro; Coccioni, Rodolfo; Brinkhuis, Henk</t>
  </si>
  <si>
    <t>The Eocene-Oligocene transition: Changes in sea level, temperature or both?</t>
  </si>
  <si>
    <t>Sea level; Eocene-Oligocene transition; Organic walled dinoflagellate cysts; Temperature</t>
  </si>
  <si>
    <t>DINOFLAGELLATE CYSTS; COASTAL-PLAIN; CLIMATE; BIOSTRATIGRAPHY; GREENHOUSE; BOUNDARY; ATLANTIC; MAGNETOSTRATIGRAPHY; ASSEMBLAGES; CALIBRATION</t>
  </si>
  <si>
    <t>The Eocene-Oligocene Transition (EOT similar to 34 Ma) reflects the onset of major Antarctic glaciation. The primary geochemical signature of the EOT is two similar to 300 kyr spaced shifts in increasing deep-sea oxygen isotope values, possibly reflecting both global cooling a nd/or increasing ice volume. A way to assess the respective contribution of continental ice is to quantify concomitant glacio-eustatic sea level change. This is usually expressed in relatively shallow marine depositional settings. One potentially suitable region is in the Vicentinian Alps, NE Italy, where marginal marine deposits document sea level changes during the;EOT. By correlating stable isotope-, bio- and magnetostratigraphic information between three distant regions, we are able to relate the shallow marine sections to the Pacific oxygen isotope record from Ocean Drilling Program (ODP) Site 1218 of Coxall et al. (2005). Microfacies, sedimentological, and biotic analysis suggests that associated with the first isotope shift (EOT-1) sea level fell similar to 20 m, and with the ultimate shift, the Oligocene Isotope Event 1 (Oi-1) sea level fell some 50-60 m. Distribution patterns of temperature sensitive dinoflagellates from a coeval central Italian section reveal that the early stages of the EOT were accompanied by sea surface cooling, whereas no sustained cooling is noted in association with the Oi-1. This suggests that the initial EOT shift(s) reflect a mixed signal of ice volume and temperature whereas the Oi-1 primarily reflects expansion of the Antarctic cryosphere. (c) 2011 Elsevier B.V. All rights reserved.</t>
  </si>
  <si>
    <t>[Houben, Alexander J. P.; Brinkhuis, Henk] Univ Utrecht, Lab Palaeobot &amp; Palynol, Inst Environm Biol, NL-3584 CD Utrecht, Netherlands; [van Mourik, Caroline A.] Univ Stockholm, Dept Geol &amp; Geochem, S-10691 Stockholm, Sweden; [Montanari, Alessandro] Osservatorio Geol Coldigioco, I-62020 Frontale Di Apiro, Italy; [Coccioni, Rodolfo] Univ Urbino, Inst Geol, I-61209 Urbino, Italy; [Coccioni, Rodolfo] Univ Urbino, Ctr Geobiol, I-61209 Urbino, Italy</t>
  </si>
  <si>
    <t>Utrecht University; Stockholm University; University of Urbino; University of Urbino</t>
  </si>
  <si>
    <t>Houben, AJP (corresponding author), Univ Utrecht, Lab Palaeobot &amp; Palynol, Inst Environm Biol, Budapestlaan 4, NL-3584 CD Utrecht, Netherlands.</t>
  </si>
  <si>
    <t>A.J.P.Houben@uu.nl</t>
  </si>
  <si>
    <t>Brinkhuis, Henk/IUO-8165-2023</t>
  </si>
  <si>
    <t>Brinkhuis, Henk/0000-0003-0253-6610; Houben, Alexander/0000-0002-9497-1048; COCCIONI, Rodolfo/0000-0003-2333-4030</t>
  </si>
  <si>
    <t>Statoil</t>
  </si>
  <si>
    <t>Statoil is greatly acknowledged for financial support. Discussions with Lucas Lourens, Frits Hilgen, Ben Slotnick, Stephen Schellenberg and Heiko Palike are much appreciated. We are grateful to Helen Coxall and Bridget Wade for their very constructive reviews.</t>
  </si>
  <si>
    <t>10.1016/j.palaeo.2011.04.008</t>
  </si>
  <si>
    <t>WOS:000305378600010</t>
  </si>
  <si>
    <t>Cantero, ALP</t>
  </si>
  <si>
    <t>Pena Cantero, Alvaro Luis</t>
  </si>
  <si>
    <t>Filling biodiversity gaps: benthic hydroids from the Bellingshausen Sea (Antarctica)</t>
  </si>
  <si>
    <t>Biodiversity; Biogeography; Hydrozoa; New records; New species; Southern Ocean</t>
  </si>
  <si>
    <t>SYMPLECTOSCYPHUS MARKTANNER-TURNERETSCHER; SCHIZOTRICHA ALLMAN; STAUROTHECA ALLMAN; CNIDARIA HYDROZOA; R.V. POLARSTERN; EXPEDITIONS; SERTULARIIDAE; OCEAN; GENUS; LAFOEIDAE</t>
  </si>
  <si>
    <t>The Bellingshausen Sea constitutes the third largest sea in the Southern Ocean, though it is widely recognized as one of the less-studied Antarctic areas. To reduce this lack of knowledge, a survey to study the biodiversity of its marine benthic communities was carried out during the Bentart 2003 and Bentart 2006 Spanish Antarctic expeditions. The study of the hydroid collection has provided 27 species, belonging to ten families and 15 genera. Twenty-one out of the 27 species constitute new records for the Bellingshausen Sea, raising the total number of known species to 37, as also do nine out of the 15 genera. Candelabrum penola, Lafoea annulata, and Staurotheca juncea are recorded for the second time. Most species belong to Leptothecata. Sertulariidae with 13 species (48%) is by far the most speciose family, and Symplectoscyphus with seven species (26%), including S. bellingshauseni sp. nov. and S. hesperides sp. nov., the most diverse genus. Considering the whole benthic hydroid fauna of the Bellingshausen Sea, 18 species (69%) are endemic to Antarctic waters, either with a circum-Antarctic (12 species, 46%) or West Antarctic (6 species, 23%) distribution, 23 (88%) are restricted to Antarctic or Antarctic/sub-Antarctic waters, and only three species have a wider distribution. Bellingshausen Sea hydroid fauna is composed of a relatively high diversity of typical representatives of the Antarctic benthic hydroid fauna, though with a surprisingly low representation of some of the most diverse and widespread Antarctic genera (Oswaldella and Schizotricha), what could be related to the fact that its shelf-inhabiting hydroid fauna remains practically unknown.</t>
  </si>
  <si>
    <t>Univ Valencia, Inst Cavanilles Biodiversidad &amp; Biol Evolut ICBiB, Valencia 46071, Spain</t>
  </si>
  <si>
    <t>University of Valencia</t>
  </si>
  <si>
    <t>Cantero, ALP (corresponding author), Univ Valencia, Inst Cavanilles Biodiversidad &amp; Biol Evolut ICBiB, Apdo Correos 22085, Valencia 46071, Spain.</t>
  </si>
  <si>
    <t>Alvaro.l.pena@uv.es</t>
  </si>
  <si>
    <t>Cantero, Álvaro Luis Peña/F-7888-2016</t>
  </si>
  <si>
    <t>Pena Cantero, Alvaro/0000-0003-3056-6673</t>
  </si>
  <si>
    <t>Ministerio de Ciencia e Innovacion of Spain [CTM2009-11128ANT]; Fondo Europeo de Desarrollo Regional (FEDER); Ministerio de Educacion y Ciencia [REN2001-1074/ANT]; Ministerio de Ciencia y Tecnologia of Spain [CG/2004-01856]</t>
  </si>
  <si>
    <t>Ministerio de Ciencia e Innovacion of Spain(Spanish Government); Fondo Europeo de Desarrollo Regional (FEDER)(European Union (EU)Spanish Government); Ministerio de Educacion y Ciencia(Spanish Government); Ministerio de Ciencia y Tecnologia of Spain(Spanish Government)</t>
  </si>
  <si>
    <t>I wish to thank Dr. Jose Luis Sanz Alonso from the Instituto Espanol de Oceanografia for his help in the elaboration of Fig. 1. Bentart 2003 and Bentart 2006 campaigns were funded, respectively, by the Ministerio de Educacion y Ciencia (Ref. REN2001-1074/ANT) and the Ministerio de Ciencia y Tecnologia (Ref. CG/2004-01856) of Spain. This study was developed thanks to a research project (Ref. CTM2009-11128ANT) funded by the Ministerio de Ciencia e Innovacion of Spain and the Fondo Europeo de Desarrollo Regional (FEDER).</t>
  </si>
  <si>
    <t>10.1007/s00300-011-1130-y</t>
  </si>
  <si>
    <t>933JJ</t>
  </si>
  <si>
    <t>WOS:000303356600004</t>
  </si>
  <si>
    <t>Hoffman, JI; Clark, MS; Amos, W; Peck, LS</t>
  </si>
  <si>
    <t>Hoffman, J. I.; Clark, M. S.; Amos, W.; Peck, L. S.</t>
  </si>
  <si>
    <t>Widespread amplification of amplified fragment length polymorphisms (AFLPs) in marine Antarctic animals</t>
  </si>
  <si>
    <t>Genetic marker; Antarctica; Polar; Marine biota; Population structure; Genetic diversity; Life history</t>
  </si>
  <si>
    <t>POPULATION GENETIC-STRUCTURE; BIVALVE LATERNULA-ELLIPTICA; MICROSATELLITE LOCI; LARVAL DEVELOPMENT; GENOTYPING ERRORS; SIZE HOMOPLASY; PELAGIC LARVAE; MCMURDO SOUND; GENOME SCAN; DIVERSITY</t>
  </si>
  <si>
    <t>Although recent years have witnessed a rapid growth in the number of genetic studies of Antarctic organisms, relatively few studies have so far used nuclear markers, possibly due to the perceived cost and difficulty of isolating markers such as microsatellites. However, an often overlooked alternative is to use amplified fragment length polymorphisms (AFLPs), a versatile and low-cost method capable of generating large numbers of predominantly nuclear loci in virtually any organism. We conducted a literature review of population genetic studies of Antarctic organisms, finding that fewer than 10% used AFLPs. Moreover, a strong taxonomic bias was found, with studies employing mitochondrial DNA or microsatellites focussing predominantly on animals, while those using AFLPs were mostly of plants or lower organisms. Consequently, we explored the extent to which AFLPs amplify across a range of Antarctic marine animal taxa by genotyping eight individuals each of twelve different species, ranging from echinoderms through soft corals to pelagic fish, at four selective primer combinations. AFLPs readily amplified across all of the taxa, generating between 32 and 84 loci per species, with on average 56.5% of these being polymorphic. In general, levels of polymorphism bore little relationship with expectations based on larger populations of broadcast-spawning species being more variable, though we did find a tentative positive correlation between the number of AFLP bands amplified and a measure of effective population size. Our study lends further support for the utility and ease of use of AFLPs and their suitability for studies of Antarctic species across a wide range of taxa.</t>
  </si>
  <si>
    <t>[Hoffman, J. I.] Univ Bielefeld, Dept Anim Behav, D-33501 Bielefeld, Germany; [Clark, M. S.; Peck, L. S.] British Antarctic Survey, Nat Environm Res Council, Cambridge CB3 0ET, England; [Amos, W.] Univ Cambridge, Dept Zool, Cambridge CB2 3EJ, England</t>
  </si>
  <si>
    <t>University of Bielefeld; UK Research &amp; Innovation (UKRI); Natural Environment Research Council (NERC); NERC British Antarctic Survey; University of Cambridge</t>
  </si>
  <si>
    <t>j_i_hoffman@hotmail.com</t>
  </si>
  <si>
    <t>Hoffman, Joseph/K-7725-2012; Clark, Melody/D-7371-2014</t>
  </si>
  <si>
    <t>Hoffman, Joseph/0000-0001-5895-8949; Clark, Melody/0000-0002-3442-3824</t>
  </si>
  <si>
    <t>NERC British Antarctic Survey (BAS); NERC [dml011000, bas0100025] Funding Source: UKRI; Natural Environment Research Council [dml011000, bas0100025] Funding Source: researchfish</t>
  </si>
  <si>
    <t>NERC British Antarctic Survey (BAS)(UK Research &amp; Innovation (UKRI)Natural Environment Research Council (NERC)); NERC(UK Research &amp; Innovation (UKRI)Natural Environment Research Council (NERC)); Natural Environment Research Council(UK Research &amp; Innovation (UKRI)Natural Environment Research Council (NERC))</t>
  </si>
  <si>
    <t>We thank all members of the Rothera dive team for providing samples, Peter Fretwell for preparing Fig. 1 and Elaine Fitzcharles for performing the DNA extractions. Overall dive support was provided by the Natural Environment Research Council (NERC) National Facility for Scientific Diving at Oban. JIH was funded by a NERC British Antarctic Survey (BAS) Strategic Alliance Fellowship. This work was conducted by MSC and LSP within the Adaptations and Physiology Work Package as part of the BAS Polar Sciences for Planet Earth programme.</t>
  </si>
  <si>
    <t>10.1007/s00300-011-1139-2</t>
  </si>
  <si>
    <t>WOS:000303356600010</t>
  </si>
  <si>
    <t>Zhang, SH; Zhao, Y; Liu, XC; Liu, YS; Hou, KJ; Li, CF; Ye, H</t>
  </si>
  <si>
    <t>Zhang, Shuan-Hong; Zhao, Yue; Liu, Xiao-Chun; Liu, Yong-Sheng; Hou, Ke-Jun; Li, Chao-Feng; Ye, Hao</t>
  </si>
  <si>
    <t>U-Pb geochronology and geochemistry of the bedrocks and moraine sediments from the Windmill Islands: Implications for Proterozoic evolution of East Antarctica</t>
  </si>
  <si>
    <t>Zircon U-Pb dating; Nd-Hf isotopes; Charnockite; Detrital zircons; Moraines; Proterozoic; Subglacial geology; Windmill Islands; Wilkes Land; East Antarctica; Columbia; Rodinia</t>
  </si>
  <si>
    <t>ALBANY-FRASER OROGEN; TRACE-ELEMENT ANALYSES; TERRE ADELIE CRATON; GAMBURTSEV SUBGLACIAL MOUNTAINS; GEORGE-V-LAND; BUNGER-HILLS; DETRITAL ZIRCONS; PRYDZ BAY; ICP-MS; PALEOPROTEROZOIC TECTONICS</t>
  </si>
  <si>
    <t>Zircon LA-ICP-MS U-Pb geochronology and geochemistry on representative bedrocks and moraine sediments in the Windmill Islands in Wilkes Land, East Antarctica were performed to characterize the age and origin of main rocks as well as the lithology and age of ice-covered basement in this sector of East Antarctica. Zircon U-Pb dating on two garnet-bearing granite gneisses and one foliated garnet-bearing granite from Bailey Peninsula yield weighted mean (207)pb/Pb-206 ages of 1247 +/- 13 Ma, 1258 +/- 12 Ma and 1242 +/- 13 Ma, respectively, which are interpreted as emplacement ages of these rocks. Igneous inherited zircons in these rocks yield a weighted mean (207)pb/Pb-206 age of 1372 +/- 13 Ma, indicating existence of a ca. 1.37 Ga igneous activity in the Windmill Islands. Both garnet-bearing granite gneisses and foliated garnet-bearing granites from Bailey Peninsula are characterized by similar geochemical and isotopic compositions and were likely produced by partial melting of predominantly Paleoproterozoic ancient crustal materials at 1.24-1.25 Ga. Zircon U-Pb analyses on two charnockite samples from Robinson Ridge yield weighted mean (207)pb/Pb-206 ages of 1196 +/- 8 Ma and 1205 +/- 13 Ma, respectively, indicating emplacement of the Ardery Charnockite at ca. 1.20 Ga. The charnockites were likely produced by partial melting of the ancient mafic lower crust heated by underplated basaltic magma during the D-2 cycle at late stage of the granulite facies metamorphism, and some lithospheric mantle materials could be involved during formation of these rocks. U-Pb analyses of detrital zircons from sand-sized moraine sediments yield concordant Pb-207/Pb-206 ages mainly ranging from ca. 1368 Ma to ca. 1107 Ma with main magmatic zircon populations at ca. 1107 Ma, 1150-1160 Ma, ca. 1196 Ma, 1231-1255 Ma, ca. 1317 Ma and ca. 1368 Ma, respectively. Some old zircon populations at ca. 1411 Ma to ca. 2360 Ma, which are considered to be derived from recycling of the Proterozoic metapsammitic gneiss rocks, have been identified. Their zircon Hf isotopic model ages (T-DM(C)) are mainly around 1.6-2.4 Ga. The absence of Archean zircons in moraines suggests that the crust of Law Dome and inland areas of Wilkes Land are dominated by Palaeo-Mesoproterozoic rocks, which is consistent with the vast majority of the Nd-Hf isotopic data presented. Abundant Mesoproterzoic zircons from ca. 1107 Ma to ca. 1533 Ma in moraines indicate the crustal rocks in the Windmill Island and its inland areas are mainly formed in the Mesoproterozoic. The ages and Hf isotopic compositions of these moraine zircons are comparable with those of the bedrocks in the Windmill Islands, indicating that subglacial rock compositions of Law Dome and the inland areas of Wilkes Land are similar to the rock composition of the Windmill Islands area. Law Dome and the inland areas of Wilkes Land are probablly a similar Mesproterozoic high-grade metamorphic terrane as the Windmill Islands in East Antarctica. Our results also confirmed that there is no evidence for Pan-African tectonothermal events and the Windmill Islands and its inland areas are not affected by Pan-African tectonism and magmatism. (C) 2012 Elsevier B.V. All rights reserved.</t>
  </si>
  <si>
    <t>[Zhang, Shuan-Hong; Zhao, Yue; Liu, Xiao-Chun; Ye, Hao] Chinese Acad Geol Sci, Inst Geomech, Beijing 100081, Peoples R China; [Liu, Yong-Sheng] China Univ Geosci, State Key Lab Geol Proc &amp; Mineral Resources, Wuhan 430074, Peoples R China; [Hou, Ke-Jun] Chinese Acad Geol Sci, Inst Mineral Resources, MLR Key Lab Metallogeny &amp; Mineral Assessment, Beijing 100037, Peoples R China; [Li, Chao-Feng] Chinese Acad Sci, Inst Geol &amp; Geophys, State Key Lab Lithospher Evolut, Beijing 100029, Peoples R China</t>
  </si>
  <si>
    <t>China Geological Survey; Institute of Geomechanics, Chinese Academy of Geological Sciences; Chinese Academy of Geological Sciences; China University of Geosciences; China Geological Survey; Chinese Academy of Geological Sciences; Chinese Academy of Sciences; Institute of Geology &amp; Geophysics, CAS</t>
  </si>
  <si>
    <t>Zhang, SH (corresponding author), 11 S Minzudaxue Rd, Beijing 100081, Peoples R China.</t>
  </si>
  <si>
    <t>tozhangshuanhong@163.com</t>
  </si>
  <si>
    <t>Zhang, Shuan-Hong/G-6488-2010; Liu, Yongsheng/D-4440-2011; Liu, Yong/GWQ-6163-2022; Chaofeng, Li/O-9890-2016</t>
  </si>
  <si>
    <t>Zhang, Shuan-Hong/0000-0002-2177-9039; Liu, Yongsheng/0000-0002-9340-9205;</t>
  </si>
  <si>
    <t>National Natural Science Foundation of China [40872052]; Institute of Geomechanics, Chinese Academy of Geological Sciences [DZLXJK201002]; China Geological Survey [1212011121070]; Chinese Polar Environment Comprehensive Investigation &amp; Assessment Programmes [CHINARE2012-02-05]</t>
  </si>
  <si>
    <t>National Natural Science Foundation of China(National Natural Science Foundation of China (NSFC)); Institute of Geomechanics, Chinese Academy of Geological Sciences(China Geological Survey); China Geological Survey(China Geological Survey); Chinese Polar Environment Comprehensive Investigation &amp; Assessment Programmes</t>
  </si>
  <si>
    <t>Logistic support by the Antarctic Administration of China and Australian Antarctic Division during the 23rd Chinese National Antarctic research Expedition in 2006-2007, and financial support by the National Natural Science Foundation of China (40872052), the Institute of Geomechanics, Chinese Academy of Geological Sciences (DZLXJK201002) and the China Geological Survey (1212011121070) and Chinese Polar Environment Comprehensive Investigation &amp; Assessment Programmes (CHINARE2012-02-05). We thank Australian Antarctic colleagues for great help during the field work and Z.C. Hu, L.W. Xie, Y.H. Yang, C.L. Guo, H. Li and X.D. Jin for analytical assistance. We also thank by S.D. Boger, I.C.W. Fitzsimons and P.A. Cawood (Editor) for very careful and constructive reviews that significantly improved the quality of the manuscript.</t>
  </si>
  <si>
    <t>10.1016/j.precamres.2012.02.019</t>
  </si>
  <si>
    <t>WOS:000304796600004</t>
  </si>
  <si>
    <t>Sims, G; Ashley, MCB; Cui, XQ; Everett, JR; Feng, LL; Gong, XF; Hengst, S; Hu, ZW; Lawrence, JS; Luong-Van, DM; Moore, AM; Riddle, R; Shang, ZH; Storey, JWV; Tothill, N; Travouillon, T; Wang, LF; Yang, HG; Yang, J; Zhou, X; Zhu, ZX</t>
  </si>
  <si>
    <t>Sims, Geoff; Ashley, Michael C. B.; Cui, Xiangqun; Everett, Jon R.; Feng, LongLong; Gong, Xuefei; Hengst, Shane; Hu, Zhongwen; Lawrence, Jon S.; Luong-Van, Daniel M.; Moore, Anna M.; Riddle, Reed; Shang, Zhaohui; Storey, John W. V.; Tothill, Nick; Travouillon, Tony; Wang, Lifan; Yang, Huigen; Yang, Ji; Zhou, Xu; Zhu, Zhenxi</t>
  </si>
  <si>
    <t>Airglow and Aurorae at Dome A, Antarctica</t>
  </si>
  <si>
    <t>PUBLICATIONS OF THE ASTRONOMICAL SOCIETY OF THE PACIFIC</t>
  </si>
  <si>
    <t>MEDIUM INTENSITY AURORA; 558 NM EMISSION; SKY BRIGHTNESS; NIGHT-SKY; QUANTITATIVE SPECTROSCOPY; LOWER THERMOSPHERE; MAGNETIC ACTIVITY; DYNAMICS; SPECTRUM; NITROGEN</t>
  </si>
  <si>
    <t>Despite the absence of artificial light pollution at Antarctic plateau sites such as Dome A, other factors such as airglow, aurorae, and extended periods of twilight have the potential to adversely affect optical observations. We present a statistical analysis of the airglow and aurorae at Dome A using spectroscopic data from Nigel, an optical/near-IR spectrometer operating in the 300-850 nm range. These data complement photometric images from Gattini, a wide-field (90 degrees) CCD camera with B, V, and R filters, allowing the background sky brightness to be disentangled from the various airglow and auroral emission lines. The median auroral contribution to the B, V, and R photometric bands is found to be 22.9, 23.4, and 23.0 mag arcsec(-2), respectively. Auroral emissions most frequently occur between 10-23 hr local time, when up to 50% of observations are above airglow-level intensities. While infrequent, the strongest emissions detected occurred in the hours just prior to magnetic midnight. We are also able to quantify the amount of annual dark time available as a function of wavelength, as well as in the standard BV R photometric bands. On average, twilight ends when the Sun reaches a zenith distance of 102.6 degrees.</t>
  </si>
  <si>
    <t>[Sims, Geoff; Ashley, Michael C. B.; Everett, Jon R.; Hengst, Shane; Luong-Van, Daniel M.; Storey, John W. V.] Univ New S Wales, Sch Phys, Sydney, NSW 2052, Australia; [Cui, Xiangqun; Gong, Xuefei; Hu, Zhongwen] Nanjing Inst Astron Opt &amp; Technol, Nanjing 210042, Jiangsu, Peoples R China; [Feng, LongLong; Wang, Lifan; Yang, Ji; Zhu, Zhenxi] Acad Sinica, Purple Mt Observ, Nanjing 210008, Peoples R China; [Everett, Jon R.] Macquarie Univ, Dept Phys &amp; Astron, Sydney, NSW 2109, Australia; [Everett, Jon R.] Australian Astron Observ, Sydney, NSW 1710, Australia; [Moore, Anna M.; Riddle, Reed; Travouillon, Tony] Caltech Opt Observ, Pasadena, CA 91125 USA; [Shang, Zhaohui] Tianjin Normal Univ, Tianjin 300074, Peoples R China; [Tothill, Nick] Univ Western Sydney, Sydney, NSW, Australia; [Wang, Lifan] Texas A&amp;M Univ, Dept Phys &amp; Astron, College Stn, TX 77843 USA; [Yang, Huigen] Polar Res Inst China, Shanghai 200136, Peoples R China; [Zhou, Xu] Chinese Acad Sci, Natl Astron Observ, Beijing 100012, Peoples R China</t>
  </si>
  <si>
    <t>University of New South Wales Sydney; Chinese Academy of Sciences; Nanjing Institute of Astronomical Optics &amp; Technology, NAOC, CAS; Purple Mountain Observatory, CAS; Chinese Academy of Sciences; Nanjing Institute of Astronomical Optics &amp; Technology, NAOC, CAS; Macquarie University; California Institute of Technology; Tianjin Normal University; Western Sydney University; Texas A&amp;M University System; Texas A&amp;M University College Station; Polar Research Institute of China; Chinese Academy of Sciences; National Astronomical Observatory, CAS</t>
  </si>
  <si>
    <t>Sims, G (corresponding author), Univ New S Wales, Sch Phys, Sydney, NSW 2052, Australia.</t>
  </si>
  <si>
    <t>sims@unsw.edu.au</t>
  </si>
  <si>
    <t>Tothill, Nicholas/O-2682-2019; Riddle, Reed/AAC-1584-2022; Tothill, Nicholas/M-6379-2016</t>
  </si>
  <si>
    <t>Riddle, Reed/0000-0002-0387-370X; Moore, Anna/0000-0002-2894-6936; Lawrence, Jon/0000-0002-6998-6993; Ashley, Michael/0000-0003-1412-2028; Tothill, Nicholas/0000-0002-9931-5162; Travouillon, Tony/0000-0001-9304-6718</t>
  </si>
  <si>
    <t>Chinese PANDA International Polar Year project; Polar Research Institute of China; Australian Research Council; Australian Antarctic Division; Chinese Academy of Sciences; National Natural Science Foundation of China; US National Science Foundation; United States Antarctic Program; Office of Polar Programs (OPP); Directorate For Geosciences [1043282] Funding Source: National Science Foundation</t>
  </si>
  <si>
    <t>Chinese PANDA International Polar Year project; Polar Research Institute of China; Australian Research Council(Australian Research Council); Australian Antarctic Division; Chinese Academy of Sciences(Chinese Academy of Sciences); National Natural Science Foundation of China(National Natural Science Foundation of China (NSFC)); US National Science Foundation(National Science Foundation (NSF)); United States Antarctic Program; Office of Polar Programs (OPP); Directorate For Geosciences(National Science Foundation (NSF)NSF - Directorate for Geosciences (GEO))</t>
  </si>
  <si>
    <t>This research is supported by the Chinese PANDA International Polar Year project and the Polar Research Institute of China. The authors wish to thank all the members of the 2008/2009/2010 PRIC Dome A expeditions for their heroic efforts in reaching the site and for providing invaluable assistance to the expedition astronomers in setting up the PLATO observatory and its associated instrument suite. This research is financially supported by the Australian Research Council, the Australian Antarctic Division, the Chinese Academy of Sciences, the National Natural Science Foundation of China, the US National Science Foundation, and the United States Antarctic Program. Additional financial contributions have been made by the institutions involved in this collaboration. This research has made use of the SIMBAD database, operated at CDS, Strasbourg, France. We thank Gary Burns for helpful comments on the draft of this article.</t>
  </si>
  <si>
    <t>0004-6280</t>
  </si>
  <si>
    <t>1538-3873</t>
  </si>
  <si>
    <t>PUBL ASTRON SOC PAC</t>
  </si>
  <si>
    <t>Publ. Astron. Soc. Pac.</t>
  </si>
  <si>
    <t>10.1086/666861</t>
  </si>
  <si>
    <t>966LT</t>
  </si>
  <si>
    <t>WOS:000305839900013</t>
  </si>
  <si>
    <t>Borisova, TD; Blagoveshchenskaya, NF; Kalishin, AS; Oksavik, K; Baddelley, L; Yeoman, TK</t>
  </si>
  <si>
    <t>Borisova, T. D.; Blagoveshchenskaya, N. F.; Kalishin, A. S.; Oksavik, K.; Baddelley, L.; Yeoman, T. K.</t>
  </si>
  <si>
    <t>Effects of modification of the polar ionosphere with high-power short-wave extraordinary-mode HF waves produced by the spear heating facility</t>
  </si>
  <si>
    <t>RADIOPHYSICS AND QUANTUM ELECTRONICS</t>
  </si>
  <si>
    <t>REGION</t>
  </si>
  <si>
    <t>We present the results of modifying the F-2 layer of the polar ionosphere experimentally with highpower HF extraordinary-mode waves. The experiments were performed in October 2010 using the short-wave SPEAR heating facility (Longyearbyen, Spitsbergen). To diagnose the effects of high-power HF waves by the aspect-scattering method in a network of diagnostic paths, we used the short-wave Doppler radar CUTLASS (Hankasalmi, Finland) and the incoherent scatter radar ESR (Longyearbyen, Spitsbergen). Excitation of small-scale artificial ionospheric irregularities was revealed, which were responsible for the aspect and backward scattering of the diagnostic signals. The measurements performed by the ESR incoherent scatter radar simultaneously with the heating demonstrated changes in the parameters of the ionospheric plasma, specifically, an increase in the electron density by 10-25 % and an increase in the electron temperature by 10-30 % at the altitudes of the F-2 layer, as well as formation of sporadic ionization at altitudes of 140-180 km (below the F-2 layer maximum). To explain the effects of ionosphere heating with HF extraordinary-mode waves, we propose a hypothesis of transformation of extraordinary electromagnetic waves to ordinary in the anisotropic, smoothly nonuniform ionosphere.</t>
  </si>
  <si>
    <t>[Borisova, T. D.; Blagoveshchenskaya, N. F.; Kalishin, A. S.] Arctic &amp; Antarctic Res Inst, St Petersburg 199226, Russia; [Oksavik, K.; Baddelley, L.] Univ Ctr Svalbard, Longyearbyen, Norway; [Yeoman, T. K.] Univ Leicester, Leicester, Leics, England</t>
  </si>
  <si>
    <t>Arctic &amp; Antarctic Research Institute; University Centre Svalbard (UNIS); University of Leicester</t>
  </si>
  <si>
    <t>Borisova, TD (corresponding author), Arctic &amp; Antarctic Res Inst, St Petersburg 199226, Russia.</t>
  </si>
  <si>
    <t>nataly@aari.nw.ru</t>
  </si>
  <si>
    <t>Oksavik, Kjellmar/GWZ-7781-2022; Baddeley, Lisa/ABD-4414-2020; Borisova, Tatiana/AAK-7698-2020; Yeoman, Timothy k/L-9105-2014; Blagoveshchenskaya, Nataly/S-4342-2017</t>
  </si>
  <si>
    <t>Oksavik, Kjellmar/0000-0003-4312-6992; Baddeley, Lisa/0000-0003-1246-0488; Yeoman, Timothy k/0000-0002-8434-4825; Blagoveshchenskaya, Nataly/0000-0003-1752-3273; Borisova, Tatiana/0000-0003-1727-5310; Kalishin, Alexey/0000-0001-7299-6546</t>
  </si>
  <si>
    <t>Scientific Council of Norway within the SPEAR-UNIS-AARI project; Natural Environment Research Council [eiscat01001] Funding Source: researchfish; Science and Technology Facilities Council [ST/H002480/1] Funding Source: researchfish; NERC [eiscat01001] Funding Source: UKRI; STFC [ST/H002480/1] Funding Source: UKRI</t>
  </si>
  <si>
    <t>Scientific Council of Norway within the SPEAR-UNIS-AARI project;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</si>
  <si>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This work was supported by the Scientific Council of Norway within the SPEAR-UNIS-AARI project.</t>
  </si>
  <si>
    <t>0033-8443</t>
  </si>
  <si>
    <t>1573-9120</t>
  </si>
  <si>
    <t>RADIOPHYS QUANT EL+</t>
  </si>
  <si>
    <t>Radiophys. Quantum Electron.</t>
  </si>
  <si>
    <t>10.1007/s11141-012-9353-5</t>
  </si>
  <si>
    <t>Engineering, Electrical &amp; Electronic; Physics, Applied; Physics, Fluids &amp; Plasmas</t>
  </si>
  <si>
    <t>Engineering; Physics</t>
  </si>
  <si>
    <t>985PK</t>
  </si>
  <si>
    <t>WOS:000307279300010</t>
  </si>
  <si>
    <t>Wallace, L; Lucieer, A; Watson, C; Turner, D</t>
  </si>
  <si>
    <t>Wallace, Luke; Lucieer, Arko; Watson, Christopher; Turner, Darren</t>
  </si>
  <si>
    <t>Development of a UAV-LiDAR System with Application to Forest Inventory</t>
  </si>
  <si>
    <t>Unmanned Aerial Vehicles; LiDAR; MEMS IMU; Kalman Filter; sensor integration; forestry</t>
  </si>
  <si>
    <t>UNMANNED AIRCRAFT; MAPPING SYSTEM; TECHNOLOGY</t>
  </si>
  <si>
    <t>We present the development of a low-cost Unmanned Aerial Vehicle-Light Detecting and Ranging (UAV-LiDAR) system and an accompanying workflow to produce 3D point clouds. UAV systems provide an unrivalled combination of high temporal and spatial resolution datasets. The TerraLuma UAV-LiDAR system has been developed to take advantage of these properties and in doing so overcome some of the current limitations of the use of this technology within the forestry industry. A modified processing workflow including a novel trajectory determination algorithm fusing observations from a GPS receiver, an Inertial Measurement Unit (IMU) and a High Definition (HD) video camera is presented. The advantages of this workflow are demonstrated using a rigorous assessment of the spatial accuracy of the final point clouds. It is shown that due to the inclusion of video the horizontal accuracy of the final point cloud improves from 0.61 m to 0.34 m (RMS error assessed against ground control). The effect of the very high density point clouds (up to 62 points per m(2)) produced by the UAV-LiDAR system on the measurement of tree location, height and crown width are also assessed by performing repeat surveys over individual isolated trees. The standard deviation of tree height is shown to reduce from 0.26 m, when using data with a density of 8 points per m(2), to 0.15 m when the higher density data was used. Improvements in the uncertainty of the measurement of tree location, 0.80 m to 0.53 m, and crown width, 0.69 m to 0.61 m are also shown.</t>
  </si>
  <si>
    <t>[Wallace, Luke; Lucieer, Arko; Watson, Christopher; Turner, Darren] Univ Tasmania, Sch Geog &amp; Environm Studies, Hobart, Tas 7001, Australia</t>
  </si>
  <si>
    <t>Wallace, L (corresponding author), Univ Tasmania, Sch Geog &amp; Environm Studies, Hobart, Tas 7001, Australia.</t>
  </si>
  <si>
    <t>Luke.Wallace@utas.edu.au; Arko.Lucieer@utas.edu.au; Christopher.Watson@utas.edu.au; Darren.Turner@utas.edu.au</t>
  </si>
  <si>
    <t>Wallace, Luke/HKO-4124-2023; Lucieer, Arko/F-1247-2013; Watson, Christopher S/D-4707-2013; Turner, Darren/O-4839-2017</t>
  </si>
  <si>
    <t>Lucieer, Arko/0000-0002-9468-4516; Watson, Christopher/0000-0002-7464-4592; Wallace, Luke/0000-0002-4642-8374; Turner, Darren/0000-0002-3029-6717</t>
  </si>
  <si>
    <t>Winfred Violet Scott Trust</t>
  </si>
  <si>
    <t>We acknowledge the Winfred Violet Scott Trust for funding support in purchasing the OktoKopter and the Laser Scanner. The Australian Antarctic Division are acknowledged for providing work shop time in the construction of the mounting system. We also acknowledge the considerable help and technical know-how of Tony Veness in design and construction of the sensor mount.</t>
  </si>
  <si>
    <t>10.3390/rs4061519</t>
  </si>
  <si>
    <t>978QB</t>
  </si>
  <si>
    <t>Green Accepted, gold, Green Submitted</t>
  </si>
  <si>
    <t>WOS:000306759100002</t>
  </si>
  <si>
    <t>Salas, CRH</t>
  </si>
  <si>
    <t>Hernandez Salas, Carlos R.</t>
  </si>
  <si>
    <t>CONFINES OF ENVIRONMENTAL LIABILITY IN DEPENDENT AND ASSOCIATED ECOSYSTEMS TO THE ANTARCTIC ENVIRONMENT</t>
  </si>
  <si>
    <t>REVISTA ELECTRONICA DE ESTUDIOS INTERNACIONALES</t>
  </si>
  <si>
    <t>Antarctica; status quo; Antarctic environment; dependent and associated ecosystems</t>
  </si>
  <si>
    <t>Annex VI of the Protocol to the Antarctic Treaty protects the Antarctic STATUS QUO. This protection is extended to liability for environmental emergencies affecting the Antarctic environment and dependent and associated ecosystems. The notion of dependent and associated ecosystems is legal and procedural in nature, allowing the distribution of the international powers provided in the Protocol. Therefore, States which exercise jurisdiction in areas north of the Antarctic Convergence must define and delimit those ecosystems, including their cooperation within areas of overlapping claims or under territorial or maritime dispute. In areas beyond national jurisdiction specific programs of cooperation over dependent and associated ecosystems should be designed.</t>
  </si>
  <si>
    <t>[Hernandez Salas, Carlos R.] Univ Barcelona, Derecho, Barcelona, Spain; [Hernandez Salas, Carlos R.] Univ Magallanes, Fac Ciencias Econ &amp; Jurid, Inst Patagonia, Punta Arenas, Chile; [Hernandez Salas, Carlos R.] Univ Magallanes, Fac Ciencias Econ &amp; Jurid, Dept Ciencias Jurid, Punta Arenas, Chile</t>
  </si>
  <si>
    <t>University of Barcelona; Universidad de Magallanes; Universidad de Magallanes</t>
  </si>
  <si>
    <t>Salas, CRH (corresponding author), Univ Barcelona, Derecho, Barcelona, Spain.</t>
  </si>
  <si>
    <t>carlos.hernandez@umag.cl</t>
  </si>
  <si>
    <t>ASOC ESPANOLA PROFESORES DERECHO INT &amp; RELACIONES INT-AEPDIRI</t>
  </si>
  <si>
    <t>ESCUELA DIPLOMATICA, PASEO DE JUAN XXIII NO 5, MADRID, 28040, SPAIN</t>
  </si>
  <si>
    <t>1697-5197</t>
  </si>
  <si>
    <t>REV ELECTRON ESTUD I</t>
  </si>
  <si>
    <t>Rev. Electron. Estud. Int.</t>
  </si>
  <si>
    <t>Law</t>
  </si>
  <si>
    <t>Government &amp; Law</t>
  </si>
  <si>
    <t>V5O8A</t>
  </si>
  <si>
    <t>WOS:000219802300003</t>
  </si>
  <si>
    <t>Xavier, JC; Vieira, C; Assis, C; Cherel, Y; Hill, S; Costa, E; Borges, TC; Coelho, R</t>
  </si>
  <si>
    <t>Xavier, Jose C.; Vieira, Catia; Assis, Carlos; Cherel, Yves; Hill, Simeon; Costa, Esmeralda; Borges, Teresa C.; Coelho, Rui</t>
  </si>
  <si>
    <t>Feeding ecology of the deep-sea lanternshark Etmopterus pusillus (Elasmobranchii: Etmopteridae) in the northeast Atlantic</t>
  </si>
  <si>
    <t>deep-sea fisheries; elasmobranch; Etmopterus pusillus; feeding ecology; lanternshark</t>
  </si>
  <si>
    <t>TROPHIC RELATIONSHIPS; BY-CATCH; DIET; FISH; SHARKS; ALGARVE; FOOD; CHONDRICHTHYES; BEHAVIOR; HABITS</t>
  </si>
  <si>
    <t>This study provides the first description of the feeding ecology of the smooth lanternshark Etmopterus pusillus based on stomach contents of specimens caught as bycatch in the Algarve (southern Portugal) with bottom trawling and bottom longline. The diet of E. pusillus consists mainly of fish (dry weight (% W)=87.1%; frequency of occurrence (%FO)=28.6%; number (%N)=30.3%), crustaceans (%W=7.7%; %FO=36.7%; %N=3.4%) and cephalopods (%W=4.7%; %FO=11.3%; %N=11.1%). The diet did not vary between sexes. Ontogenic changes were detected: crustaceans decreased in importance as the sharks increased in size and fish became dominant in the diet of adults. Combining two fishing methods provided broad information on the diet of E. pusillus, as bottom trawling caught smaller specimens and longlines caught larger individuals. E. pusillus feeds mainly on non-commercial species, and therefore does not compete directly with commercial fisheries. Finally, E. pusillus feeds in various parts of the water column and thus it can access a wide range of prey; however, this also means that it can be caught by both gears, making it more vulnerable in terms of conservation.</t>
  </si>
  <si>
    <t>[Xavier, Jose C.] Univ Coimbra, Inst Marine Res IMAR CMA, Dept Life Sci, P-3004517 Coimbra, Portugal; [Vieira, Catia; Costa, Esmeralda; Borges, Teresa C.; Coelho, Rui] Univ Algarve, Ctr Marine Sci CCMAR, P-8000139 Faro, Portugal; [Assis, Carlos] Univ Lisbon, Dept Anim Biol, Fac Sci, P-1749016 Lisbon, Portugal; [Assis, Carlos] Univ Lisbon, Inst Oceanog, Fac Sci, P-1749016 Lisbon, Portugal; [Cherel, Yves] CNRS, Ctr Etud Biol Chize, UPR 1934, F-79360 Villiers En Bois, France; [Hill, Simeon] British Antarctic Survey, Cambridge CB3 0ET, England</t>
  </si>
  <si>
    <t>Universidade de Coimbra; Universidade do Algarve; Universidade de Lisboa; Universidade de Lisboa; Centre National de la Recherche Scientifique (CNRS); UK Research &amp; Innovation (UKRI); Natural Environment Research Council (NERC); NERC British Antarctic Survey</t>
  </si>
  <si>
    <t>Xavier, JC (corresponding author), Univ Coimbra, Inst Marine Res IMAR CMA, Dept Life Sci, P-3004517 Coimbra, Portugal.</t>
  </si>
  <si>
    <t>rpcoelho@ualg.pt</t>
  </si>
  <si>
    <t>Vieira, Cátia A R/K-9081-2014; Coelho, Rui/C-1163-2008; da Silva Assis, Carlos António/J-2302-2012; Xavier, José/KFB-6739-2024; Simeon, Hill L/B-2307-2008; Borges, Teresa Cerveira/M-3388-2013</t>
  </si>
  <si>
    <t>Coelho, Rui/0000-0003-3813-5157; da Silva Assis, Carlos António/0000-0001-5352-2978; /0000-0002-9621-6660; Borges, Teresa Cerveira/0000-0002-6414-0083</t>
  </si>
  <si>
    <t>FCT - Fundacao para a Ciencia e Tecnologia; POCI - Programa Operacional Ciencia e Inovacao; FSE - Fundo Social Europeu; NERC [bas0100025] Funding Source: UKRI; Natural Environment Research Council [bas0100025] Funding Source: researchfish</t>
  </si>
  <si>
    <t>FCT - Fundacao para a Ciencia e Tecnologia(Fundacao para a Ciencia e a Tecnologia (FCT)); POCI - Programa Operacional Ciencia e Inovacao; FSE - Fundo Social Europeu(European Social Fund (ESF)); NERC(UK Research &amp; Innovation (UKRI)Natural Environment Research Council (NERC)); Natural Environment Research Council(UK Research &amp; Innovation (UKRI)Natural Environment Research Council (NERC))</t>
  </si>
  <si>
    <t>The authors would like to thank to Dr Margarida Cristo for her valuable help in identifying crustaceans. Dr Jose Xavier and Dr Rui Coelho were supported by the FCT - Fundacao para a Ciencia e Tecnologia, co-funded by POCI-2010 - Programa Operacional Ciencia e Inovacao 2010 and FSE - Fundo Social Europeu.</t>
  </si>
  <si>
    <t>10.3989/scimar.03540.07B</t>
  </si>
  <si>
    <t>959VL</t>
  </si>
  <si>
    <t>WOS:000305344200011</t>
  </si>
  <si>
    <t>Frolov, IY; Mironov, YU; Zubakin, GK; Gudoshnikov, YP; Yulin, AV; Smirnov, VG; Buzin, IV</t>
  </si>
  <si>
    <t>Frolov, I. Ye.; Mironov, Ye. U.; Zubakin, G. K.; Gudoshnikov, Yu. P.; Yulin, A. V.; Smirnov, V. G.; Buzin, I. V.</t>
  </si>
  <si>
    <t>Ice Management - From the Concept to Realization</t>
  </si>
  <si>
    <t>TRANSNAV-INTERNATIONAL JOURNAL ON MARINE NAVIGATION AND SAFETY OF SEA TRANSPORTATION</t>
  </si>
  <si>
    <t>In the present time in the Russian Arctic and freezing seas there's the growth of industrial activity. In addition to the traditional navigation in the ice-infested waters the development of the new offshore hydrocarbon deposits is planned. New production and uploading platforms and high-tonnage tankers appear in the Arctic. Widening of the sea activities in the Arctic, the implementation of comprehensive technical projects and the need to ensure their safety made it necessary to develop and introduce principally new information and logistics system - a system aimed at managing ice conditions or the so-called Ice Management (IM). The vast experience of the informational support of the ice navigation is accumulated in Russia, many components of the IM are developed and implemented in the active practice. The paper presents the summary of such experience. The concept of development the IM on the Shtokman Gas Condensate Field is discussed.</t>
  </si>
  <si>
    <t>[Frolov, I. Ye.; Mironov, Ye. U.; Zubakin, G. K.; Gudoshnikov, Yu. P.; Yulin, A. V.; Smirnov, V. G.; Buzin, I. V.] Arctic &amp; Antarctic Res Inst, St Petersburg, Russia</t>
  </si>
  <si>
    <t>Frolov, IY (corresponding author), Arctic &amp; Antarctic Res Inst, St Petersburg, Russia.</t>
  </si>
  <si>
    <t>Mironov, Yevgeny Uarovich/ADV-4713-2022; Aleksandr, Yulin/Z-5911-2019</t>
  </si>
  <si>
    <t>Mironov, Yevgeny Uarovich/0000-0001-8390-8011;</t>
  </si>
  <si>
    <t>GDYNIA MARITIME UNIV, FAC NAVIGATION</t>
  </si>
  <si>
    <t>GDYNIA</t>
  </si>
  <si>
    <t>3, JOHN PAUL II AVE, GDYNIA, 81-345, POLAND</t>
  </si>
  <si>
    <t>2083-6473</t>
  </si>
  <si>
    <t>2083-6481</t>
  </si>
  <si>
    <t>TRANSNAV</t>
  </si>
  <si>
    <t>TransNav</t>
  </si>
  <si>
    <t>Transportation Science &amp; Technology</t>
  </si>
  <si>
    <t>Transportation</t>
  </si>
  <si>
    <t>VD8EB</t>
  </si>
  <si>
    <t>WOS:000437636000008</t>
  </si>
  <si>
    <t>Yamamoto, T; Takahashi, A; Oka, N; Shirai, M; Yamamoto, M; Katsumata, N; Sato, K; Watanabe, S; Trathan, PN</t>
  </si>
  <si>
    <t>Yamamoto, Takashi; Takahashi, Akinori; Oka, Nariko; Shirai, Masaki; Yamamoto, Maki; Katsumata, Nobuhiro; Sato, Katsufumi; Watanabe, Shinichi; Trathan, Philip N.</t>
  </si>
  <si>
    <t>Inter-colony Differences in the Incubation Pattern of Streaked Shearwaters in Relation to the Local Marine Environment</t>
  </si>
  <si>
    <t>WATERBIRDS</t>
  </si>
  <si>
    <t>Calonectris leucomelas; foraging area; global location sensor; incubation; inter-colony difference; Streaked Shearwater</t>
  </si>
  <si>
    <t>AT-SEA DISTRIBUTION; MARBLED MURRELETS; FORAGING TRIPS; BEHAVIOR; ROUTINE; RHYTHM; COSTS</t>
  </si>
  <si>
    <t>Foraging trip duration of breeding seabirds is affected by characteristics of available feeding habitat in the marine environment, which may, in turn, generate inter-colony difference in the patterns of nest attendance. Here, nest attendance patterns and foraging areas of Streaked Shearwaters (Calonectris leucomelas) during their incubation period were examined using global location sensors. The study was conducted at Sangan (SI) and Mikura Islands (MI) in the northwestern Pacific, and Awa Island (AI) in the Japan Sea during 2006-2009. The duration of incubation shifts showed significant inter-colony difference, but no sex-related difference. Shearwaters from SI had shorter mean incubation shifts (5.6 days on average; range 3.0-8.0 days) than those from MI (7.2 days; range 4.8-10.7 days) and AI (6.9 days; range 6.0-9.7 days). During the incubation period, SI and MI shearwaters foraged in the northwestern Pacific's Kuroshio-Oyashio transition area, while shearwaters from AI mostly foraged in the Japan Sea. The Northwestern Pacific represents a high-productivity zone, and SI shearwaters appeared to forage in these waters, where foraging efficiency is potentially high, leading to shorter incubation shifts. Also, although MI shearwaters foraged in the northwestern Pacific, the distance between their colony and foraging areas was greater (645 km on average; range 546-756 km), compared to SI (272 km; range 244-297 km) and AI birds (228 km; range 75-518 km). In this study, inter-colony differences in incubation shift length of Streaked Shearwaters appeared to be related to differences in foraging areas associated with the local marine environment. Received 3 July 2011, accepted 17 January, 2012.</t>
  </si>
  <si>
    <t>[Yamamoto, Takashi; Takahashi, Akinori] Grad Univ Adv Studies, Dept Polar Sci, Tachikawa, Tokyo 1908518, Japan; [Takahashi, Akinori] Natl Inst Polar Res, Tachikawa, Tokyo 1908518, Japan; [Oka, Nariko] Yamashina Inst Ornithol, Div Nat Hist, Chiba 2701145, Japan; [Shirai, Masaki] Nagoya Univ, Grad Sch Environm Studies, Chikusa Ku, Nagoya, Aichi 4648601, Japan; [Yamamoto, Maki] Nagaoka Univ Technol, Dept Bioengn, Nagaoka, Niigata 9402188, Japan; [Katsumata, Nobuhiro; Sato, Katsufumi] Univ Tokyo, Atmosphere &amp; Ocean Res Inst, Int Coastal Res Ctr, Otsuchi, Iwate 0281102, Japan; [Watanabe, Shinichi] Fukuyama Univ, Dept Marine Biotechnol, Fukuyama, Hiroshima 7290292, Japan; [Trathan, Philip N.] British Antarctic Survey, Nat Environm Res Council, Cambridge CB3 0ET, England</t>
  </si>
  <si>
    <t>Graduate University for Advanced Studies - Japan; Research Organization of Information &amp; Systems (ROIS); National Institute of Polar Research (NIPR) - Japan; Nagoya University; Nagaoka University of Technology; University of Tokyo; Fukuyama University; UK Research &amp; Innovation (UKRI); Natural Environment Research Council (NERC); NERC British Antarctic Survey</t>
  </si>
  <si>
    <t>Yamamoto, T (corresponding author), Grad Univ Adv Studies, Dept Polar Sci, 10-3 Midori Cho, Tachikawa, Tokyo 1908518, Japan.</t>
  </si>
  <si>
    <t>taka.y@nipr.ac.jp</t>
  </si>
  <si>
    <t>Japan Society for the Promotion of Science (JSPS) [22-1252]; JSPS [19651100, 19255001]; Ministry of Education, Culture, Sports, Science and Technology-Japan; Fujiwara Natural History Foundation; NERC [bas0100025] Funding Source: UKRI; Natural Environment Research Council [bas0100025] Funding Source: researchfish; Grants-in-Aid for Scientific Research [24810031, 19651100, 19255001] Funding Source: KAKEN</t>
  </si>
  <si>
    <t>Japan Society for the Promotion of Science (JSPS)(Ministry of Education, Culture, Sports, Science and Technology, Japan (MEXT)Japan Society for the Promotion of Science); JSPS(Ministry of Education, Culture, Sports, Science and Technology, Japan (MEXT)Japan Society for the Promotion of Science); Ministry of Education, Culture, Sports, Science and Technology-Japan(Ministry of Education, Culture, Sports, Science and Technology, Japan (MEXT)); Fujiwara Natural History Foundation;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</si>
  <si>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We are grateful to the late Setsuo Kurimoto, to N. Miura, T. Honbo, the staff at Matsutaya and the staff at the International Coastal Research Center, Atmosphere and Ocean Research Institute, University of Tokyo for logistic support in the field. Also, we thank M. Yamaguchi, Y Tamura, T. Fukuda, S. Sasaki, K. Tamori, S. Hirose, K. Yoda and Y. Hirose for assistance in the field. Thanks are due to V. Afanasyev and J. Fox for developing the geolocators, two anonymous reviewers and B. Raymond for comments on the manuscript. The work was partially supported by the Japan Society for the Promotion of Science (JSPS) Research Fellowship for Young Scientists to TY (22-1252), JSPS research grants (19651100 to AT and 19255001 to KS), Grant-in-Aid for Scientific Research (Special Promotion) of the Ministry of Education, Culture, Sports, Science and Technology-Japan to NO of YIO, and Fujiwara Natural History Foundation (2009) to TV (No. 19). All animal experiments were approved by the Animal Experimental Committee of the University of Tokyo (17-6, P09-3, and P10-6) and conducted in accordance with the Guidelines for the Care of Experimental Animals. The work was conducted with permits from the Ministry of the Environment; No. 060609001 (April 2006-March 2007), No. 070718001 (April 2007-March 2008) and No. 080605001 (April 2008-March 2009) for Sangan Island, No. 18-340 (July 2006-November 2006), No. 19-354 (July 2007-November 2007) and No. 20-484 (August 2008-October 2008) for Mikura Island, and No. 235 (February 2007-December 2007), No. 28 (May 2008-December 2008) and No. 22-5 (June 2009-December 2009) for Awa Island on behalf of K. Sato, N. Oka and M. Yamamoto, respectively, and the Agency for Cultural Affairs; No. 4-413, No. 4-325 and No. 4-486.</t>
  </si>
  <si>
    <t>WATERBIRD SOC</t>
  </si>
  <si>
    <t>NATL MUSEUM NATURAL HISTORY SMITHSONIAN INST, WASHINGTON, DC 20560 USA</t>
  </si>
  <si>
    <t>1524-4695</t>
  </si>
  <si>
    <t>1938-5390</t>
  </si>
  <si>
    <t>Waterbirds</t>
  </si>
  <si>
    <t>10.1675/063.035.0207</t>
  </si>
  <si>
    <t>005YL</t>
  </si>
  <si>
    <t>WOS:000308785900007</t>
  </si>
  <si>
    <t>Park, I; Lee, J; Cho, J</t>
  </si>
  <si>
    <t>Park, Inkyung; Lee, Jaekoo; Cho, Jaiesoon</t>
  </si>
  <si>
    <t>Partial Characterization of α-Galactosidic Activity from the Antarctic Bacterial Isolate, Paenibacillus sp. LX-20 as a Potential Feed Enzyme Source</t>
  </si>
  <si>
    <t>ASIAN-AUSTRALASIAN JOURNAL OF ANIMAL SCIENCES</t>
  </si>
  <si>
    <t>Antarctic; Paenibacillus sp alpha-Galactosidase; Feed Industry</t>
  </si>
  <si>
    <t>NUTRIENT DIGESTIBILITY; PURIFICATION; CLONING; PROTEASE; ACID; IMMOBILIZATION; EXPRESSION; ALIGNMENT; PHYTASE</t>
  </si>
  <si>
    <t>An Antarctic bacterial isolate displaying extracellular alpha-galactosidic activity was named Paenibacillus sp. LX-20 based on 16S rRNA gene sequence analysis. Optimal activity for the LX-20 alpha-galactosidase occurred at pH 6.0-6.5 and 45 degrees C. The enzyme immobilized on the smart polymer Eudragit L-100 retained 70% of its original activity after incubation for 30 min at 50 degrees C, while the free enzyme retained 58% of activity. The enzyme had relatively high specificity for alpha-D-galactosides such as p-nitrophenyl-alpha-galactopyranoside, melibiose, raffinose and stachyose, and was resistant to some proteases such as trypsin, pancreatin and pronase. Enzyme activity was almost completely inhibited by Ag+, Hg2+, Cu2+, and sodium dodecyl sulfate, but activity was not affected by beta-mercaptoethanol or EDTA. LX-20 alpha-galactosidase may be potentially useful as an additive for soybean processing in the feed industry.</t>
  </si>
  <si>
    <t>[Park, Inkyung; Lee, Jaekoo; Cho, Jaiesoon] Konkuk Univ, Dept Anim Sci &amp; Environm, Coll Anim Biosci &amp; Technol, Seoul 143701, South Korea</t>
  </si>
  <si>
    <t>Konkuk University</t>
  </si>
  <si>
    <t>Cho, J (corresponding author), Konkuk Univ, Dept Anim Sci &amp; Environm, Coll Anim Biosci &amp; Technol, Seoul 143701, South Korea.</t>
  </si>
  <si>
    <t>chojs70@konkuk.ac.kr</t>
  </si>
  <si>
    <t>This paper was supported by Konkuk University in 2011.</t>
  </si>
  <si>
    <t>ASIAN-AUSTRALASIAN ASSOC ANIMAL PRODUCTION SOC</t>
  </si>
  <si>
    <t>ROOM 708 SAMMO SPOREX, 1638-32, SEOWON-DONG, GWANAK-GU, SEOUL 151-730, SOUTH KOREA</t>
  </si>
  <si>
    <t>1011-2367</t>
  </si>
  <si>
    <t>1976-5517</t>
  </si>
  <si>
    <t>ASIAN AUSTRAL J ANIM</t>
  </si>
  <si>
    <t>Asian Australas. J. Anim. Sci.</t>
  </si>
  <si>
    <t>10.5713/ajas.2011.11501</t>
  </si>
  <si>
    <t>940PM</t>
  </si>
  <si>
    <t>WOS:000303905500016</t>
  </si>
  <si>
    <t>Torres, JJ; Grigsby, MD; Clarke, ME</t>
  </si>
  <si>
    <t>Torres, Joseph J.; Grigsby, Michelle D.; Clarke, M. Elizabeth</t>
  </si>
  <si>
    <t>Aerobic and anaerobic metabolism in oxygen minimum layer fishes: the role of alcohol dehydrogenase</t>
  </si>
  <si>
    <t>oxygen minimum; mesopelagic fishes; enzyme activity; alcohol dehydrogenase</t>
  </si>
  <si>
    <t>ANTARCTIC MESOPELAGIC FISHES; PENINSULA CONTINENTAL-SHELF; MYSID GNATHOPHAUSIA-INGENS; ARABIAN-SEA; VERTICAL-DISTRIBUTION; MIDWATER FISHES; LACTATE METABOLISM; ENERGY-METABOLISM; SCORPAENID FISHES; PREDATION IMPACT</t>
  </si>
  <si>
    <t>Zones of minimum oxygen form at intermediate depth in all the world's oceans as a result of global circulation patterns that keep the water at oceanic mid-depths out of contact with the atmosphere for hundreds of years. In areas where primary production is very high, the microbial oxidation of sinking organic matter results in very low oxygen concentrations at mid-depths. Such is the case with the Arabian Sea, with O-2 concentrations reaching zero at 200 m and remaining very low (&lt;0.1 ml O(2)l(-1)) for hundreds of meters below this depth, and in the California borderland, where oxygen levels reach 0.2 ml O(2)l(-1) at 700 m with severely hypoxic (&lt;1.0 ml O(2)l(-1)) waters at depths 300 m above and below that. Despite the very low oxygen, mesopelagic fishes (primarily lanternfishes: Mytophidae) inhabiting the Arabian Sea and California borderland perform a daily vertical migration into the low-oxygen layer, spending daylight hours in the oxygen minimum zone and migrating upward into normoxic waters at night. To find out how fishes were able to survive their daily sojourns into the minimum zone, we tested the activity of four enzymes, one (lactate dehydrogenase, LDH) that served as a proxy for anaerobic glycolysis with a conventional lactate endpoint, a second (citrate synthase, CS) that is indicative of aerobic metabolism, a third (malate dehydrogenase) that functions in the Krebs' cycle and as a bridge linking mitochondrion and cytosol, and a fourth (alcohol dehydrogenase, ADH) that catalyzes the final reaction in a pathway where pyruvate is reduced to ethanol. Ethanol is a metabolic product easily excreted by fish, preventing lactate accumulation. The ADH pathway is rarely very active in vertebrate muscle; activity has previously been seen only in goldfish and other cyprinids capable of prolonged anaerobiosis. Activity of the enzyme suite in Arabian Sea and California fishes was compared with that of ecological analogs in the same family and with the same lifestyle but living in systems with much higher oxygen concentrations: the Gulf of Mexico and the Southern Ocean. ADH activities in the Arabian Sea fishes were similar to those of goldfish, far higher than those of confamilials from the less severe minimum in the Gulf of Mexico, suggesting that the Arabian Sea fishes are capable of exploiting the novel ethanol endpoint to become competent anaerobes. In turn, the fishes of California exhibited a higher ADH activity than their Antarctic relatives. It was concluded that ADH activity is more widespread in fishes than previously believed and that it may play a role in allowing vertically migrating fishes to exploit the safe haven afforded by severe oxygen minima.</t>
  </si>
  <si>
    <t>[Torres, Joseph J.; Grigsby, Michelle D.] Univ S Florida, Coll Marine Sci, St Petersburg, FL 33701 USA; [Clarke, M. Elizabeth] NOAA, NW Fisheries Sci Ctr, Natl Marine Fisheries Serv, Seattle, WA 98112 USA</t>
  </si>
  <si>
    <t>State University System of Florida; University of South Florida; National Oceanic Atmospheric Admin (NOAA) - USA</t>
  </si>
  <si>
    <t>Torres, JJ (corresponding author), Univ S Florida, Coll Marine Sci, 140 7th Ave S, St Petersburg, FL 33701 USA.</t>
  </si>
  <si>
    <t>jjtorres@usf.edu</t>
  </si>
  <si>
    <t>National Science Foundation [OPP 9910100, OCE 0727883]</t>
  </si>
  <si>
    <t>This research was supported by the National Science Foundation [grant number OPP 9910100 and OCE 0727883 to J.J.T.].</t>
  </si>
  <si>
    <t>COMPANY OF BIOLOGISTS LTD</t>
  </si>
  <si>
    <t>BIDDER BUILDING CAMBRIDGE COMMERCIAL PARK COWLEY RD, CAMBRIDGE CB4 4DL, CAMBS, ENGLAND</t>
  </si>
  <si>
    <t>10.1242/jeb.060236</t>
  </si>
  <si>
    <t>939RP</t>
  </si>
  <si>
    <t>WOS:000303831800021</t>
  </si>
  <si>
    <t>Hua, WN; Yuan, SB; Yan, MM; Li, Y</t>
  </si>
  <si>
    <t>Hua, Weina; Yuan, Shunbo; Yan, Miaomiao; Li, Yu</t>
  </si>
  <si>
    <t>A quantitative analysis of Arctic related articles in the humanities and social sciences appearing in the world core journals</t>
  </si>
  <si>
    <t>SCIENTOMETRICS</t>
  </si>
  <si>
    <t>Arctic studies; Bibliometric study; Humanities and social sciences</t>
  </si>
  <si>
    <t>NETWORK ANALYSIS; CONTROVERSY; INDEX</t>
  </si>
  <si>
    <t>To demonstrate the importance of Arctic studies in the humanities and social sciences, we collected data from the SSCI and A&amp;HCI covering a period of over 100 years and focused on the number of papers published each year, the major journals, types of documents, major languages represented, authors and their countries publishing the most articles, author's affiliations, collaboration and the major research subjects covered. The results indicate that worldwide scholars had never been absent in this field for more than one century. Countries near the Arctic, particularly in North America and the Nordic, show the most interest and have the most research results. Universities and colleges are the most important research institutions in this field. North America is the area that has conducted the largest amount of research, while some Western European countries such as Germany and France, performed with great enthusiasm research in relation with North Pole expeditions. Arctic research in the humanities and social sciences has gradually expanded from the historical, archaeological, and anthropological fields to the realm of political, social, educational sciences including international relations, music, art, etc.</t>
  </si>
  <si>
    <t>[Hua, Weina; Yuan, Shunbo; Yan, Miaomiao; Li, Yu] Nanjing Univ, Sch Informat Management, Nanjing 210093, Jiangsu, Peoples R China</t>
  </si>
  <si>
    <t>Nanjing University</t>
  </si>
  <si>
    <t>Hua, WN (corresponding author), Nanjing Univ, Sch Informat Management, 22 Hankou Rd, Nanjing 210093, Jiangsu, Peoples R China.</t>
  </si>
  <si>
    <t>huawn@nju.edu.cn</t>
  </si>
  <si>
    <t>Chinese Arctic and Antarctic Administration [IC2010003, JDZX20110405-GP-3-4]</t>
  </si>
  <si>
    <t>Chinese Arctic and Antarctic Administration</t>
  </si>
  <si>
    <t>Research for this article is funded by the Chinese Arctic and Antarctic Administration (Grants IC2010003 and JDZX20110405-GP-3-4). I would also like to express my gratitude to Ronald Rousseau (KHBO, Belgium) and David A. Hales, Professor Emeritus, University of Alaska Fairbanks for their advice while completing this paper.</t>
  </si>
  <si>
    <t>0138-9130</t>
  </si>
  <si>
    <t>1588-2861</t>
  </si>
  <si>
    <t>Scientometrics</t>
  </si>
  <si>
    <t>10.1007/s11192-012-0690-0</t>
  </si>
  <si>
    <t>Computer Science, Interdisciplinary Applications; Information Science &amp; Library Science</t>
  </si>
  <si>
    <t>Computer Science; Information Science &amp; Library Science</t>
  </si>
  <si>
    <t>935PZ</t>
  </si>
  <si>
    <t>WOS:000303533600004</t>
  </si>
  <si>
    <t>Chmel, A; Smirnov, V; Shcherbakov, I</t>
  </si>
  <si>
    <t>Chmel, Alexandre; Smirnov, Victor; Shcherbakov, Igor</t>
  </si>
  <si>
    <t>Hierarchy of non-extensive mechanical processes in fracturing sea ice</t>
  </si>
  <si>
    <t>ACTA GEOPHYSICA</t>
  </si>
  <si>
    <t>sea ice; dynamic fracture; Tsallis statistics</t>
  </si>
  <si>
    <t>NONEXTENSIVE ANALYSIS; VARIABILITY; COMPLEXITY; SEISMICITY; DYNAMICS; ENTROPY; SYSTEMS; IMPACT; AREA</t>
  </si>
  <si>
    <t>The fracture-induced oscillations in sea ice were detected by seismographs and seismic tiltmeters established on the Arctic ice pack. Field observations were supplemented with a laboratory experiment. The energy distributions in elastic waves generated during: (i) large-scale ice pack fragmentation over area of about 10(5) km(2), (ii) local crack propagation in ice floe, and (iii) laboratory ice crashing were constructed and analyzed using principles of the Tsallis statistics. The energy release regimes at different stages of fracturing were characterized by the parameter of nonextensivity q. In terms of the non-extensive statistical mechanics, q &gt; 1 evidences the correlated (non-extensive) dynamics of the process in nonequilibrium system, q = 1 responds to the additivity of events occurring in equilibrium system, and q &lt; 1 takes place when the energy release is additive and limited by an upper cut-off. All these scenarios were revealed in fracture processes occurring at three hierarchic levels. The variation of the q-value demonstrates high thermodynamic changeability of the fracture process driven by irregular external source. The role of energy conservation in fracturing sea ice is discussed in connection with the observed reversible transitions between extensive and non-extensive modes of fracture.</t>
  </si>
  <si>
    <t>[Chmel, Alexandre; Shcherbakov, Igor] Russian Acad Sci, AF Ioffe Physicotech Inst, Fracture Phys Dept, St Petersburg 196140, Russia; [Smirnov, Victor] Arctic &amp; Antarctic Res Inst, St Petersburg 199226, Russia</t>
  </si>
  <si>
    <t>Russian Academy of Sciences; St. Petersburg Scientific Centre of the Russian Academy of Sciences; Ioffe Physical Technical Institute; Arctic &amp; Antarctic Research Institute</t>
  </si>
  <si>
    <t>Chmel, A (corresponding author), Russian Acad Sci, AF Ioffe Physicotech Inst, Fracture Phys Dept, St Petersburg 196140, Russia.</t>
  </si>
  <si>
    <t>chmel@mail.ioffe.ru</t>
  </si>
  <si>
    <t>Shcherbakov, Igor/AGN-6598-2022</t>
  </si>
  <si>
    <t>SPRINGER INTERNATIONAL PUBLISHING AG</t>
  </si>
  <si>
    <t>CHAM</t>
  </si>
  <si>
    <t>GEWERBESTRASSE 11, CHAM, CH-6330, SWITZERLAND</t>
  </si>
  <si>
    <t>1895-6572</t>
  </si>
  <si>
    <t>1895-7455</t>
  </si>
  <si>
    <t>ACTA GEOPHYS</t>
  </si>
  <si>
    <t>Acta Geophys.</t>
  </si>
  <si>
    <t>10.2478/s11600-012-0029-5</t>
  </si>
  <si>
    <t>934TP</t>
  </si>
  <si>
    <t>WOS:000303469900013</t>
  </si>
  <si>
    <t>Gifford, CM; Agah, A</t>
  </si>
  <si>
    <t>Gifford, Christopher M.; Agah, Arvin</t>
  </si>
  <si>
    <t>Subglacial water presence classification from polar radar data</t>
  </si>
  <si>
    <t>ENGINEERING APPLICATIONS OF ARTIFICIAL INTELLIGENCE</t>
  </si>
  <si>
    <t>Pattern recognition; Machine learning; Ensemble classification; Radar remote sensing; Subglacial water</t>
  </si>
  <si>
    <t>CLASSIFIERS; FUSION</t>
  </si>
  <si>
    <t>Ground and airborne radar depth-sounding of the Greenland and Antarctic ice sheets have been used for many years to remotely determine characteristics such as ice thickness, subglacial topography, and mass balance of large bodies of ice. Ice coring efforts have supported these radar data to provide ground truth for validation of the state (wet or frozen) of the interface between the bottom of the ice sheet and the underlying bedrock. Subglacial state governs the friction, flow speed, transport of material, and overall change of the ice sheet. In this paper, we utilize machine learning and classifier combination to model water presence from airborne polar radar data acquired on Greenland in 1999 and 2007. The underlying method results in radar independence, allowing model transfer from 1999 to 2007 radar data to produce water presence maps of the Greenland ice sheet with differing radars. We focus on how to construct a successful set of classifiers capable of high classification accuracy. Utilizing multiple machine learning algorithms is shown to be successful for this classification problem, achieving 86% classification accuracy in the best case. Several heuristics are presented for constructing teams of multiple classifiers for predicting subglacial water presence. The presented methodology could also be applied to radar data acquired over the Antarctic ice sheet. (C) 2012 Elsevier Ltd. All rights reserved.</t>
  </si>
  <si>
    <t>[Gifford, Christopher M.] Johns Hopkins Univ, Appl Phys Lab, Natl Secur Technol Dept, Laurel, MD 20723 USA; [Agah, Arvin] Univ Kansas, Dept Elect Engn &amp; Comp Sci, Lawrence, KS 66045 USA</t>
  </si>
  <si>
    <t>Johns Hopkins University; Johns Hopkins University Applied Physics Laboratory; University of Kansas</t>
  </si>
  <si>
    <t>Gifford, CM (corresponding author), Johns Hopkins Univ, Appl Phys Lab, Natl Secur Technol Dept, Johns Hopkins Rd, Laurel, MD 20723 USA.</t>
  </si>
  <si>
    <t>Christopher.Gifford@jhuapl.edu; agah@ku.edu</t>
  </si>
  <si>
    <t>National Science Foundation [ANT-0424589]</t>
  </si>
  <si>
    <t>Author CM. Gifford performed this research while part of the Center for Remote Sensing of Ice Sheets (CReSIS) at the University of Kansas. The authors would like to thank Anthony Hoch at the CReSIS for helpful discussions about radar theory, and assistance in constructing the data set for this study. This material is based upon work supported by the National Science Foundation under Grant No. ANT-0424589. Any opinions, findings, and conclusions or recommendations expressed in this material are those of the authors and do not necessarily reflect the views of the National Science Foundation.</t>
  </si>
  <si>
    <t>0952-1976</t>
  </si>
  <si>
    <t>1873-6769</t>
  </si>
  <si>
    <t>ENG APPL ARTIF INTEL</t>
  </si>
  <si>
    <t>Eng. Appl. Artif. Intell.</t>
  </si>
  <si>
    <t>10.1016/j.engappai.2011.12.002</t>
  </si>
  <si>
    <t>Automation &amp; Control Systems; Computer Science, Artificial Intelligence; Engineering, Multidisciplinary; Engineering, Electrical &amp; Electronic</t>
  </si>
  <si>
    <t>Automation &amp; Control Systems; Computer Science; Engineering</t>
  </si>
  <si>
    <t>935WE</t>
  </si>
  <si>
    <t>WOS:000303552100020</t>
  </si>
  <si>
    <t>Martínez-Rosales, C; Fullana, N; Musto, H; Castro-Sowinski, S</t>
  </si>
  <si>
    <t>Martinez-Rosales, Cecilia; Fullana, Natalia; Musto, Hector; Castro-Sowinski, Susana</t>
  </si>
  <si>
    <t>Antarctic DNA moving forward: genomic plasticity and biotechnological potential</t>
  </si>
  <si>
    <t>FEMS MICROBIOLOGY LETTERS</t>
  </si>
  <si>
    <t>Antarctic; cold-adapted; mobile genetic element</t>
  </si>
  <si>
    <t>COLD-ADAPTED ENZYMES; HETEROLOGOUS EXPRESSION; BETA-GALACTOSIDASE; BACTERIUM; GENES; MICROORGANISMS; LIPASE; IDENTIFICATION; PSEUDOMONAS; SEQUENCE</t>
  </si>
  <si>
    <t>Antarctica is the coldest, driest, and windiest continent, where only cold-adapted organisms survive. It has been frequently cited as a pristine place, but it has a highly diverse microbial community that is continually seeded by nonindigenous microorganisms. In addition to the intromission of alien microorganisms, global warming strongly affects microbial Antarctic communities, changing the genes (qualitatively and quantitatively) potentially available for horizontal gene transfer. Several mobile genetic elements have been described in Antarctic bacteria (including plasmids, transposons, integrons, and genomic islands), and the data support that they are actively involved in bacterial evolution in the Antarctic environment. In addition, this environment is a genomic source for the identification of novel molecules, and many investigators have used culture-dependent and culture-independent approaches to identify cold-adapted proteins. Some of them are described in this review. We also describe studies for the design of new recombinant technologies for the production of difficult proteins.</t>
  </si>
  <si>
    <t>[Martinez-Rosales, Cecilia; Fullana, Natalia; Castro-Sowinski, Susana] Univ Republica, Fac Ciencias, Secc Bioquim, Montevideo 11400, Uruguay; [Martinez-Rosales, Cecilia; Castro-Sowinski, Susana] Inst Invest Biol Clemente Estable, Unidad Microbiol Mol, Montevideo, Uruguay; [Musto, Hector] Univ Republica, Fac Ciencias, Lab Org &amp; Evoluc Genoma, Montevideo 11400, Uruguay</t>
  </si>
  <si>
    <t>Universidad de la Republica, Uruguay; Instituto de Investigaciones Biologicas Clemente Estable Uruguay; Universidad de la Republica, Uruguay</t>
  </si>
  <si>
    <t>Castro-Sowinski, S (corresponding author), Univ Republica, Fac Ciencias, Secc Bioquim, Igua 4225, Montevideo 11400, Uruguay.</t>
  </si>
  <si>
    <t>s.castro.sow@gmail.com</t>
  </si>
  <si>
    <t>Musto, Hector/0000-0001-9863-0841</t>
  </si>
  <si>
    <t>Agencia Nacional de Investigacion e Innovacion (ANII)</t>
  </si>
  <si>
    <t>Authors thank Programa De Desarrollo de las Ciencias Basicas (PEDECIBA), Uruguay, and Instituto Antartico Uruguayo (IAU). C.M.-R. was supported by Agencia Nacional de Investigacion e Innovacion (ANII).</t>
  </si>
  <si>
    <t>0378-1097</t>
  </si>
  <si>
    <t>1574-6968</t>
  </si>
  <si>
    <t>FEMS MICROBIOL LETT</t>
  </si>
  <si>
    <t>FEMS Microbiol. Lett.</t>
  </si>
  <si>
    <t>10.1111/j.1574-6968.2012.02531.x</t>
  </si>
  <si>
    <t>934IW</t>
  </si>
  <si>
    <t>WOS:000303438800001</t>
  </si>
  <si>
    <t>Paniello, RC; Moynier, F; Beck, P; Barrat, JA; Podosek, FA; Pichat, S</t>
  </si>
  <si>
    <t>Paniello, Randal C.; Moynier, Frederic; Beck, Pierre; Barrat, Jean-Alix; Podosek, Frank A.; Pichat, Sylvain</t>
  </si>
  <si>
    <t>Zinc isotopes in HEDs: Clues to the formation of 4-Vesta, and the unique composition of Pecora Escarpment 82502</t>
  </si>
  <si>
    <t>DIOGENITE PARENT BODY; ASTEROID 4 VESTA; ANTARCTIC METEORITES; OXYGEN-ISOTOPE; TRACE-ELEMENTS; EUCRITES; GEOCHEMISTRY; IMPACT; IRON; HOWARDITE</t>
  </si>
  <si>
    <t>The delta Zn-66 (permil deviation of the Zn-66/Zn-64 ratio from a terrestrial standard) values for a suite of 20 non-Antarctic HED (howardite-eucrite-diogenite) meteorites and one mesosiderite, and for eight Antarctic eucrites and diogenites, were measured in order to determine the role of volatization in the formation of their presumed parent body, the asteroid 4-Vesta. The 20 non-Antarctic HEDs had delta Zn-66 values that ranged from -2.0 parts per thousand to +1.67 parts per thousand, with a mean value of -0.01 +/- 0.39 parts per thousand (2 se); this range likely represents a small-scale heterogeneity due to brecciation induced by multiple impacts. The non-Antarctic eucrites (delta Zn-66 = +0.00 +/- 0.58 parts per thousand (2 se), n = 12) were isotopically the same as the diogenites (delta Zn-66 = -0.31 +/- 0.80 parts per thousand (2 se), n = 4), and the howardites (delta Zn-66 = +0.26 +/- 0.37 parts per thousand (2 se), n = 4). On average, non-Antarctic eucrite falls were isotopically heavier (+0.50 parts per thousand) than non-Antarctic finds (-1.00 parts per thousand). The Antarctic finds studied were all unbrecciated samples, and they were significantly heavier than the non-Antarctic samples with a delta Zn-66 range of +1.63 parts per thousand to +6.22 parts per thousand for four eucrites (mean, +4.32 parts per thousand) and +0.94 parts per thousand to +1.60 parts per thousand for three diogenites (mean + 1.23 parts per thousand), excluding one anomalous sample, while their Zn concentration is significantly lower than the brecciated samples. These data suggest that the unbrecciated eucrites probably represent the eucritic crust shortly after differentiation and cooling of the parent asteroid, at which time volatization of lighter zinc isotopes led to an isotopically heavy crust. Early impact events caused the ejection of these unbrecciated meteorites, which were subsequently spared from brecciation caused by multiple additional impacts on the much larger Vesta. The range of delta(66)Znn values and Zn concentration for the brecciated HEDs in this study supports a major contribution to the Vestan surface by chondritic impactors (-1.30 &lt; delta Zn-66 &lt; +0.76 parts per thousand for ordinary and carbonaceous chondrites). The anomalous eucrite PCA 82502 (delta Zn-66 = -7.75 parts per thousand) is significantly isotopically lighter than the other HEDs and is the natural sample with the lightest Zn isotopic composition reported in the solar system to date. This meteorite most likely originated from a distinct parent body. (C) 2012 Elsevier Ltd. All rights reserved.</t>
  </si>
  <si>
    <t>[Paniello, Randal C.; Moynier, Frederic; Podosek, Frank A.] Washington Univ, Dept Earth &amp; Planetary Sci, St Louis, MO 63130 USA; [Paniello, Randal C.; Moynier, Frederic; Podosek, Frank A.] Washington Univ, McDonnell Ctr Space Sci, St Louis, MO 63130 USA; [Beck, Pierre] Univ Grenoble 1, Lab Planetol, Grenoble, France; [Barrat, Jean-Alix] Univ Europeenne Bretagne, F-29280 Plouzane, France; [Barrat, Jean-Alix] Univ Brest, IUEM, CNRS UMR Domaines Ocean 6538, F-29280 Plouzane, France; [Pichat, Sylvain] Ecole Normale Super Lyon, Lyon, France</t>
  </si>
  <si>
    <t>Washington University (WUSTL); Washington University (WUSTL); Communaute Universite Grenoble Alpes; Universite Grenoble Alpes (UGA); Universite de Bretagne Occidentale; Centre National de la Recherche Scientifique (CNRS); CNRS - National Institute for Earth Sciences &amp; Astronomy (INSU); Universite de Bretagne Occidentale; Institut Universitaire Europeen de la Mer (IUEM); Ecole Normale Superieure de Lyon (ENS de LYON)</t>
  </si>
  <si>
    <t>Paniello, RC (corresponding author), Washington Univ, Dept Earth &amp; Planetary Sci, 1 Brookings Dr, St Louis, MO 63130 USA.</t>
  </si>
  <si>
    <t>paniellor@ent.wustl.edu</t>
  </si>
  <si>
    <t>Moynier, Frederic/AAH-1235-2022; Beck, Pierre/F-3149-2011; Moynier, Frederic/I-2785-2012; Moynier, Frederic/AFL-9257-2022; Pichat, Sylvain/C-8407-2012; Jean-Alix, BARRAT/F-8035-2012; Barrat, Jean Alix/C-8416-2017</t>
  </si>
  <si>
    <t>Moynier, Frederic/0000-0003-4321-5581; Moynier, Frederic/0000-0003-4321-5581; Pichat, Sylvain/0000-0001-8558-6298; Barrat, Jean Alix/0000-0003-3158-3109</t>
  </si>
  <si>
    <t>MWG-NASA, Houston; MNHN-Paris; ASU, Tempe; NHM-London; Field Museum, Chicago; W. Australian Museum; U. New Mexico, Albuquerque; Smithsonian Institution, Washington DC; AMNH, New York</t>
  </si>
  <si>
    <t>MWG-NASA, Houston; MNHN-Paris; ASU, Tempe; NHM-London; Field Museum, Chicago; W. Australian Museum; U. New Mexico, Albuquerque; Smithsonian Institution, Washington DC(Smithsonian Institution); AMNH, New York</t>
  </si>
  <si>
    <t>We also thank Cecilia Satterwhite and Kevin Righter (MWG-NASA, Houston), Brigitte Zanda (MNHN-Paris), Laurence Garvie and Meenakshi Wadhwa (ASU, Tempe), Franz Brandstatter (Vienna), Caroline Smith (NHM-London), James Holstein and Clarita Nunez (Field Museum, Chicago), Alex Bevan (W. Australian Museum), Jim Karner and Carl Agee (U. New Mexico, Albuquerque), Tim McCoy (Smithsonian Institution, Washington DC), and Joseph Boesenburg and Denton Ebel (AMNH, New York) who generously supplied the meteorite samples and their support for this work.</t>
  </si>
  <si>
    <t>10.1016/j.gca.2012.01.045</t>
  </si>
  <si>
    <t>937RZ</t>
  </si>
  <si>
    <t>WOS:000303677400005</t>
  </si>
  <si>
    <t>Liu, N; Fu, G; Kuo, YH</t>
  </si>
  <si>
    <t>Liu Na; Fu Gang; Kuo Ying-Hwa</t>
  </si>
  <si>
    <t>Statistical characteristics of austral summer cyclones in Southern Ocean</t>
  </si>
  <si>
    <t>JOURNAL OF OCEAN UNIVERSITY OF CHINA</t>
  </si>
  <si>
    <t>cyclone; explosive cyclone; Southern Hemisphere; lifetime</t>
  </si>
  <si>
    <t>SYNOPTIC CLIMATOLOGY; EXPLOSIVE CYCLOGENESIS; NORTH-ATLANTIC; HEMISPHERE; BEHAVIOR; VARIABILITY; COMPOSITE</t>
  </si>
  <si>
    <t>Characteristics of cyclones and explosively developing cyclones (or 'bombs') over the Southern Ocean in austral summer (December, January and February) from 2004 to 2008 are analyzed by using the Final Analysis (FNL) data produced by the National Centers for Environmental Prediction (NCEP) of the United States. Statistical results show that both cyclones and explosively developing cyclones frequently develop in January, and most of them occur within the latitudinal zone between 55A degrees S and 70A degrees S. These cyclones gradually approach the Antarctic Continent from December to February. Generally cyclones and bombs move east-southeastward with some exceptions of northeastward movement. The lifetime of cyclones is around 2-6 d, and the horizontal scale is about 1000 km. Explosive cyclones have the lifetime of about 1 week with the horizontal scale reaching up to 3000 km. Compared with cyclones developed in the Northern Hemisphere, cyclones over the southern ocean have much higher occurrence frequency, lower central pressure and larger horizontal scale, which may be caused by the unique geographical features of the Southern Hemisphere.</t>
  </si>
  <si>
    <t>[Liu Na; Fu Gang] Ocean Univ China, Dept Marine Meteorol, Qingdao 266100, Peoples R China; [Liu Na; Kuo Ying-Hwa] Natl Ctr Atmospher Res, Mesoscale &amp; Microscale Meteorol Div, Boulder, CO 80307 USA</t>
  </si>
  <si>
    <t>Ocean University of China; National Center Atmospheric Research (NCAR) - USA</t>
  </si>
  <si>
    <t>Fu, G (corresponding author), Ocean Univ China, Dept Marine Meteorol, Qingdao 266100, Peoples R China.</t>
  </si>
  <si>
    <t>fugang@ouc.edu.cn</t>
  </si>
  <si>
    <t>Chinese Meteorological Administration [GYHY(QX)200706031]; National Natural Science Foundation of China [406750060]; Chinese Ministry of Science and Technology [2006AA09Z151]; Laboratory of Physical Oceanography of Ocean University of China</t>
  </si>
  <si>
    <t>Chinese Meteorological Administration; National Natural Science Foundation of China(National Natural Science Foundation of China (NSFC)); Chinese Ministry of Science and Technology(Ministry of Science and Technology, China); Laboratory of Physical Oceanography of Ocean University of China</t>
  </si>
  <si>
    <t>This paper is part of the first author's Ph.D thesis submitted to the Ocean University of China in 2011. This study was partly supported by the Chinese Meteorological Administration (No. GYHY(QX)200706031), the National Natural Science Foundation of China (No. 406750060), and the Chinese Ministry of Science and Technology (863 Project) (No. 2006AA09Z151). This work was also supported by the open project of the Laboratory of Physical Oceanography of Ocean University of China.</t>
  </si>
  <si>
    <t>OCEAN UNIV CHINA</t>
  </si>
  <si>
    <t>QINGDAO</t>
  </si>
  <si>
    <t>5 YUSHAN RD, QINGDAO, 266003, PEOPLES R CHINA</t>
  </si>
  <si>
    <t>1672-5182</t>
  </si>
  <si>
    <t>J OCEAN U CHINA</t>
  </si>
  <si>
    <t>J. OCEAN UNIV.</t>
  </si>
  <si>
    <t>10.1007/s11802-012-1828-7</t>
  </si>
  <si>
    <t>935NR</t>
  </si>
  <si>
    <t>WOS:000303526400002</t>
  </si>
  <si>
    <t>Montuy-Gómez, D; Gómez-Gutiérrez, J; Rodríguez-Jaramillo, C; Robinson, CJ</t>
  </si>
  <si>
    <t>Montuy-Gomez, Dellis; Gomez-Gutierrez, Jaime; Rodriguez-Jaramillo, Carmen; Robinson, Carlos J.</t>
  </si>
  <si>
    <t>Nyctiphanes simplex (Crustacea: Euphausiacea) temporal association of embryogenesis and early larval development with female molt and ovarian cycles</t>
  </si>
  <si>
    <t>Nyctiphanes simplex; embryogenesis; early larval development; molting; gonad development</t>
  </si>
  <si>
    <t>ANTARCTIC KRILL; EMBRYONIC-DEVELOPMENT; SUPERBA DANA; NORTHERN KRILL; MEGANYCTIPHANES-NORVEGICA; CELL LINEAGE; AMPHIPOD CRUSTACEAN; HATCHING MECHANISM; ENERGETIC COST; GROWTH</t>
  </si>
  <si>
    <t>Embryogenesis (single cell to twitching stage) and early larval stages (nauplius to calyptopis 3) internal morphology of the sac-spawning species Nyctiphanes simplex was investigated to explore its temporal association with gonad development and molt development cycles. Krill were collected and incubated shipboard in July 2007 and March 2010 in the Gulf of California. Cleavage patterns were similar to what is observed in broadcast-spawning species, suggesting a close phylogenetic consistency between krill species with distinct spawning strategies. Nyctiphanes simplex, like broadcast-spawning krill species, had eight Kranzzellen (K1K8) cells during the blastula stage. The gonad of ovigerous females with embryos in the cell division stage is in the multiplication stage (Stage I). From the nauplius stage, most females are in previtellogenesis (Stage II). Only females with metanauplii occasionally have gonads in vitellogenesis (Stage III). Gonad maturity (Stage IV) occurs only after the release of the embryos from the ovigerous sac. Females with an ovigerous sac were invariably at the intermolt stage, suggesting a precise synchronization among processes of molting, gonad development and embryo release to produce consecutive broods. Lipid and carbohydrate storage decreased exponentially throughout embryonic and early larval development, depending on their endogenous reserves. When metanauplii leave the ovigerous sac, they have low storage lipid (2) and carbohydrate (5). These proportions suggest a theoretically short period-of-no-return (2 days), when they transform into the first feeding stage (calyptopis 1).</t>
  </si>
  <si>
    <t>[Montuy-Gomez, Dellis; Gomez-Gutierrez, Jaime] Ctr Interdisciplinario Ciencias Marinas, Dept Plancton &amp; Ecol Marina, La Paz 23096, BCS, Mexico; [Rodriguez-Jaramillo, Carmen] Ctr Invest Biol Noroeste, La Paz 23096, BCS, Mexico; [Robinson, Carlos J.] Univ Nacl Autonoma Mexico, Inst Ciencias Mar &amp; Limnol, Lab Ecol Pesquerias, Mexico City 04510, DF, Mexico</t>
  </si>
  <si>
    <t>CIBNOR - Centro de Investigaciones Biologicas del Noroeste; Telefonica SA; Universidad Nacional Autonoma de Mexico</t>
  </si>
  <si>
    <t>Gómez-Gutiérrez, J (corresponding author), Ctr Interdisciplinario Ciencias Marinas, Dept Plancton &amp; Ecol Marina, Av IPN S-N, La Paz 23096, BCS, Mexico.</t>
  </si>
  <si>
    <t>jagomezg@ipn.mx</t>
  </si>
  <si>
    <t>Rodriguez-Jaramillo, Maria del Carmen/0000-0003-3926-9560</t>
  </si>
  <si>
    <t>Programa de Estimulos al Desempeno de los Investigadores (EDI-IPN); Comision de Operacion y Fomento de Actividades Academicas (COFAA-IPN); Centro Interdisciplinario de Ciencias Marinas-Instituto Politecnico Nacional, Secretaria de Investigacion y Posgrado [20080490, 20090090, 20100173, 20110012, 20120948]; Consejo Nacional de Ciencia y Tecnologia [CONACYT-FOSEMARNAT-2004-01-C01-144, CONACYT-SAGARPA S007-2005-1-11717]; Instituto de Ciencias del Mar y Limnologia, Universidad Nacional Autonoma de Mexico; CONACYT; Programa Institucional de Formacion de Investigadores del Instituto Politecnico Nacional (PIFI-IPN)</t>
  </si>
  <si>
    <t>Programa de Estimulos al Desempeno de los Investigadores (EDI-IPN); Comision de Operacion y Fomento de Actividades Academicas (COFAA-IPN); Centro Interdisciplinario de Ciencias Marinas-Instituto Politecnico Nacional, Secretaria de Investigacion y Posgrado; Consejo Nacional de Ciencia y Tecnologia(Consejo Nacional de Ciencia y Tecnologia (CONACyT)); Instituto de Ciencias del Mar y Limnologia, Universidad Nacional Autonoma de Mexico(Universidad Nacional Autonoma de Mexico); CONACYT(Consejo Nacional de Ciencia y Tecnologia (CONACyT)); Programa Institucional de Formacion de Investigadores del Instituto Politecnico Nacional (PIFI-IPN)</t>
  </si>
  <si>
    <t>J.G.-G. was supported by Programa de Estimulos al Desempeno de los Investigadores (EDI-IPN) and Comision de Operacion y Fomento de Actividades Academicas (COFAA-IPN) fellowships. Funding for this project was provided by Centro Interdisciplinario de Ciencias Marinas-Instituto Politecnico Nacional, Secretaria de Investigacion y Posgrado (grants 20080490, 20090090, 20100173, 20110012 and 20120948), Consejo Nacional de Ciencia y Tecnologia CONACYT-FOSEMARNAT-2004-01-C01-144, CONACYT-SAGARPA S007-2005-1-11717 and Instituto de Ciencias del Mar y Limnologia, Universidad Nacional Autonoma de Mexico. D.M.-G. was a recipient of Master Science graduate fellowships from CONACYT and Programa Institucional de Formacion de Investigadores del Instituto Politecnico Nacional (PIFI-IPN).</t>
  </si>
  <si>
    <t>10.1093/plankt/fbs026</t>
  </si>
  <si>
    <t>WOS:000303340700007</t>
  </si>
  <si>
    <t>Yick, JL; Barnett, A; Tracey, SR</t>
  </si>
  <si>
    <t>Yick, Jonah L.; Barnett, Adam; Tracey, Sean R.</t>
  </si>
  <si>
    <t>The trophic ecology of two abundant mesopredators in south-east coastal waters of Tasmania, Australia</t>
  </si>
  <si>
    <t>DOGFISH SQUALUS-ACANTHIAS; MARINE APEX PREDATOR; SPINY DOGFISH; FOOD-HABITS; CENTRAL CALIFORNIA; FEEDING STRATEGY; MUSTELUS-MANAZO; DIETARY OVERLAP; BODY-SIZE; TOP-DOWN</t>
  </si>
  <si>
    <t>Investigating predator-prey relationships is an important component for identifying and understanding the factors that influence the structure and function of ecosystems. Mesopredators, defined as mid-level predators, have a profound effect on ecosystem structure by contributing an important link between apex predators and lower trophic levels. The diet of two elasmobranch mesopredators, Squalus acanthias and Mustelus antarcticus, was investigated in three locations in south-east Tasmania. Squalus acanthias consumed predominantly pelagic teleosts and cephalopods, while M. antarcticus predominantly consumed benthic crustaceans. As a result, there was low dietary and niche overlap between the two species. There was however evidence of intra-specific dietary variations between locations for both the species. This study has contributed to a better understanding of the top-down dynamics of the food web in coastal Tasmania, by providing important dietary information of two abundant mesopredators. In addition, the similar dietary patterns for S. acanthias and other Mustelus species over much of their global range suggest they may be consistent in their trophic roles across systems, with limited competition between these two sympatric mesopredators to be expected.</t>
  </si>
  <si>
    <t>[Yick, Jonah L.; Barnett, Adam; Tracey, Sean R.] Univ Tasmania, Inst Marine &amp; Antarctic Studies, Hobart, Tas 7001, Australia</t>
  </si>
  <si>
    <t>Yick, JL (corresponding author), Inland Fisheries Serv, POB 575, New Norfolk, Tas 7140, Australia.</t>
  </si>
  <si>
    <t>jonah.yick@dpipwe.tas.gov.au</t>
  </si>
  <si>
    <t>Tracey, Sean/J-7446-2014</t>
  </si>
  <si>
    <t>Tracey, Sean/0000-0002-6735-5899; Yick, Jonah/0000-0001-5464-0458; , Adam/0000-0001-7430-8428</t>
  </si>
  <si>
    <t>The authors thank T. Alexander, C. Macleod, J. Semmens and G. Pecl for their aid in invertebrate identifications, R. Sakabe for his assistance with some of the statistical analyses, and K. Redd for generously running the DNA analyses on specimens unable to be identified visually. We also thank all volunteer students who assisted in the Weld and laboratory work. This study was supported by grants to A. B. from the Save Our Seas Foundation, Winifred Violet Scott Foundation and the Holsworth Wildlife Research Endowment. All research was conducted under the approval of the Department of Primary Industries and Water permit (8028) and the University of Tasmania Ethics Committee (A0009120).</t>
  </si>
  <si>
    <t>10.1007/s00227-012-1899-4</t>
  </si>
  <si>
    <t>WOS:000303472100002</t>
  </si>
  <si>
    <t>Gillies, CL; Stark, JS; Smith, SDA</t>
  </si>
  <si>
    <t>Gillies, Christopher L.; Stark, Jonathan S.; Smith, Stephen D. A.</t>
  </si>
  <si>
    <t>Research article: small-scale spatial variation of δ13C and δ15N isotopes in Antarctic carbon sources and consumers</t>
  </si>
  <si>
    <t>Benthic food webs; East Antarctica; Scale; Spatial variation; Stable isotope analysis; Trophic baseline</t>
  </si>
  <si>
    <t>TERRA-NOVA BAY; STABLE-ISOTOPE; FOOD-WEB; TROPHIC STRUCTURE; ORGANIC-MATTER; SEA-ICE; TREMATOMUS-BERNACCHII; NITROGEN ISOTOPES; EAST ANTARCTICA; DIET</t>
  </si>
  <si>
    <t>Regional food web studies that fail to account for small-scale isotopic variability can lead to a mismatch between an organism's inferred and true trophic position. Misinterpretation of trophic status may result, substantially limiting spatial and temporal comparability of food web studies. We sampled several carbon sources and consumers in a nested design to assess the variability of food web members across small spatial scales (100 s of m to several km) in regions around the Windmill Islands and Vestfold Hills in East Antarctica. For carbon sources, delta C-13 in sea ice POM was particularly variable between locations (km apart) and between sites (100 s of m apart) with replicate samples varying by up to 16aEuro degrees. Macroalgae delta C-13 was less variable (replicate samples ranging up to 6.9aEuro degrees for the red alga Iridaea cordata), yet still differed between locations. Sediment POM and pelagic POM were the least variable, displaying minimal differences between locations or sites for delta C-13 and delta N-15. Three out of eight consumers were significantly different between locations for delta C-13, and five out of eight for delta N-15, with the fish Trematomus bernacchii the most variable for both delta C-13 and delta N-15. At smaller scales, the amphipod Paramorea walkeri showed significant variation between sites in delta C-13 but not in delta N-15. We attribute small-scale variability to the dynamic physical environment for carbon sources in coastal systems and a close coupling of diet to habitat for consumers. We highlight the need to account for small-scale spatial variation in sampling designs for regional food web studies.</t>
  </si>
  <si>
    <t>[Gillies, Christopher L.; Stark, Jonathan S.] Australian Antarctic Div, Kingston, Tas 7050, Australia; [Gillies, Christopher L.] Univ New England, Sch Environm &amp; Rural Sci, Coffs Harbour, NSW 2450, Australia; [Gillies, Christopher L.; Smith, Stephen D. A.] So Cross Univ, Natl Marine Sci Ctr, Coffs Harbour, NSW 2450, Australia</t>
  </si>
  <si>
    <t>Australian Antarctic Division; University of New England; Southern Cross University</t>
  </si>
  <si>
    <t>Gillies, CL (corresponding author), Australian Antarctic Div, Channel Highway, Kingston, Tas 7050, Australia.</t>
  </si>
  <si>
    <t>chris.gillies@aad.gov.au</t>
  </si>
  <si>
    <t>Smith, Stephen D A/I-1945-2012; Stark, Jonathan/ABF-4025-2020; Bosley, Sharron J/E-4641-2012</t>
  </si>
  <si>
    <t>Smith, Stephen D A/0000-0002-3372-5441; Stark, Jonathan/0000-0002-4268-8072;</t>
  </si>
  <si>
    <t>University of New England; Southern Cross University; Australian Antarctic Division (AAS) [2948, 2201]</t>
  </si>
  <si>
    <t>University of New England; Southern Cross University; Australian Antarctic Division (AAS)</t>
  </si>
  <si>
    <t>We are grateful to members of the 2006/07 summer Casey field and dive team and 2009/10 summer Davis field and diving teams for assistance with field collections. Advice on stable isotope preparations was provided by Melissa Bautista. Glenn Johnstone provided helpful criticism on earlier versions of this manuscript. Kathryn James produced Fig. 1 from maps generated by the Australian Antarctic Data Centre. This research was funded by PhD research scholarships from the University of New England and Southern Cross University and supported financially and logistically by the Australian Antarctic Division (AAS projects 2948 and 2201).</t>
  </si>
  <si>
    <t>10.1007/s00300-011-1126-7</t>
  </si>
  <si>
    <t>WOS:000303356600001</t>
  </si>
  <si>
    <t>Tavernier, E; Mayzaud, P; Boutoute, M; Vallet, C; Koubbi, P</t>
  </si>
  <si>
    <t>Tavernier, Eric; Mayzaud, Patrick; Boutoute, Marc; Vallet, Carole; Koubbi, Philippe</t>
  </si>
  <si>
    <t>Lipid characterization of Pleuragramma antarcticum (Nothoteniidae) larvae off East Antarctica (139°E-145.10°E) during summer</t>
  </si>
  <si>
    <t>Pleuragramma antarcticum; Larvae; Lipid composition; Fatty acid markers; Nutritional status; Antarctic</t>
  </si>
  <si>
    <t>WEDDELL SEA ANTARCTICA; FATTY-ACID COMPOSITION; NUTRITIONAL CONDITION; NOTOTHENIOID FISH; ENGRAULIS-MORDAX; TROPHIC MARKERS; ANCHOVY LARVAE; MERTZ GLACIER; GADUS-MORHUA; TERRE-ADELIE</t>
  </si>
  <si>
    <t>Pleuragramma antarcticum (Antarctic silverfish) larvae are a key component of the neritic assemblages in the Antarctic coastal waters and can be considered as an indicator of the future changes that may occur in this area. Lipid class and fatty acid composition was studied to assess the nutritional status and evaluate the type of dominant trophic interactions of P. antarcticum larvae collected between Terre Ad,lie and the Mertz Glacier Tongue (139A degrees E-145.10A degrees E) during summer 2007. P. antarcticum larvae exhibit moderate lipid levels (11.9-15.0% dry weight). Lipid class analyses showed a similar pattern over the study area consisting mainly of polar lipids (61-75% of total lipids). During their first summer, larvae started to accumulate small amount of lipid reserves in the form of triacylglycerols (10-16% of total lipids). Polar lipids were dominated by phosphatidylcholine (55-59%) followed by phosphatidylethanolamine (19-21%). Fatty acid signature of triacylglycerols indicates (1) a dominance of copepod of the Oithona type in the trophic pattern of P. antarcticum larvae and (2) a significant contribution of phytoplankton. In the same way, the analysis of gut content shows that 70% of larvae fed on various assemblages of phytoplankton and zooplankton (mainly copepods) and 30% of larvae fed exclusively on phytoplankton. Although a carnivorous diet is commonly described, our results suggest that P. antarcticum larvae showed an opportunistic feeding strategy (i.e. high degree of omnivory) and that dietary energy seems to be mainly directed towards fast growth rather than energy storage for periods of starvation.</t>
  </si>
  <si>
    <t>[Tavernier, Eric] ULCO, Dept Genie Biol, F-62327 Boulogne Sur Mer, France; [Tavernier, Eric; Vallet, Carole] Univ Lille Nord France, F-59000 Lille, France; [Mayzaud, Patrick; Boutoute, Marc; Koubbi, Philippe] Univ Paris 06, CNRS, Lab Oceanog Villefranche, UMR 7093, F-06234 Villefranche Sur Mer, France; [Vallet, Carole] Univ Littoral Cote dOpale, Lab Oceanol &amp; Geosci, UMR 8187, F-62930 Wimereux, France; [Vallet, Carole] Univ Artois, IUFM Nord Pas de Calais, Ctr Outreau, F-62230 Outreau, France</t>
  </si>
  <si>
    <t>Universite du Littoral-Cote-d'Opale; Universite de Lille; Sorbonne Universite; Centre National de la Recherche Scientifique (CNRS); CNRS - National Institute for Earth Sciences &amp; Astronomy (INSU); Centre National de la Recherche Scientifique (CNRS); CNRS - National Institute for Earth Sciences &amp; Astronomy (INSU); Universite du Littoral-Cote-d'Opale; Universite d'Artois</t>
  </si>
  <si>
    <t>Tavernier, E (corresponding author), ULCO, Dept Genie Biol, BP 120, F-62327 Boulogne Sur Mer, France.</t>
  </si>
  <si>
    <t>eric.tavernier@univ-littoral.fr</t>
  </si>
  <si>
    <t>Koubbi, Philippe/D-5873-2015</t>
  </si>
  <si>
    <t>Institut Paul Emile Victor (IPEV); Zone Atelier Antarctique (CNRS)</t>
  </si>
  <si>
    <t>We thank Captain Xavier Le Bras and the crew of the R/V l'Astrolabe, Alain Pierre and Alain Pottier from IPEV for the logistic help onboard. We also thank members of the ICOTA expedition and volunteers for help with the field work. Funding was provided by Institut Paul Emile Victor (IPEV) and Zone Atelier Antarctique (CNRS). Thanks to Lucie Courcot for her work with the SEM.</t>
  </si>
  <si>
    <t>10.1007/s00300-011-1127-6</t>
  </si>
  <si>
    <t>WOS:000303356600002</t>
  </si>
  <si>
    <t>Greenslade, P; Vernon, P; Smith, D</t>
  </si>
  <si>
    <t>Greenslade, Penelope; Vernon, P.; Smith, D.</t>
  </si>
  <si>
    <t>Ecology of Heard Island Diptera</t>
  </si>
  <si>
    <t>Anatalanta aptera; Calycopteryx moseleyi; Amalopteryx maritima; Fluctuating asymmetry; Climate change; Invasive species</t>
  </si>
  <si>
    <t>FLUCTUATING ASYMMETRY; 1ST RECORD; FLY</t>
  </si>
  <si>
    <t>Phenology, distribution and abundance of three Diptera species on Heard Island were investigated to provide baseline data for monitoring the effect on climate change on populations. Five vegetation types at two localities were sampled in two different years, firstly in the summer of 1987-1988 at Atlas Cove and secondly at Spit Bay over 12 months from summer 1992 to summer 1993. Pitfall traps and soil core extractions were operated in summer at both localities and pitfalls alone for 12 months from Spit Bay. The wingless Anatalanta aptera was the most abundant species in traps at Atlas Cove with most individuals collected from Poa tussock grassland, half as many from Pringlea and Azorella vegetation and fewest with a significantly higher level of asymmetry in the large katepisternal setae, from Azorella and Fellfield. Calycopteryx moseleyi was the most abundant fly in traps at Spit Bay, and A. maritima was the least abundant at both localities. Monthly pitfall catches from 1992-1993 indicated that A. aptera was active in most months of the year apart from winter, females early in the season and males active throughout the summer; teneral individuals only detected in January. C. moseleyi was more strongly seasonal with peak adult numbers occurring in January. Amalopteryx maritima was least seasonal in activity. Asymmetry in A. aptera suggests that it was at the limit of its ecological tolerance in Fellfield and Azorella on Heard Island. Changes caused by climate warming or invasive species are mooted.</t>
  </si>
  <si>
    <t>[Greenslade, Penelope] Univ Ballarat, Sch Sci Informat Technol &amp; Engn, Ballarat, Vic 3353, Australia; [Greenslade, Penelope] S Australian Museum, Adelaide, SA 5000, Australia; [Vernon, P.] Univ Rennes 1, CNRS, Stn Biol, UMR 6553, F-35380 Paimpont, France; [Smith, D.] Australian Museum, Sydney, NSW 2600, Australia</t>
  </si>
  <si>
    <t>Federation University Australia; Universite de Rennes; Centre National de la Recherche Scientifique (CNRS); CNRS - Institute of Ecology &amp; Environment (INEE); Australian Museum</t>
  </si>
  <si>
    <t>Greenslade, P (corresponding author), Univ Ballarat, Sch Sci Informat Technol &amp; Engn, Ballarat, Vic 3353, Australia.</t>
  </si>
  <si>
    <t>Pgreenslade@staff.ballarat.edu.au; philippe.vernon@univ-rennes1.fr; Derek.Smith@austmus.gov.au</t>
  </si>
  <si>
    <t>Vernon, Philippe/0000-0002-6237-7511</t>
  </si>
  <si>
    <t>CRC for Antarctic Science; ASAC</t>
  </si>
  <si>
    <t>We would like to thank the collectors, H. Burton, P. Climie and K. Green, and also the Australian Antarctic Division for logistic support that facilitated the collection of specimens. The senior author should also like to thank the CRC for Antarctic Science for a grant under the Global Warming Research Programme to enable her to visit Dr Vernon in 1998 and to ASAC for grant moneys to partially support the data collection and analysis. P. Convey made suggestions that greatly improved the manuscript.</t>
  </si>
  <si>
    <t>10.1007/s00300-011-1128-5</t>
  </si>
  <si>
    <t>WOS:000303356600003</t>
  </si>
  <si>
    <t>Evans, CW; Williams, DE; Vacchi, M; Brimble, MA; DeVries, AL</t>
  </si>
  <si>
    <t>Evans, Clive W.; Williams, David E.; Vacchi, Marino; Brimble, Margaret A.; DeVries, Arthur L.</t>
  </si>
  <si>
    <t>Metabolic and behavioural adaptations during early development of the Antarctic silverfish, Pleuragramma antarcticum</t>
  </si>
  <si>
    <t>Pleuragramma; Developmental descent; Metabolism; Behaviour; Phototaxis; Gravitaxis; Thermal tolerance; Ross Sea ecosystem</t>
  </si>
  <si>
    <t>NOTOTHENIOID FISHES; ROSS SEA; BUOYANCY; TEMPERATURE; TOLERANCE; DENSITY; EGGS; LIFE; COD</t>
  </si>
  <si>
    <t>The Antarctic silverfish Pleuragramma antarcticum is a keystone species in the Ross Sea ecosystem, providing one of the major links between lower and higher trophic levels. Despite the importance of this species, surprisingly little is known of its early development and behaviour. Here, we determine the metabolic capacity of Pleuragramma embryonated eggs and larvae and make comparisons with developing stages of another notothenioid, the naked dragonfish Gymnodraco acuticeps. We also show that although large numbers of embryonated eggs of Pleuragramma are found floating among the platelet ice of Terra Nova Bay, they are able to sink prior to hatching in late spring, likely reducing the risk of exposure to the potentially lethal, ice-laden surface environment. Applying Stoke's law, we determine the change in density required for embryonated eggs to sink at the measured rate and then consider possible mechanisms by which this might occur. Significantly, newly hatched larvae are positively gravitactic and negatively phototactic, such that their swimming behaviour also directs them away from the risk of freezing in the icy surface waters. Measurement of the acute thermal tolerance shows that Pleuragramma larvae have, on average, a sustainable swimming performance breadth of about 17A degrees C, which is significantly greater than that of other adult notothenioids. Although it lacks significant antifreeze capacity in its early developmental stages, Pleuragramma has other attributes that may ensure survival over a wider range of environmental temperatures than other more stenothermal Antarctic notothenioids. How it might adapt to prolonged environmental change arising from phenomena such as global warming, however, requires further investigation.</t>
  </si>
  <si>
    <t>[Evans, Clive W.] Univ Auckland, Sch Biol Sci, Auckland 1142, New Zealand; [Williams, David E.; Brimble, Margaret A.] Univ Auckland, Sch Chem Sci, Auckland 1142, New Zealand; [Vacchi, Marino] Univ Genoa, ISPRA, Museo Nazl Antartide, I-16132 Genoa, Italy; [DeVries, Arthur L.] Univ Illinois, Dept Anim Biol, Urbana, IL 61801 USA</t>
  </si>
  <si>
    <t>University of Auckland; University of Auckland; University of Genoa; University of Illinois System; University of Illinois Urbana-Champaign</t>
  </si>
  <si>
    <t>Williams, David E/B-3222-2012; Evans, Clive/AAZ-4699-2021</t>
  </si>
  <si>
    <t>Williams, David E/0000-0003-4123-5626; Brimble, Margaret/0000-0002-7086-4096; Evans, Clive/0000-0003-2888-842X</t>
  </si>
  <si>
    <t>National Science Foundation, Office of Polar Programs [02-31006]; Human Frontier Science Programme [RGP003/2009-C]; Italian Antarctic Project PNRA as part of the project ECOFISH [2004/8.04]</t>
  </si>
  <si>
    <t>National Science Foundation, Office of Polar Programs(National Science Foundation (NSF)); Human Frontier Science Programme(Human Frontier Science Program); Italian Antarctic Project PNRA as part of the project ECOFISH</t>
  </si>
  <si>
    <t>This work was supported by the National Science Foundation, Office of Polar Programs (#02-31006) and the Human Frontier Science Programme (RGP003/2009-C). The field activity at Stazione Mario Zucchelli was supported by the Italian Antarctic Project PNRA as part of the project ECOFISH (2004/8.04). We thank Paul Cziko, Eva Pisano and Lauren Fields for their input, our colleagues at Stazione Mario Zucchelli and Scott Base for their help and companionship in the field, and our referees (JT Eastman and DG Ainley) for their helpful comments.</t>
  </si>
  <si>
    <t>10.1007/s00300-011-1134-7</t>
  </si>
  <si>
    <t>WOS:000303356600007</t>
  </si>
  <si>
    <t>Connelly, TL; Deibel, D; Parrish, CC</t>
  </si>
  <si>
    <t>Connelly, Tara L.; Deibel, Don; Parrish, Christopher C.</t>
  </si>
  <si>
    <t>Elemental composition, total lipid content, and lipid class proportions in zooplankton from the benthic boundary layer of the Beaufort Sea shelf (Canadian Arctic)</t>
  </si>
  <si>
    <t>Lipids; Hyperbenthic; Elemental ratios; Amphipods; Mysids; Decapod shrimp</t>
  </si>
  <si>
    <t>CHAETOGNATH PARASAGITTA-ELEGANS; ENVIRONMENT CONCEPTION BAY; BIOCHEMICAL-COMPOSITION; DEEP-WATER; ANTARCTIC ZOOPLANKTON; BOREOMYSIS-ARCTICA; SEASONAL-VARIATION; HYPERBENTHIC ZONE; FATTY-ACID; WAX ESTERS</t>
  </si>
  <si>
    <t>Biochemical analyses such as lipid class and elemental composition can inform us about a species' role in community energetics and nutrient cycling. The accumulation of lipid-rich energy stores affects the elemental composition and stoichiometry of animal tissues, and this relationship is especially relevant to zooplankton at higher latitudes due to increased seasonal lipid storage. However, due to sampling difficulties, the elemental composition and energy storage capabilities of polar, benthic boundary layer zooplankton are poorly known. We determined elemental and lipid class compositions for 26 taxa of benthic boundary layer zooplankton from the Beaufort Sea shelf. Elemental composition as a percentage of dry weight ranged 21-56% for carbon (C), 4-11% for nitrogen (N), and 0.1-1.1% for phosphorus (P) across all taxa. C concentration and C:N were positively correlated with the storage lipids triacylglycerols (TG) and wax esters/steryl esters (WE/SE) and negatively correlated with membrane lipids (phospholipids and sterols). Most taxa had high levels of storage lipids, generally TG. High levels of WE/SE were found in the copepod Calanus hyperboreus (&gt; 90% of total lipid) and the chaetognath Eukrohnia hamata (72%). In contrast, the chaetognath Parasagitta elegans had only minor proportions of both TG and WE/SE. The high levels of storage lipids in most taxa indicate that feeding behavior of benthic boundary layer zooplankton on the Beaufort Sea shelf is tightly linked with seasonal pulses of epipelagic production. This is the first report on the biochemical composition of most of the amphipod and mysid taxa presented here.</t>
  </si>
  <si>
    <t>[Connelly, Tara L.; Deibel, Don; Parrish, Christopher C.] Mem Univ Newfoundland, Ctr Ocean Sci, St John, NF A1C 5S7, Canada</t>
  </si>
  <si>
    <t>Memorial University Newfoundland</t>
  </si>
  <si>
    <t>Connelly, TL (corresponding author), Univ Texas Austin, Inst Marine Sci, Port Aransas, TX 78373 USA.</t>
  </si>
  <si>
    <t>tarac@mun.ca</t>
  </si>
  <si>
    <t>Natural Sciences and Engineering Research Council of Canada (NSERC); NSERC; Sigma Xi (Memorial University)</t>
  </si>
  <si>
    <t>Natural Sciences and Engineering Research Council of Canada (NSERC)(Natural Sciences and Engineering Research Council of Canada (NSERC)); NSERC(Natural Sciences and Engineering Research Council of Canada (NSERC)); Sigma Xi (Memorial University)</t>
  </si>
  <si>
    <t>We thank the officers and crew of the CCGS Amundsen and scientists of CASES for their help in the Weld. We acknowledge Jeanette Wells, Gary Maillet, and Christine Vickers for assistance in the laboratory, Don Steele and Sing-Hoi Lee for help with taxonomic identification, and Piotr Trela, Lisa Loseto, David Rees, and Paul Renaud for assistance in collecting the samples. Additionally, this manuscript benefited from valuable input by Dieter Piepenburg and two anonymous reviewers. This work was supported by a Natural Sciences and Engineering Research Council of Canada (NSERC) Network Grant to L. Fortier, by the NSERC Discovery Grant of D. Deibel, and by a Sigma Xi Student Grant-in-Aide and School of Graduate Studies Fellowship (Memorial University) to T. Connelly.</t>
  </si>
  <si>
    <t>10.1007/s00300-011-1142-7</t>
  </si>
  <si>
    <t>WOS:000303356600012</t>
  </si>
  <si>
    <t>Jeffery, NW</t>
  </si>
  <si>
    <t>Jeffery, Nicholas W.</t>
  </si>
  <si>
    <t>The first genome size estimates for six species of krill (Malacostraca, Euphausiidae): large genomes at the north and south poles</t>
  </si>
  <si>
    <t>Krill; Crustacean; Genome size; Feulgen image analysis densitometry; Flow cytometry</t>
  </si>
  <si>
    <t>DNA CONTENT</t>
  </si>
  <si>
    <t>Krill (family Euphausiidae) represent some of the most abundant organisms in the both northern and southern oceanic environments and provide food for various animals including humans. Despite their importance, little is known about krill from a genomic standpoint, even with regard to basic properties such as total genome size. This study provides genome size estimates for six species of krill from both the North Atlantic and Southern Oceans which are the first such estimates for any species of euphausiid. Genome size estimates were obtained using both flow cytometry and Feulgen image analysis densitometry with chicken and trout blood as internal standards. Haploid genome sizes ranged from 12.77 to 48.53 pg, providing roughly fourfold variation within these six species alone. With such large estimates, sequencing of a krill genome will currently be costly and laborious, but further studies should be conducted to determine the composition of these exceptionally large genomes.</t>
  </si>
  <si>
    <t>Univ Guelph, Guelph, ON N1G 2W1, Canada</t>
  </si>
  <si>
    <t>University of Guelph</t>
  </si>
  <si>
    <t>Jeffery, NW (corresponding author), Univ Guelph, Guelph, ON N1G 2W1, Canada.</t>
  </si>
  <si>
    <t>njeffery@uoguelph.ca</t>
  </si>
  <si>
    <t>Jeffery, Nicholas W/J-5859-2019</t>
  </si>
  <si>
    <t>Jeffery, Nicholas W/0000-0003-4242-5712</t>
  </si>
  <si>
    <t>Natural Sciences and Engineering Research Council of Canada (NSERC); NSERC</t>
  </si>
  <si>
    <t>Natural Sciences and Engineering Research Council of Canada (NSERC)(Natural Sciences and Engineering Research Council of Canada (NSERC)); NSERC(Natural Sciences and Engineering Research Council of Canada (NSERC))</t>
  </si>
  <si>
    <t>This study was supported by a Natural Sciences and Engineering Research Council of Canada (NSERC) Discovery Grant to Dr. Ryan Gregory and an NSERC Postgraduate Scholarship to Nicholas Jeffery. Thanks to the British Antarctic Survey (BAS) and the French Polar Institute (IPEV) for providing all specimens for this study. Angus Atkinson of the BAS Ecosystems programme provided E. superba, while E. frigida, E. triacantha, and Thysanoessa sp. were provided by Gabriele Stowasser from the DISCOVERY2010 programme at the BAS. Dr. Geraint Tarling provided M. norvegica. Dr Melody Clark (BAS) collated the samples for this study and arranged dispatch to Canada. Thanks also to Dr. Jean-Yves Toullec for providing specimens of E. crystallorophias and to the crew of the Astrolabe for specimen collection. Thanks to Dr. Ryan Gregory, Dr. Melody Clark, and Tyler Elliott for providing useful comments on early drafts of the manuscript.</t>
  </si>
  <si>
    <t>10.1007/s00300-011-1137-4</t>
  </si>
  <si>
    <t>WOS:000303356600013</t>
  </si>
  <si>
    <t>Lynch, HJ; White, R; Black, AD; Naveen, R</t>
  </si>
  <si>
    <t>Lynch, Heather J.; White, Richard; Black, Andrew D.; Naveen, Ron</t>
  </si>
  <si>
    <t>Detection, differentiation, and abundance estimation of penguin species by high-resolution satellite imagery</t>
  </si>
  <si>
    <t>Remote sensing; Adelie penguin; Gentoo penguin; Chinstrap penguin; Macaroni penguin; Zavodovski Island</t>
  </si>
  <si>
    <t>COLONIES; ROOKERIES</t>
  </si>
  <si>
    <t>Due to its high spatial resolution, broad spatial coverage, and cost-effectiveness, commercial satellite imagery is rapidly becoming a key component of biological monitoring in the Antarctic. While considerable success in surveying emperor penguins (Aptenodytes forsteri) has been facilitated by their large size and the visual simplicity of their habitat, there has been considerably less progress in mapping colonies on the Antarctic Peninsula and associated sub-Antarctic islands where smaller penguin species breed on topographically complex terrain composed of mixed substrates. Here, we demonstrate that Ad,lie penguin (Pygoscelis adeliae), chinstrap penguin (P. antarcticus), gentoo penguin (P. papua), and macaroni penguin (Eudyptes chrysolophus) colonies can be detected by high-resolution (2-m multispectral, 40-50-cm panchromatic) satellite imagery and that under ideal conditions, such imagery is capable of distinguishing among groups of species where they breed contiguously. To demonstrate the potential for satellite imagery to estimate penguin population abundance, we use satellite imagery of Paulet Island (63A degrees 35'S, 55A degrees 47'W) to estimate a site-wide population of 115,673 (99,222-127,203) breeding pairs of Ad,lie penguins.</t>
  </si>
  <si>
    <t>[Lynch, Heather J.] SUNY Stony Brook, Dept Ecol &amp; Evolut, Stony Brook, NY 11794 USA; [White, Richard; Naveen, Ron] Oceanites Inc, Chevy Chase, MD 20825 USA</t>
  </si>
  <si>
    <t>State University of New York (SUNY) System; State University of New York (SUNY) Stony Brook</t>
  </si>
  <si>
    <t>Lynch, HJ (corresponding author), SUNY Stony Brook, Dept Ecol &amp; Evolut, Stony Brook, NY 11794 USA.</t>
  </si>
  <si>
    <t>Lynch, Heather J/E-7371-2012</t>
  </si>
  <si>
    <t>US National Science Foundation Office of Polar Programs [NSF/OPP-0739515, NSF/OPP-0739430]; Polar Geospatial Center [ANT 1043681]; Government of South Georgia; South Sandwich Islands; Oceanites, Inc.; Directorate For Geosciences [0739430] Funding Source: National Science Foundation; Division Of Polar Programs [0739430] Funding Source: National Science Foundation; Office of Polar Programs (OPP); Directorate For Geosciences [0739515] Funding Source: National Science Foundation</t>
  </si>
  <si>
    <t>US National Science Foundation Office of Polar Programs(National Science Foundation (NSF)); Polar Geospatial Center; Government of South Georgia; South Sandwich Islands; Oceanites, Inc.; Directorate For Geosciences(National Science Foundation (NSF)NSF - Directorate for Geosciences (GEO)); Division Of Polar Programs(National Science Foundation (NSF)NSF - Directorate for Geosciences (GEO)); Office of Polar Programs (OPP); Directorate For Geosciences(National Science Foundation (NSF)NSF - Directorate for Geosciences (GEO))</t>
  </si>
  <si>
    <t>H.J.L. and R.N. gratefully acknowledge assistance from the US National Science Foundation Office of Polar Programs (Award No. NSF/OPP-0739515 and NSF/OPP-0739430) and the Polar Geospatial Center (Award No. ANT 1043681), as well as helpful comments on an earlier draft of the manuscript by Michelle LaRue and Paul Morin. Imagery provided through the NGA Commercial Imagery Program. Fieldwork on the South Sandwich Islands would not have been possible without the knowledge and skill of Jerome Poncet and the crew of MV Golden Fleece. The participation of A. D. B. on this expedition was funded by the Government of South Georgia and the South Sandwich Islands and that of R.W. by Oceanites, Inc.</t>
  </si>
  <si>
    <t>10.1007/s00300-011-1138-3</t>
  </si>
  <si>
    <t>WOS:000303356600014</t>
  </si>
  <si>
    <t>Fuse, YK; Sakamoto, KQ; Sato, K; Habara, Y</t>
  </si>
  <si>
    <t>Fuse, Yuji K.; Sakamoto, Kentaro Q.; Sato, Katsufumi; Habara, Yoshiaki</t>
  </si>
  <si>
    <t>Cardiorespiratory pattern of rest-associated apnea in a Weddell seal: a case study at an ice hole in Antarctica</t>
  </si>
  <si>
    <t>Weddell seal; Respiration; Heart rate; Apnea</t>
  </si>
  <si>
    <t>NORTHERN ELEPHANT SEALS; LEPTONYCHOTES-WEDDELLI; DEVELOPMENTAL-CHANGES; HEART-RATES</t>
  </si>
  <si>
    <t>Seals are known to be periodic breathers with eupneic and apneic phases at rest. We video-recorded a resting Weddell seal (Leptonychotes weddellii) that appeared head up from an ice hole in McMurdo Sound, Antarctica. From the video recorded, the duration of each eupneic and apneic phase was extracted, and heart rate in apneic phase was obtained by counting ripples of the sea surface around the neck of a seal. The results indicated that the distribution of instantaneous heart rate was bimodal. In addition, the higher the apneic heart rate, the shorter the apneic duration as well as the combination of apneic duration and successive eupneic duration (A-E duration). From these analyses, we characterized the periodic breathing of a resting Weddell seal.</t>
  </si>
  <si>
    <t>[Fuse, Yuji K.; Sakamoto, Kentaro Q.; Habara, Yoshiaki] Hokkaido Univ, Grad Sch Vet Med, Dept Biomed Sci, Physiol Lab, Sapporo, Hokkaido 0600818, Japan; [Sato, Katsufumi] Univ Tokyo, Atmosphere &amp; Ocean Res Inst, Int Coastal Res Ctr, Otsuchi, Iwate 0281102, Japan</t>
  </si>
  <si>
    <t>Hokkaido University; University of Tokyo</t>
  </si>
  <si>
    <t>Habara, Y (corresponding author), Hokkaido Univ, Grad Sch Vet Med, Dept Biomed Sci, Physiol Lab, North 18,West 9, Sapporo, Hokkaido 0600818, Japan.</t>
  </si>
  <si>
    <t>habara@vetmed.hokudai.ac.jp</t>
  </si>
  <si>
    <t>Sakamoto, Kentaro/N-7424-2019; Sakamoto, Kentaro/A-4843-2012</t>
  </si>
  <si>
    <t>Sakamoto, Kentaro/0000-0002-8499-799X; Sakamoto, Kentaro/0000-0002-8499-799X</t>
  </si>
  <si>
    <t>National Science Foundation [OPP-0229638]; Japanese Antarctic Research Expedition; KAKENHI [22688023]; Grants-in-Aid for Scientific Research [22688023] Funding Source: KAKEN</t>
  </si>
  <si>
    <t>National Science Foundation(National Science Foundation (NSF)); Japanese Antarctic Research Expedition;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</si>
  <si>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 P. J. Ponganis, T. K. Stockard, J. Heil, J. Meir, K. V. Ponganis and E. Stockard for assistance in the Weld, and Y. Naito for helpful suggestions. This study was partly supported by the National Science Foundation (OPP-0229638), the Japanese Antarctic Research Expedition and KAKENHI (22688023).</t>
  </si>
  <si>
    <t>10.1007/s00300-011-1140-9</t>
  </si>
  <si>
    <t>WOS:000303356600015</t>
  </si>
  <si>
    <t>Tomasi, C; Lupi, A; Mazzola, M; Stone, RS; Dutton, EG; Herber, A; Radionov, VF; Holben, BN; Sorokin, MG; Sakerin, SM; Terpugova, SA; Sobolewski, PS; Lanconelli, C; Petkov, BH; Busetto, M; Vitale, V</t>
  </si>
  <si>
    <t>Tomasi, Claudio; Lupi, Angelo; Mazzola, Mauro; Stone, Robert S.; Dutton, Ellsworth G.; Herber, Andreas; Radionov, Vladimir F.; Holben, Brent N.; Sorokin, Mikhail G.; Sakerin, Sergey M.; Terpugova, Svetlana A.; Sobolewski, Piotr S.; Lanconelli, Christian; Petkov, Boyan H.; Busetto, Maurizio; Vitale, Vito</t>
  </si>
  <si>
    <t>An update on polar aerosol optical properties using POLAR-AOD and other measurements performed during the International Polar Year</t>
  </si>
  <si>
    <t>Polar aerosol optical depth; Long-term AOD variations; Angstrom exponent variations; Polar aerosol chemical composition; Polar aerosol radiative parameters; Arctic haze; Volcanic aerosol effects</t>
  </si>
  <si>
    <t>LONG-TERM DECREASE; ARCTIC HAZE; BLACK CARBON; CHEMICAL-COMPOSITION; ATMOSPHERIC AEROSOL; SIZE DISTRIBUTIONS; SOUTH-POLE; BARROW; VARIABILITY; TRANSPORT</t>
  </si>
  <si>
    <t>An updated set of time series of derived aerosol optical depth (AOD) and Angstrom's exponent alpha from a number of Arctic and Antarctic stations was analyzed to determine the long-term variations of these two parameters. The Arctic measurements were performed at Ny-Alesund (1991-2010), Barrow (1977-2010) and some Siberian sites (1981-1991). The data were integrated with Level 2.0 AERONET sun-photometer measurements recorded at Hornsund, Svalbard, and Barrow for recent years, and at Tiksi for the summer 2010. The Antarctic data-set comprises sun-photometer measurements performed at Mirny (1982-2009), Neumayer (1991-2004), and Terra Nova Bay (1987-2005), and at South Pole (1977-2010). Analyses of daily mean AOD were made in the Arctic by (i) adjusting values to eliminate volcanic effects due to the El Chichon, Pinatubo, Kasatochi and Sarychev eruptions, and (ii) selecting the summer background aerosol data from those affected by forest fire smoke. Nearly null values of the long-term variation of summer background AOD were obtained at Ny-Alesund (1991-2010) and at Barrow (1977-2010). No evidence of important variations in AOD was found when comparing the monthly mean values of AOD measured at Tiksi in summer 2010 with those derived from multi-filter actinometer measurements performed in the late 1980s at some Siberian sites. The long-term variations of seasonal mean AOD for Arctic Haze (AH) conditions and AH episode seasonal frequency were also evaluated, finding that these parameters underwent large fluctuations over the 35-year period at Ny-Alesund and Barrow, without presenting well-defined long-term variations. A characterization of chemical composition, complex refractive index and single scattering albedo of ground-level aerosol polydispersions in summer and winter-spring is also presented, based on results mainly found in the literature. The long-term variation in Antarctic AOD was estimated to be stable, within +/- 0.10% per year, at the three coastal sites, and nearly null at South Pole, where a weak increase was only recently observed, associated with an appreciable decrease in alpha, plausibly due to the formation of thin stratospheric layers of ageing volcanic particles. The main characteristics of chemical composition, complex refractive index and single scattering albedo of Antarctic aerosols are also presented for coastal particles sampled at Neumayer and Terra Nova Bay, and continental particles at South Pole. (C) 2012 Elsevier Ltd. All rights reserved.</t>
  </si>
  <si>
    <t>[Tomasi, Claudio; Lupi, Angelo; Mazzola, Mauro; Lanconelli, Christian; Petkov, Boyan H.; Busetto, Maurizio; Vitale, Vito] CNR, Inst Atmospher Sci &amp; Climate, I-40129 Bologna, Italy; [Stone, Robert S.; Dutton, Ellsworth G.] NOAA, GMD, ESRL, Boulder, CO USA; [Stone, Robert S.] Univ Colorado, Cooperat Inst Res Environm Sci, Boulder, CO 80309 USA; [Herber, Andreas] Alfred Wegener Inst Polar &amp; Marine Res, Climate Syst Div, Bremerhaven, Germany; [Radionov, Vladimir F.] AARI, St Petersburg, Russia; [Sorokin, Mikhail G.] NASA, Goddard Space Flight Ctr, Biospher Sci Branch, Sigma Space Corp, Greenbelt, MD 20771 USA; [Sakerin, Sergey M.; Terpugova, Svetlana A.] RAS, VE Zuev Inst Atmospher Opt, Siberian Branch IAO SB, Tomsk, Russia; [Sobolewski, Piotr S.] PAS, Inst Geophys, Warsaw, Poland</t>
  </si>
  <si>
    <t>Consiglio Nazionale delle Ricerche (CNR); Istituto di Scienze dell'Atmosfera e del Clima (ISAC-CNR); National Oceanic Atmospheric Admin (NOAA) - USA; University of Colorado System; University of Colorado Boulder; Helmholtz Association; Alfred Wegener Institute, Helmholtz Centre for Polar &amp; Marine Research; Arctic &amp; Antarctic Research Institute; National Aeronautics &amp; Space Administration (NASA); NASA Goddard Space Flight Center; Zuev Institute of Atmospheric Optics, Siberian Branch of the Russian Academy of Sciences; Russian Academy of Sciences; Polish Academy of Sciences; Institute of Geophysics of the Polish Academy of Sciences</t>
  </si>
  <si>
    <t>Tomasi, C (corresponding author), CNR, Inst Atmospher Sci &amp; Climate, I-40129 Bologna, Italy.</t>
  </si>
  <si>
    <t>c.tomasi@isac.cnr.it</t>
  </si>
  <si>
    <t>Mazzola, Mauro/K-9376-2016; Sakerin, Sergey/A-6508-2014; Radionov, Vladimir F./O-3038-2017; busetto, maurizio/Q-4118-2018; vitale, vito/AAW-8441-2021; Terpugova, Svetlana/A-5054-2014; Lanconelli, Christian/Q-5848-2018</t>
  </si>
  <si>
    <t>Mazzola, Mauro/0000-0002-8394-2292; Lanconelli, Christian/0000-0002-9545-1255; vitale, vito/0000-0003-0978-8976; lupi, angelo/0000-0002-5009-9876; Terpugova, Svetlana/0000-0003-4468-9455; Sobolewski, Piotr/0000-0002-0583-2514; Petkov, Boyan/0000-0002-8328-340X; busetto, maurizio/0000-0003-1115-6564</t>
  </si>
  <si>
    <t>Programma Nazionale di Ricerche in Antartide (PNRA) [2006/6.01]; International Centre for Theoretical Physics, Trieste (Italy)</t>
  </si>
  <si>
    <t>Programma Nazionale di Ricerche in Antartide (PNRA); International Centre for Theoretical Physics, Trieste (Italy)</t>
  </si>
  <si>
    <t>The research activity was supported by the Programma Nazionale di Ricerche in Antartide (PNRA) and developed as a part of Subproject 2006/6.01: POLAR-AOD: a network to characterize the means, variability and trends of the climate-forcing properties of aerosols in polar regions. The authors thank R. Wagener, Principal Investigator of the Barrow AERONET site, for his effort in establishing and maintaining the activities at this important station of the Arctic region. The International Centre for Theoretical Physics, Trieste (Italy) is gratefully acknowledged for its support of the participation of B. Petkov in the framework of the Programme for Training and Research in Italian Laboratories.</t>
  </si>
  <si>
    <t>10.1016/j.atmosenv.2012.02.055</t>
  </si>
  <si>
    <t>WOS:000303098500004</t>
  </si>
  <si>
    <t>Ferracci, V; Rowley, DM</t>
  </si>
  <si>
    <t>Ferracci, Valerio; Rowley, David M.</t>
  </si>
  <si>
    <t>The temperature dependence of the bimolecular channels of the ClO+ClO reaction over the range T=298-323 K</t>
  </si>
  <si>
    <t>INTERNATIONAL JOURNAL OF CHEMICAL KINETICS</t>
  </si>
  <si>
    <t>CLO SELF-REACTION; ABSORPTION CROSS-SECTION; CHLORINE OXIDE RADICALS; PHOTOSENSITIZED DECOMPOSITION; THERMAL-DECOMPOSITION; MODULATED PHOTOLYSIS; FLASH-PHOTOLYSIS; ANTARCTIC OZONE; KINETICS; PRODUCT</t>
  </si>
  <si>
    <t>The bimolecular channels of the ClO self-reaction, although negligible under stratospheric conditions, become significant above ambient temperature. The kinetics of two of the three bimolecular channels of the ClO self-reaction, ClO + ClO -&gt; Cl2 + O2 (1b) and ClO + ClO -&gt; OClO + Cl (1d), were studied at T = 298323 K and at ambient pressure (patm approximate to 760 +/- 10 Torr). Radicals were generated via laser photolysis and monitored using UV absorption spectroscopy. The inclusion of charge-coupled device (CCD) detection allowed broadband monitoring of the radicals of interest along with the temporal resolution of their concentrations. Accurate and unequivocal quantification of the structured absorbers (ClO and OClO) was obtained via differential fitting procedures. The Arrhenius expressions obtained are k1b = 2.9-1.8+4.4 x 10-14exp[-(283 +/- 282)/T] cm3 molecule-1 s-1 and k1d = 7.2-6.1+39 x 10-15exp[-(225 +/- 574)/T] cm3 molecule-1 s-1, where the errors are 1s. The temperature dependences obtained in this work for both channels monitored are considerably less pronounced than those reported by Nickolaisen et al. (c) 2012 Wiley Periodicals, Inc. Int J Chem Kinet 44: 386397, 2012</t>
  </si>
  <si>
    <t>[Ferracci, Valerio; Rowley, David M.] UCL, Dept Chem, Christopher Ingold Labs, London WC1H 0AJ, England</t>
  </si>
  <si>
    <t>University of London; University College London</t>
  </si>
  <si>
    <t>Ferracci, V (corresponding author), UCL, Dept Chem, Christopher Ingold Labs, 20 Gordon St, London WC1H 0AJ, England.</t>
  </si>
  <si>
    <t>valerio.ferracci@ucl.ac.uk</t>
  </si>
  <si>
    <t>Ferracci, Valerio/G-3368-2016; Ferracci, Valerio/ABC-5552-2021</t>
  </si>
  <si>
    <t>Ferracci, Valerio/0000-0001-6647-993X;</t>
  </si>
  <si>
    <t>0538-8066</t>
  </si>
  <si>
    <t>INT J CHEM KINET</t>
  </si>
  <si>
    <t>Int. J. Chem. Kinet.</t>
  </si>
  <si>
    <t>10.1002/kin.20573</t>
  </si>
  <si>
    <t>Chemistry, Physical</t>
  </si>
  <si>
    <t>929DY</t>
  </si>
  <si>
    <t>WOS:000303042600003</t>
  </si>
  <si>
    <t>Hansen, JO; Penn, MH; Shearer, KD; Storebakken, T; Overland, M</t>
  </si>
  <si>
    <t>Hansen, J. O.; Penn, M. H.; Shearer, K. D.; Storebakken, T.; Overland, M.</t>
  </si>
  <si>
    <t>Tissue fluoride accumulation and kidney lesions in freshwater-reared Atlantic salmon (Salmo salar) fed with high dietary fluoride concentrations</t>
  </si>
  <si>
    <t>AQUACULTURE NUTRITION</t>
  </si>
  <si>
    <t>Antarctic krill; Atlantic salmon; Euphausia superba; fluoride excretion; kidney histology</t>
  </si>
  <si>
    <t>STURGEON ACIPENSER-BAERII; RAINBOW-TROUT; FISH-MEAL; EUPHAUSIA-SUPERBA; ANTARCTIC KRILL; FEED-INTAKE; GROWTH; TOXICITY; CALCIUM; RAT</t>
  </si>
  <si>
    <t>Antarctic krill (Euphausia superba) and other marine zooplankton may contain high levels of fluoride. The aim of the present experiment was to determine whether dietary fluoride from Antarctic krill at levels similar to the old and the new EU allowable limits in fish feeds (150 and 350 mg kg-1) would induce kidney lesions in freshwater-reared Atlantic salmon (Salmo salar). In addition to the diets containing krill, two high-sodium fluoride (NaF) diets (1500 and 3500 mg kg-1) were used to investigate the effect on growth, feed intake, faecal excretion of minerals and accumulation of fluoride in various tissues. No major effects on growth or feed intake were observed. A higher proportion of the ingested fluoride was absorbed in salmon fed with the NaF diets compared with fish fed with krill shell diets. Fluoride accumulated in liver, kidney and especially bone. Faecal excretion of calcium and magnesium was higher for the NaF-fed fish compared with fish fed with the control and krill shell diets, whereas the levels of these minerals in plasma were unaffected. Dietary fluoride from krill shells did not induce kidney lesions. One-third of the salmon fed with the highest NaF diet showed signs of crystal formation within the distal tubules and/or collecting ducts in the kidney.</t>
  </si>
  <si>
    <t>[Hansen, J. O.; Shearer, K. D.; Storebakken, T.; Overland, M.] Norwegian Univ Life Sci, Dept Anim &amp; Aquaculture Sci, Aquaculture Prot Ctr, CoE, NO-1432 As, Norway; [Penn, M. H.] Norwegian Sch Vet Sci, Dept Basic Sci &amp; Aquat Med, Aquaculture Prot Ctr, CoE, Oslo, Norway</t>
  </si>
  <si>
    <t>Norwegian University of Life Sciences; Norwegian University of Life Sciences</t>
  </si>
  <si>
    <t>Overland, M (corresponding author), Norwegian Univ Life Sci, Dept Anim &amp; Aquaculture Sci, Aquaculture Prot Ctr, CoE, POB 5003, NO-1432 As, Norway.</t>
  </si>
  <si>
    <t>marga-reth.overland@umb.no</t>
  </si>
  <si>
    <t>storebakken, trond/E-8050-2011; Øverland, Margareth/G-3451-2012</t>
  </si>
  <si>
    <t>Krillsea Group AS, Alesund, Norway; Norwegian University of Life Sciences</t>
  </si>
  <si>
    <t>The research was supported by Krillsea Group AS, Alesund, Norway. Jon Ovrum Hansen was supported by a PhD grant from the Norwegian University of Life Sciences.</t>
  </si>
  <si>
    <t>MALDEN</t>
  </si>
  <si>
    <t>COMMERCE PLACE, 350 MAIN ST, MALDEN 02148, MA USA</t>
  </si>
  <si>
    <t>1353-5773</t>
  </si>
  <si>
    <t>AQUACULT NUTR</t>
  </si>
  <si>
    <t>Aquac. Nutr.</t>
  </si>
  <si>
    <t>10.1111/j.1365-2095.2011.00897.x</t>
  </si>
  <si>
    <t>924NV</t>
  </si>
  <si>
    <t>WOS:000302699500008</t>
  </si>
  <si>
    <t>Dempsey, JP; Xie, Y; Adamson, RM; Farmer, DM</t>
  </si>
  <si>
    <t>Dempsey, J. P.; Xie, Y.; Adamson, R. M.; Farmer, D. M.</t>
  </si>
  <si>
    <t>Fracture of a ridged multi-year Arctic sea ice floe</t>
  </si>
  <si>
    <t>Sea ice; Ridge; Multi-year floe; Acoustic; Seismic; Fracture energy</t>
  </si>
  <si>
    <t>As part of the 1994 Sea Ice Mechanics Initiative experimental program, fracture experiments were carried out on an 80 m diameter ridged multi-year (MY) ice floe in the Beaufort Sea. An edge cracked, quasi-circular ridged floe was subjected to both cyclic and ramp loading sequences using a steel flat jack. Load, crack opening displacement, acoustical and seismic measurements were made during the experiments. The objective was to gain further insight into the fracture and constitutive properties of MY sea ice. Accurate predictions of the strength of MY sea ice and the forces developed during interactions between MY sea ice and floating or fixed structures are sought. Such interactions include MY ice floe collisions with offshore structures and ships. The fracture resistance of MY ice is determined to be within the range 23&lt;47 J/m(2) for a 80 m diameter ridged MY floe. This fracture energy is similar to values obtained for the fracture of FY sea ice both in the Arctic and the Antarctic. (C) 2011 Elsevier B.V. All rights reserved.</t>
  </si>
  <si>
    <t>[Dempsey, J. P.] Clarkson Univ, Dept Civil &amp; Environm Engn, Potsdam, NY 13699 USA; [Xie, Y.] Pacific Salmon Commiss, Vancouver, BC V6E 1B5, Canada; [Farmer, D. M.] Univ Rhode Isl, Grad Sch Oceanog, Narragansett, RI 02882 USA</t>
  </si>
  <si>
    <t>Clarkson University; University of Rhode Island</t>
  </si>
  <si>
    <t>Dempsey, JP (corresponding author), Clarkson Univ, Dept Civil &amp; Environm Engn, Potsdam, NY 13699 USA.</t>
  </si>
  <si>
    <t>jdempsey@clarkson.edu</t>
  </si>
  <si>
    <t>Dempsey, John/0000-0002-5820-7181</t>
  </si>
  <si>
    <t>U.S. National Science Foundation [ANT-0338226/JPD]; U.S. Office of Naval Research [N00014-90-J-1360/JPD, N00014-93-1-0714/JPD, N00014-92-J-1256/DMFYX]; Centre for Offshore Research and Engineering, the National University of Singapore</t>
  </si>
  <si>
    <t>U.S. National Science Foundation(National Science Foundation (NSF)); U.S. Office of Naval Research(Office of Naval Research); Centre for Offshore Research and Engineering, the National University of Singapore</t>
  </si>
  <si>
    <t>The research support of the U.S. National Science Foundation (ANT-0338226/JPD), the U.S. Office of Naval Research (N00014-90-J-1360/JPD, N00014-93-1-0714/JPD, and N00014-92-J-1256/DMF&amp;YX), the Centre for Offshore Research and Engineering, the National University of Singapore (as a Maritime Technology Professor/JPD), the logistical support of M.D. Coon and A. Heibig, and the technical support provided by M.D. Coon, D.C. Echert, G.S Knoke, R.S. Pritchard and L.H. Shapiro are gratefully acknowledged.</t>
  </si>
  <si>
    <t>10.1016/j.coldregions.2011.09.012</t>
  </si>
  <si>
    <t>WOS:000302970700009</t>
  </si>
  <si>
    <t>Otero, RA; Parham, JF; Soto-Acuña, S; Jimenez-Huidobro, P; Rubilar-Rogers, D</t>
  </si>
  <si>
    <t>Otero, Rodrigo A.; Parham, James F.; Soto-Acuna, Sergio; Jimenez-Huidobro, Paulina; Rubilar-Rogers, David</t>
  </si>
  <si>
    <t>Marine reptiles from Late Cretaceous (early Maastrichtian) deposits in Algarrobo, central Chile</t>
  </si>
  <si>
    <t>Marine turtles; Plesiosaurs; Mosasaurs; Early Maastrichtian; Central Chile</t>
  </si>
  <si>
    <t>ELASMOSAURID PLESIOSAUR; SAUROPTERYGIA; MOSASAURIDAE; ATTACHMENT; PATAGONIA; GENUS</t>
  </si>
  <si>
    <t>We report new specimens of Late Cretaceous (early Maastrichtian) reptiles collected from Algarrobo, central Chile. The Algarrobo fossils include the northernmost occurrence of marine turtles, articulated plesiosaur remains, and mosasaur teeth recognized in the Weddellian Biogeographic Province. The presence of articulated material and teeth of elasmosaurid plesiosaurs, mosasaur teeth, and post-cranial remains of cf. dermochelyid sea turtles re-emphasizes an emerging picture of the composition of Maastrichtian marine reptiles in the Pacific Basin. The fossil reptiles suggest that the Algarrobo strata were deposited on a shallow marine shelf. Proximity to the coast is indirectly suggested by the presence of fossil wood. (C) 2011 Elsevier Ltd. All rights reserved.</t>
  </si>
  <si>
    <t>[Otero, Rodrigo A.] Consejo Monumentos Nacl, Santiago, Chile; [Parham, James F.] Univ Alabama, Alabama Museum Nat Hist, Tuscaloosa, AL 35487 USA; [Parham, James F.] Calif State Coll Bakersfield, Dept Biol, Bakersfield, CA 93311 USA; [Soto-Acuna, Sergio] Univ Chile, Dept Biol, Lab Ontogenia &amp; Filogenia, Santiago 3425, Chile; [Jimenez-Huidobro, Paulina] Univ Alberta, Dept Biol Sci, Edmonton, AB T6G 2E9, Canada; [Rubilar-Rogers, David] Museo Nacl Hist Nat, Area Paleontol, Santiago, Chile</t>
  </si>
  <si>
    <t>University of Alabama System; University of Alabama Tuscaloosa; California State University System; California State University Bakersfield; Universidad de Chile; University of Alberta</t>
  </si>
  <si>
    <t>Otero, RA (corresponding author), Consejo Monumentos Nacl, Av Vicuna Mackenna N 084, Santiago, Chile.</t>
  </si>
  <si>
    <t>Soto Acuna, Sergio/0000-0002-9311-9355; Otero, Rodrigo/0000-0002-3046-2973; Rubilar-Rogers, David/0000-0001-8240-4188</t>
  </si>
  <si>
    <t>Antarctic Ring Project [ACT-105-Conicyt]; Remington Kellogg Fund; Smithsonian Institution</t>
  </si>
  <si>
    <t>Antarctic Ring Project; Remington Kellogg Fund; Smithsonian Institution(Smithsonian Institution)</t>
  </si>
  <si>
    <t>D. Rubilar-Rogers and R. Otero were supported by the Antarctic Ring Project (ACT-105-Conicyt). J.F. Parham was supported by the Remington Kellogg Fund and funding from the Smithsonian Institution to N.D. Pyenson. R. Otero was authorized by the Consejo de Monumentos Nacionales (National Monuments Council, Chile) in March 2006 to collect fossil samples. P. Jimenez-Huidobro thanks M.W. Caldwell for comments provided during the review process. We all thank M.E. Suarez (Museo Paleontologico de Caldera, Atacama, Chile) for providing access to three of the specimens studied.</t>
  </si>
  <si>
    <t>10.1016/j.cretres.2011.12.003</t>
  </si>
  <si>
    <t>911YQ</t>
  </si>
  <si>
    <t>WOS:000301761000010</t>
  </si>
  <si>
    <t>Rodrigo, JS; van Beeck, J; Buchlin, JM</t>
  </si>
  <si>
    <t>Rodrigo, Javier Sanz; van Beeck, Jeroen; Buchlin, Jean-Marie</t>
  </si>
  <si>
    <t>Wind engineering in the integrated design of princess Elisabeth Antarctic base</t>
  </si>
  <si>
    <t>BUILDING AND ENVIRONMENT</t>
  </si>
  <si>
    <t>Antarctica; Integrated design; Wind engineering; Snowdrift; Wind loading; Sand erosion</t>
  </si>
  <si>
    <t>LOW-RISE BUILDINGS; REQUIREMENTS; SIMULATION; SNOWDRIFT; SNOW; ENVIRONMENT</t>
  </si>
  <si>
    <t>The Belgian Antarctic Base Princess Elisabeth is based on an elevated building on top of sloping terrain and connected to an under-snow garage. The integrated design of the base was supported by wind engineering testing that looked into building aerodynamics (pressure taps) and snowdrift management. Wind tunnel modeling using sand erosion technique allowed efficient evaluation of the snow erosion and deposition around different building-block shapes during the conceptual design phase. Parametric testing shows that the positioning of the main building on the ridge has a significant impact on wind loading and snow erosion and deposition. Important reductions in wind loading and snow deposition can be obtained by elevating the building and reducing the windward cantilever. The positioning of the garage roof can further decrease the wind loading by acting as a diffuser in the back of the building. This study shows that, not only for safety and cost reduction but also for the integration of renewable energies, important benefits in the design of a building can be achieved if wind engineering is considered since the conceptual phase of the integrated building design process. (C) 2012 Elsevier Ltd. All rights reserved.</t>
  </si>
  <si>
    <t>[Rodrigo, Javier Sanz; van Beeck, Jeroen; Buchlin, Jean-Marie] von Karman Inst Fluid Dynam VKI, B-1640 Rhode St Genese, Belgium</t>
  </si>
  <si>
    <t>Rodrigo, JS (corresponding author), Natl Renewable Energy Ctr Spain CENER, C Ciudad Innovac 7, Sarriguren 31621, Spain.</t>
  </si>
  <si>
    <t>jsrodrigo@cener.com</t>
  </si>
  <si>
    <t>Sanz Rodrigo, Javier/P-9150-2017</t>
  </si>
  <si>
    <t>Sanz Rodrigo, Javier/0000-0003-0291-6429</t>
  </si>
  <si>
    <t>0360-1323</t>
  </si>
  <si>
    <t>BUILD ENVIRON</t>
  </si>
  <si>
    <t>Build. Environ.</t>
  </si>
  <si>
    <t>10.1016/j.buildenv.2011.12.023</t>
  </si>
  <si>
    <t>Construction &amp; Building Technology; Engineering, Environmental; Engineering, Civil</t>
  </si>
  <si>
    <t>Construction &amp; Building Technology; Engineering</t>
  </si>
  <si>
    <t>906BF</t>
  </si>
  <si>
    <t>WOS:000301319200001</t>
  </si>
  <si>
    <t>Ríos, AF; Velo, A; Pardo, PC; Hoppema, M; Pérez, FF</t>
  </si>
  <si>
    <t>Rios, A. F.; Velo, A.; Pardo, P. C.; Hoppema, M.; Perez, F. F.</t>
  </si>
  <si>
    <t>An update of anthropogenic CO2 storage rates in the western South Atlantic basin and the role of Antarctic Bottom Water</t>
  </si>
  <si>
    <t>Anthropogenic CO2 storage rate; Anthropogenic CO2 inventory; Decadal variability; Antarctic bottom water; South Atlantic; Southern Ocean</t>
  </si>
  <si>
    <t>NORTH-ATLANTIC; OCEAN; DISTRIBUTIONS; INVENTORY; TRACERS; DEEP</t>
  </si>
  <si>
    <t>The western basin of the South Atlantic from 10 degrees N to 55 degrees S and from the coast to the Mid-Atlantic Ridge is a region with large uncertainties as to the storage of anthropogenic CO2 (Cant). Our analysis of data of the last three decades provides a Cant storage rate of 0.92 +/- 0.13 mol m(-2) y(-1), i.e., 13%-35% higher than previous estimates in this area. The low but significant Cant concentrations ([Cant]) in the large volume of relatively well ventilated Antarctic Bottom Water (AABW) may well be the underlying cause of this higher storage rate. In fact, the significant contribution in terms of Cant of this ventilated AABW that enters the western South Atlantic Ocean was calculated to be 0.055 +/- 0.02 Pg C y(-1) or 0.20 mol m(-2) y(-1). Instead of being based on the annual trend, the Cant specific inventory (in mol m-2) evolution is more consistently computed as a function of the atmospheric xCO(2) perturbation in ppm, (0.64 mol m(-2) ppm(-1)). This methodology allows improved projections of Cant storage rates over long periods. Published by Elsevier B.V.</t>
  </si>
  <si>
    <t>[Rios, A. F.; Velo, A.; Pardo, P. C.; Perez, F. F.] CSIC, IIM, E-36208 Vigo, Spain; [Hoppema, M.] Alfred Wegener Inst Polar &amp; Marine Res Climate Sc, D-27515 Bremerhaven, Germany</t>
  </si>
  <si>
    <t>Consejo Superior de Investigaciones Cientificas (CSIC); CSIC - Instituto de Investigaciones Marinas (IIM); Helmholtz Association; Alfred Wegener Institute, Helmholtz Centre for Polar &amp; Marine Research</t>
  </si>
  <si>
    <t>Ríos, AF (corresponding author), CSIC, IIM, C Eduardo Cabello 6, E-36208 Vigo, Spain.</t>
  </si>
  <si>
    <t>aida@iim.csic.es</t>
  </si>
  <si>
    <t>Fernandez Perez, Fiz/B-9001-2011; Velo, Anton/B-4172-2019; C. Pardo, Paula/A-8217-2019; Hoppema, Mario/I-6286-2013</t>
  </si>
  <si>
    <t>Fernandez Perez, Fiz/0000-0003-4836-8974; Velo, Anton/0000-0002-7598-5700; C. Pardo, Paula/0000-0001-6348-2332; Hoppema, Mario/0000-0002-2326-619X</t>
  </si>
  <si>
    <t>EU; European Community [264879]</t>
  </si>
  <si>
    <t>EU(European Union (EU)); European Community</t>
  </si>
  <si>
    <t>This work was supported through EU FP7 project CARBOCHANGE Changes in carbon uptake and emissions by oceans in a changing climate which received funding from the European Community's Seventh Framework Programme under grant agreement no. 264879. We would like to thank the teams who contributed in putting together the GLODAP and CARINA databases and the chief scientists, scientists and crew who participated and put their efforts in the oceanographic cruises used in this study. We would also like to thank Toste Tanhua, Rik Wanninkhof and the anonymous reviewer for their thoughtful comments. Our special gratitude goes to Michel Arhan (Coordinator of the WOCE-France program CITHER), who shared his knowledge on the South Atlantic Ocean.</t>
  </si>
  <si>
    <t>10.1016/j.jmarsys.2011.11.023</t>
  </si>
  <si>
    <t>WOS:000300748500017</t>
  </si>
  <si>
    <t>Hindell, MA; Lydersen, C; Hop, H; Kovacs, KM</t>
  </si>
  <si>
    <t>Hindell, Mark A.; Lydersen, Christian; Hop, Haakon; Kovacs, Kit M.</t>
  </si>
  <si>
    <t>Pre-Partum Diet of Adult Female Bearded Seals in Years of Contrasting Ice Conditions</t>
  </si>
  <si>
    <t>ERIGNATHUS-BARBATUS; STABLE-ISOTOPES; ZOOPLANKTON COMMUNITY; FORAGING STRATEGIES; MARINE MAMMALS; FEEDING-HABITS; PHOCA-HISPIDA; BERING-SEA; SVALBARD; BEHAVIOR</t>
  </si>
  <si>
    <t>Changing patterns of sea-ice distribution and extent have measurable effects on polar marine systems. Beyond the obvious impacts of key-habitat loss, it is unclear how such changes will influence ice-associated marine mammals in part because of the logistical difficulties of studying foraging behaviour or other aspects of the ecology of large, mobile animals at sea during the polar winter. This study investigated the diet of pregnant bearded seals (Erignathus barbatus) during three spring breeding periods (2005, 2006 and 2007) with markedly contrasting ice conditions in Svalbard using stable isotopes (delta C-13 and delta N-15) measured in whiskers collected from their newborn pups. The delta N-15 values in the whiskers of individual seals ranged from 11.95 to 17.45 parts per thousand, spanning almost 2 full trophic levels. Some seals were clearly dietary specialists, despite the species being characterised overall as a generalist predator. This may buffer bearded seal populations from the changes in prey distributions lower in the marine food web which seems to accompany continued changes in temperature and ice cover. Comparisons with isotopic signatures of known prey, suggested that benthic gastropods and decapods were the most common prey. Bayesian isotopic mixing models indicated that diet varied considerably among years. In the year with most fast-ice (2005), the seals had the greatest proportion of pelagic fish and lowest benthic invertebrate content, and during the year with the least ice (2006), the seals ate more benthic invertebrates and less pelagic fish. This suggests that the seals fed further offshore in years with greater ice cover, but moved in to the fjords when ice-cover was minimal, giving them access to different types of prey. Long-term trends of sea ice decline, earlier ice melt, and increased water temperatures in the Arctic are likely to have ecosystem-wide effects, including impacts on the forage bases of pagophilic seals.</t>
  </si>
  <si>
    <t>[Hindell, Mark A.] Univ Tasmania, Inst Marine &amp; Antarctic Studies, Sandy Bay, Tas, Australia; [Lydersen, Christian; Hop, Haakon; Kovacs, Kit M.] Norwegian Polar Res Inst, Tromso, Norway</t>
  </si>
  <si>
    <t>University of Tasmania; Norwegian Polar Institute</t>
  </si>
  <si>
    <t>Hindell, MA (corresponding author), Univ Tasmania, Inst Marine &amp; Antarctic Studies, Sandy Bay, Tas, Australia.</t>
  </si>
  <si>
    <t>Hindell, Mark A/C-8368-2013; Hindell, Mark A/K-1131-2013</t>
  </si>
  <si>
    <t>Hindell, Mark/0000-0002-7823-7185</t>
  </si>
  <si>
    <t>Norwegian Research Council; Norwegian Polar Institute; Australian Academy of Science</t>
  </si>
  <si>
    <t>Norwegian Research Council(Research Council of Norway); Norwegian Polar Institute; Australian Academy of Science</t>
  </si>
  <si>
    <t>Funding came from the Norwegian Research Council, the Norwegian Polar Institute and the Australian Academy of Science. The funders had no role in study design, data collection and analysis, decision to publish, or preparation of the manuscript.</t>
  </si>
  <si>
    <t>MAY 31</t>
  </si>
  <si>
    <t>e38307</t>
  </si>
  <si>
    <t>10.1371/journal.pone.0038307</t>
  </si>
  <si>
    <t>959TY</t>
  </si>
  <si>
    <t>WOS:000305338500127</t>
  </si>
  <si>
    <t>Chen, LQ; Wang, JJ; Gao, Y; Xu, GJ; Yang, XL; Lin, Q; Zhang, YH</t>
  </si>
  <si>
    <t>Chen, Liqi; Wang, Jianjun; Gao, Yuan; Xu, Guojie; Yang, Xulin; Lin, Qi; Zhang, Yuanhui</t>
  </si>
  <si>
    <t>Latitudinal distributions of atmospheric MSA and MSA/nss-SO42- ratios in summer over the high latitude regions of the Southern and Northern Hemispheres</t>
  </si>
  <si>
    <t>SEA-SALT-SULFATE; BIOGENIC SULFUR EMISSIONS; COASTAL ANTARCTIC AEROSOL; MARINE BOUNDARY-LAYER; CLOUD CONDENSATION NUCLEI; DIMETHYL SULFIDE; CHEMICAL-COMPOSITION; METHANESULFONIC-ACID; ATLANTIC-OCEAN; ICE-CORE</t>
  </si>
  <si>
    <t>To characterize the spatial distributions of methane-sulfonic acid (MSA) as represented by measured aerosol methane sulfonate (MS) and its relationships with non-sea-salt (nss) sulfate (SO42-) in the marine atmospheric boundary layer over high-latitude regions, bulk aerosol samples were collected during eight cruises during the Chinese National Antarctic and Arctic Research Expeditions from 1998 to 2008. The concentrations of MSA (an indicator of marine biogenic sulfur production), sulfate, sodium and chloride in samples were analyzed using ion chromatography. Increases in the aerosol MSA concentrations and MSA/nss-SO42- ratios were observed as functions of latitudes in the Pacific Ocean, more abruptly near high southern latitudes as compared to those in high northern latitudes. The MSA concentrations increased from 0.011 mu g m(-3) near the equator to 0.26 mu g m(-3) at 63 degrees S, 23 degrees W and from 0.0013 mu g m(-3) at northern midlatitudes to 0.19 mu g m(-3) at 58 degrees N, 175 degrees E. However, MSA decreased in the latitudes north of 58 degrees N in the Pacific, where air temperature was lower. MSA/nss-SO42- ratios increased from 0.024 near the equator to 0.93 at 62 degrees S, 4 degrees E and from 0.0031 around northern midlatitudes to 0.39 at 68 degrees N, 169 degrees W. The MSA concentrations were more correlated with MSA/nss-SO42- (R-2 = 0.43, n = 60) in Southern Hemisphere than Northern Hemisphere (R-2 = 0.091, n = 40). No significant correlation was found between MSA/nss-SO42- and air temperature at high latitudes, indicating latitudinal temperature variations were not a main factor responsible for the MSA/nss-SO42- variation in those regions. Substantial increases in the concentrations of MSA in coastal Antarctica may indicate additional sources of biogenic S besides the emissions of dimethylsulfide from the sea.</t>
  </si>
  <si>
    <t>[Chen, Liqi; Wang, Jianjun; Xu, Guojie; Yang, Xulin; Lin, Qi; Zhang, Yuanhui] State Ocean Adm, Inst Oceanog 3, Key Lab Global Change &amp; Marine Atmospher Chem, Xiamen 361005, Peoples R China; [Gao, Yuan] Rutgers State Univ, Dept Earth &amp; Environm Sci, Newark, NJ 07102 USA</t>
  </si>
  <si>
    <t>Third Institute of Oceanography, Ministry of Natural Resources; Rutgers University System; Rutgers University New Brunswick; Rutgers University Newark</t>
  </si>
  <si>
    <t>Chen, LQ (corresponding author), State Ocean Adm, Inst Oceanog 3, Key Lab Global Change &amp; Marine Atmospher Chem, Xiamen 361005, Peoples R China.</t>
  </si>
  <si>
    <t>lqchen203@gmail.com</t>
  </si>
  <si>
    <t>Yang, Xulin/O-2253-2014</t>
  </si>
  <si>
    <t>National Natural Science Foundation of China (NSFC) [40671062, 41106168]; State High Technique Research Development Project [2008AA121703]; Ministry of Science and Technology of China (MOST) [2004DIB5J178, 2009DFA22920]; Chinese Arctic and Antarctic Administration (CAA) [IC201114, IC201201]; Scientific Research Foundation of Third Institute of Oceanography, SOA [2007015]; U.S. National Science Foundation [0944589]; Directorate For Geosciences; Office of Polar Programs (OPP) [0944589] Funding Source: National Science Foundation</t>
  </si>
  <si>
    <t>National Natural Science Foundation of China (NSFC)(National Natural Science Foundation of China (NSFC)); State High Technique Research Development Project; Ministry of Science and Technology of China (MOST)(Ministry of Science and Technology, China); Chinese Arctic and Antarctic Administration (CAA); Scientific Research Foundation of Third Institute of Oceanography, SOA; U.S. National Science Foundation(National Science Foundation (NSF)); Directorate For Geosciences; Office of Polar Programs (OPP)(National Science Foundation (NSF)NSF - Directorate for Geosciences (GEO))</t>
  </si>
  <si>
    <t>We thank the Chinese Arctic and Antarctic Administration (CAA) of State Oceanic Administration (SOA) and the crew of R/V Xue Long for support with field operation. We thank Junying Sun for sharing of the CHINARE-Arctic I data. This research was jointly sponsored by National Natural Science Foundation of China (NSFC) (40671062 and 41106168), State High Technique Research Development Project (2008AA121703), Ministry of Science and Technology of China (MOST) (2004DIB5J178 and 2009DFA22920) and Chinese Arctic and Antarctic Administration (CAA) cooperation program (IC201114 and IC201201), Scientific Research Foundation of Third Institute of Oceanography, SOA (2007015) and the U.S. National Science Foundation Award 0944589. We thank three anonymous reviewers whose constructive comments helped significantly improve this paper.</t>
  </si>
  <si>
    <t>MAY 30</t>
  </si>
  <si>
    <t>D10306</t>
  </si>
  <si>
    <t>10.1029/2011JD016559</t>
  </si>
  <si>
    <t>952CI</t>
  </si>
  <si>
    <t>WOS:000304766900001</t>
  </si>
  <si>
    <t>Bergmann, I; Dobslaw, H</t>
  </si>
  <si>
    <t>Bergmann, I.; Dobslaw, H.</t>
  </si>
  <si>
    <t>Short-term transport variability of the Antarctic Circumpolar Current from satellite gravity observations</t>
  </si>
  <si>
    <t>BOTTOM PRESSURE MEASUREMENTS; DRAKE PASSAGE; FIELD MODELS; GLOBAL OCEAN; SEA LEVELS; GRACE; WIND; CIRCULATION; TIDES</t>
  </si>
  <si>
    <t>Ocean bottom pressure gradients deduced from the satellite gravity mission Gravity Recovery and Climate Experiment (GRACE) were previously shown to provide barotropic transport variations of the Antarctic Circumpolar Current (ACC) with up to monthly resolution. Here, bottom pressure distributions from GRACE with monthly (GFZ RL04) and higher temporal resolution (CNES/GRGS with 10 days, ITG-GRACE2010 with daily resolution) are evaluated over the ACC area. Even on time scales shorter than 10 days, correlations with in situ bottom pressure records frequently exceed 0.6 with positive explained variances, giving evidence that high-frequency nontidal ocean mass variability is captured by the daily ITG-GRACE2010 solutions not already included in the applied background models. Bottom pressure is subsequently taken to calculate the barotropic component of the ACC transport variability across Drake Passage. For periods longer than 30 days, transport shows high correlations between 0.4 and 0.5 with several tide gauge records along the coast of Antarctica. Still significant correlations around 0.25 are obtained even for variability with periods shorter than 10 days. Since transport variations are predominantly affected by time-variable surface winds, GRACE-based transports are contrasted against an atmospheric index of the Southern Annular Mode (SAM), which represents the Southern Hemispheric wind variability. Correlations between the SAM and GRACE-based transports are consistently higher than correlations between any of the available sea level records in all frequency bands considered, indicating that GRACE is indeed able to accurately observe a hemispherically consistent pattern of bottom pressure (and hence ACC transport) variability that is otherwise at least partially masked in tide gauge records due to local weather effects, sea ice presence and steric signals.</t>
  </si>
  <si>
    <t>[Bergmann, I.; Dobslaw, H.] Deutsch GeoForschungsZentrum, D-14473 Potsdam, Germany</t>
  </si>
  <si>
    <t>Helmholtz Association; Helmholtz-Center Potsdam GFZ German Research Center for Geosciences</t>
  </si>
  <si>
    <t>Bergmann, I (corresponding author), Deutsch GeoForschungsZentrum, Telegrafenberg A20, D-14473 Potsdam, Germany.</t>
  </si>
  <si>
    <t>inga.bergmann@gfz-potsdam.de</t>
  </si>
  <si>
    <t>Dobslaw, Henryk/AFI-0131-2022</t>
  </si>
  <si>
    <t>Dobslaw, Henryk/0000-0003-1776-3314</t>
  </si>
  <si>
    <t>Deutsche Forschungsgemeinschaft [SPP1257, DO1311/2-1]</t>
  </si>
  <si>
    <t>We thank Tilo Schone (GFZ) for providing quality-controlled tide gauge data and Andreas Macrander (AWI) for compiling and sharing his OBP database. This work has been supported by Deutsche Forschungsgemeinschaft within the priority program SPP1257 Mass Transport and Mass Distribution in the System Earth under grant DO1311/2-1.</t>
  </si>
  <si>
    <t>C05044</t>
  </si>
  <si>
    <t>10.1029/2012JC007872</t>
  </si>
  <si>
    <t>952EV</t>
  </si>
  <si>
    <t>WOS:000304774400003</t>
  </si>
  <si>
    <t>Salby, ML; Titova, EA; Deschamps, L</t>
  </si>
  <si>
    <t>Salby, Murry L.; Titova, Evgenia A.; Deschamps, Lilia</t>
  </si>
  <si>
    <t>Changes of the Antarctic ozone hole: Controlling mechanisms, seasonal predictability, and evolution</t>
  </si>
  <si>
    <t>INTERANNUAL CHANGES; STRATOSPHERIC CIRCULATION; TEMPERATURE; VARIABILITY; DEPLETION</t>
  </si>
  <si>
    <t>The ozone hole changes considerably from one year to the next. It varies between conditions in which springtime ozone is strongly depleted to others in which ozone is only weakly depleted. Those changes are shown to closely track anomalous planetary wave forcing of the residual circulation. The strong coherence with planetary wave forcing is consistent with similar coherence of springtime temperature, which modulates Polar Stratospheric Cloud (PSC). By controlling the lifetime of PSC, anomalous wave forcing determines the net activation of chlorine and bromine and, hence, springtime depletion of ozone during individual years. The strong coherence with planetary wave forcing affords long-range predictability. It supports a seasonal forecast of springtime depletion, which, through the ozone mass deficit, perturbs ozone across much of the Southern Hemisphere during subsequent months of summer. Conditioned upon wintertime wave structure, a hindcast of springtime depletion faithfully predicts the anomalous ozone observed. A reliable forecast of tropospheric planetary waves would thus enable springtime depletion to be predicted. The current evolution of Antarctic ozone is dominated by dynamically-induced changes. Representing its climate variability, those large changes obscure the more gradual evolution of springtime depletion, like that associated with the decline of chlorine. The strong dependence on planetary wave forcing, however, enables dynamically-induced changes of ozone to be identified accurately. Removing them unmasks the secular variation of Antarctic ozone, the part coherent over a decade and longer. Independent of dynamically-induced changes, that component discriminates to changes associated with stratospheric composition. It reveals a gradual but systematic rebound over the last decade. The upward trend is shown to be robust, significant at the 99.5% level. Uncertainty in this trend is thus small enough to make the probability of it arising through chance alignment of error less than 0.5%. The discriminated component mirrors the decline of effective stratospheric chlorine, representing a gradual return of springtime ozone toward its level in 1980 of 10-15%. It enables Antarctic ozone to be tracked relative to changes of chlorine, CO2, and other features of climate more reliably than is otherwise possible.</t>
  </si>
  <si>
    <t>[Salby, Murry L.; Titova, Evgenia A.] Macquarie Univ, Fac Sci, Sydney, NSW 2109, Australia; [Deschamps, Lilia] Ctr Australian Weather &amp; Climate Res, Bur Meteorol, Melbourne, Vic, Australia</t>
  </si>
  <si>
    <t>Macquarie University; Bureau of Meteorology - Australia; Commonwealth Scientific &amp; Industrial Research Organisation (CSIRO)</t>
  </si>
  <si>
    <t>Salby, ML (corresponding author), Macquarie Univ, Fac Sci, Balaclava Rd, Sydney, NSW 2109, Australia.</t>
  </si>
  <si>
    <t>pcd@mq.edu.au</t>
  </si>
  <si>
    <t>MAY 26</t>
  </si>
  <si>
    <t>D10111</t>
  </si>
  <si>
    <t>10.1029/2011JD016285</t>
  </si>
  <si>
    <t>949GC</t>
  </si>
  <si>
    <t>WOS:000304563700001</t>
  </si>
  <si>
    <t>Ahn, J; Brook, EJ; Mitchell, L; Rosen, J; McConnell, JR; Taylor, K; Etheridge, D; Rubino, M</t>
  </si>
  <si>
    <t>Ahn, Jinho; Brook, Edward J.; Mitchell, Logan; Rosen, Julia; McConnell, Joseph R.; Taylor, Kendrick; Etheridge, David; Rubino, Mauro</t>
  </si>
  <si>
    <t>Atmospheric CO2 over the last 1000 years: A high-resolution record from the West Antarctic Ice Sheet (WAIS) Divide ice core</t>
  </si>
  <si>
    <t>CARBON-DIOXIDE CONCENTRATION; CLIMATE; CYCLE; AIR; TEMPERATURE; DELTA-C-13; MILLENNIUM; DIFFUSION; DOME</t>
  </si>
  <si>
    <t>We report a decadally resolved record of atmospheric CO2 concentration for the last 1000 years, obtained from the West Antarctic Ice Sheet (WAIS) Divide shallow ice core. The most prominent feature of the pre-industrial period is a rapid similar to 7 ppm decrease of CO2 in a span of similar to 20-50 years at similar to 1600 A. D. This observation confirms the timing of an abrupt atmospheric CO2 decrease of similar to 10 ppm observed for that time period in the Law Dome ice core CO2 records, but the true magnitude of the decrease remains unclear. Atmospheric CO2 variations over the time period 1000-1800 A. D. are statistically correlated with northern hemispheric climate and tropical Indo-Pacific sea surface temperature. However, the exact relationship between CO2 and climate remains elusive due to regional climate variations and/or uneven geographical data density of paleoclimate records. We observe small differences of 0 similar to 2% (0 similar to 6 ppm) among the high-precision CO2 records from the Law Dome, EPICA Dronning Maud Land and WAIS Divide Antarctic ice cores. However, those records share common trends of CO2 change on centennial to multicentennial time scales, and clearly show that atmospheric CO2 has been increasing above preindustrial levels since similar to 1850 A.D.</t>
  </si>
  <si>
    <t>[Ahn, Jinho] Seoul Natl Univ, Sch Earth &amp; Environm Sci, Seoul 151742, South Korea; [Brook, Edward J.; Mitchell, Logan; Rosen, Julia] Oregon State Univ, Coll Earth Ocean &amp; Atmospher Sci, Corvallis, OR 97331 USA; [McConnell, Joseph R.; Taylor, Kendrick] Nevada Syst Higher Educ, Desert Res Inst, Reno, NV USA; [Etheridge, David; Rubino, Mauro] Commonwealth Sci &amp; Ind Res Org, Marine &amp; Atmospher Res, Aspendale, Vic, Australia</t>
  </si>
  <si>
    <t>Seoul National University (SNU); Oregon State University; Nevada System of Higher Education (NSHE); Desert Research Institute NSHE; Commonwealth Scientific &amp; Industrial Research Organisation (CSIRO)</t>
  </si>
  <si>
    <t>Ahn, J (corresponding author), Seoul Natl Univ, Sch Earth &amp; Environm Sci, Seoul 151742, South Korea.</t>
  </si>
  <si>
    <t>Mitchell, Logan E/A-5481-2011; Brook, Edward/AAB-7807-2021; Rubino, Mauro/Q-5578-2016; Etheridge, David M/B-7334-2013; Taylor, Kendrick/A-3469-2016</t>
  </si>
  <si>
    <t>Mitchell, Logan E/0000-0002-8749-954X; Rubino, Mauro/0000-0002-8721-4508; Etheridge, David/0000-0001-7970-2002; Taylor, Kendrick/0000-0001-8535-1261</t>
  </si>
  <si>
    <t>National Science Foundation [OPP-0739766]; Gary Comer Science and Education Foundation [OPP 0538427, OPP 0739780]; KOPRI (Korea Polar Research Institution) [PE 11090]; National Research Foundation of Korea (NRF); Ministry of Education, Science and Technology [2011-0025242]; Directorate For Geosciences; Office of Polar Programs (OPP) [0839093, 0739766] Funding Source: National Science Foundation; Division Of Polar Programs; Directorate For Geosciences [0944191] Funding Source: National Science Foundation; Office of Polar Programs (OPP); Directorate For Geosciences [0944348] Funding Source: National Science Foundation</t>
  </si>
  <si>
    <t>National Science Foundation(National Science Foundation (NSF)); Gary Comer Science and Education Foundation; KOPRI (Korea Polar Research Institution); National Research Foundation of Korea (NRF)(National Research Foundation of Korea); Ministry of Education, Science and Technology(Ministry of Education, Science &amp; Technology (MEST), Republic of Korea);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</si>
  <si>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We greatly appreciate Michael Kalk and James Lee at Oregon State University for their great efforts in experimental assistance. Eric Cravens, Brian Bencivengo and Geoffrey Hargreaves at National Ice Core Laboratory, and Mark Twickler at the University of New Hampshire helped collect and curate ice samples. Cathy Trudinger and Mark Bowen kindly discussed about gas age distribution of Law Dome and WAIS Divide cores, respectively. We also thank Andreas Schmittner and Alan Mix for helpful discussions. Trevor Propp provided DEP data used to help determine the ice age for the deeper part of the WDC05A core. Financial support was provided by National Science Foundation grant OPP-0739766 and the Gary Comer Science and Education Foundation to EJB, and grants OPP 0538427 and OPP 0739780 to the Desert Research Institute. This work was also partly supported by KOPRI (Korea Polar Research Institution) research grant PE 11090, and Basic Science Research Program through the National Research Foundation of Korea (NRF) funded by the Ministry of Education, Science and Technology (2011-0025242).</t>
  </si>
  <si>
    <t>GB2027</t>
  </si>
  <si>
    <t>10.1029/2011GB004247</t>
  </si>
  <si>
    <t>949BU</t>
  </si>
  <si>
    <t>WOS:000304551200001</t>
  </si>
  <si>
    <t>Moholdt, G; Wouters, B; Gardner, AS</t>
  </si>
  <si>
    <t>Moholdt, Geir; Wouters, Bert; Gardner, Alex S.</t>
  </si>
  <si>
    <t>Recent mass changes of glaciers in the Russian High Arctic</t>
  </si>
  <si>
    <t>ICE CAPS; SEVERNAYA-ZEMLYA; BALANCE; LAND; CLIMATE</t>
  </si>
  <si>
    <t>Glaciers and ice caps are known to contribute significantly to present-day sea level rise, but there are still glaciated regions where little is known about modern changes in glacier mass. One of these regions is the Russian High Arctic archipelagos which has a total glaciated area of 51,500 km(2). We have assessed the glacier mass budget of this region for a 6-year period between October 2003 and October 2009 using independent ICESat laser altimetry and GRACE gravimetry. Over this period we found that the archipelagos have lost ice at a rate of -9.1 +/- 2.0 Gt a(-1), which corresponds to a sea level contribution of 0.025 mm a(-1). Approximately 80% of the ice loss came from Novaya Zemlya with the remaining 20% coming from Franz Josef Land and Severnaya Zemlya. Meteorological records of temperature and precipitation for the period 1980-2009 suggest that the recent climatic mass budget is not substantially different from the longer-term trend.</t>
  </si>
  <si>
    <t>[Moholdt, Geir] Univ Calif San Diego, Inst Geophys &amp; Planetary Phys, La Jolla, CA 92093 USA; [Moholdt, Geir] Univ Oslo, Dept Geosci, Oslo, Norway; [Wouters, Bert] Royal Netherlands Meteorol Inst, NL-3730 AE De Bilt, Netherlands; [Gardner, Alex S.] Univ Michigan, Dept Atmospher Ocean &amp; Space Sci, Ann Arbor, MI 48109 USA</t>
  </si>
  <si>
    <t>University of California System; University of California San Diego; University of Oslo; Royal Netherlands Meteorological Institute; University of Michigan System; University of Michigan</t>
  </si>
  <si>
    <t>Moholdt, G (corresponding author), Univ Calif San Diego, Inst Geophys &amp; Planetary Phys, 9500 Gilman Dr, La Jolla, CA 92093 USA.</t>
  </si>
  <si>
    <t>gmoholdt@ucsd.edu</t>
  </si>
  <si>
    <t>Wouters, Bert/AAA-4254-2019</t>
  </si>
  <si>
    <t>Wouters, Bert/0000-0002-1086-2435; Gardner, Alex/0000-0002-8394-8889</t>
  </si>
  <si>
    <t>European Union [226375]; NASA [NNX09AE52G]; NASA [119939, NNX09AE52G] Funding Source: Federal RePORTER</t>
  </si>
  <si>
    <t>European Union(European Union (EU)); NASA(National Aeronautics &amp; Space Administration (NASA)); NASA(National Aeronautics &amp; Space Administration (NASA))</t>
  </si>
  <si>
    <t>The authors are thankful to the numerous data contributors that made this study possible, namely the National Snow and Ice Data Center (ICESat data), the Center for Space Research at University of Texas (GRACE data), R. Riva and P. Stocchi (glacial isostatic adjustment models), the IPY-SPIRIT project (SPOT-5 imagery), the U. S. Geological Survey (Landsat imagery), NOAA/OAR/ESRL PSD in Boulder, Colorado: www.esrl.noaa.gov/psd (precipitation data) and the National Climatic Data Center's Global Summary of the Day Version 7: www7.ncdc. noaa.gov/CDO/cdo (weather station data). This study was supported by funding to the ice2sea project from the European Union 7th Framework Programme, grant 226375, ice2sea contribution 051. G. Moholdt was also funded through NASA Award Number NNX09AE52G, entitled, ICESat-2 Science Definition Team: ICESat repeat-track analysis over regions of large, variable elevation change on the Antarctic and Greenland Ice Sheets. Furthermore, we thank J. O. Hagen, H. A. Fricker and the editor/reviewers for useful comments and suggestions for the paper.</t>
  </si>
  <si>
    <t>MAY 25</t>
  </si>
  <si>
    <t>L10502</t>
  </si>
  <si>
    <t>10.1029/2012GL051466</t>
  </si>
  <si>
    <t>949FD</t>
  </si>
  <si>
    <t>WOS:000304561100001</t>
  </si>
  <si>
    <t>Björck, S; Rundgren, M; Ljung, K; Unkel, I; Wallin, Å</t>
  </si>
  <si>
    <t>Bjorck, Svante; Rundgren, Mats; Ljung, Karl; Unkel, Ingmar; Wallin, Asa</t>
  </si>
  <si>
    <t>Multi-proxy analyses of a peat bog on Isla de los Estados, easternmost Tierra del Fuego: a unique record of the variable Southern Hemisphere Westerlies since the last deglaciation</t>
  </si>
  <si>
    <t>Paleoclimate; Tierra del Fuego; South Atlantic; Southern Hemisphere Westerlies; Aeolian proxies; Pollen analysis; Last deglaciation; Holocene</t>
  </si>
  <si>
    <t>ENVIRONMENTAL-CHANGES; STORMINESS VARIATION; HOLOCENE CHANGES; ATMOSPHERIC CO2; BIPOLAR SEESAW; RAISED BOG; VEGETATION; ATLANTIC; CLIMATE; AMERICA</t>
  </si>
  <si>
    <t>We have analyzed an almost 14,000 year old peat sequence on the island of Isla de los Estados (55 degrees S. 64 degrees W), east of Tierra del Fuego, in the core of the Southern Hemisphere Westerlies. A multitude of methods have been used: high resolution C-14 dating; detailed lithologic descriptions including humification degree; loss on ignition; magnetic susceptibility; bulk density; pollen and spore analysis and determination of Aeolian sand influx. By combining proxies for wind and precipitation we have been able to reconstruct how the westerlies have varied over time in the Atlantic sector of the Southern Ocean. It shows that this westerly wind belt was most intense at the onset of the record, 13,600-13,200 cal BP, coinciding with the mid to late part of the Antarctic Cold Reversal, followed by a gradual decline. At 12,200 cal BP the westerlies seem to have shifted to a position south of Tierra del Fuego and this phase, the calmest and driest period on the island throughout the sequence, ended at 10,000 cal BP when the westerlies moved equatorward again. Since then the westerlies have been present but with a variable impact on the 55 degrees S latitude of the Atlantic. Mostly conditions have been fairly similar to today, but occasionally with a wider or narrower and/or weaker or stronger wind belt. At 7200 cal BP wind intensity began to increase and between 4500 and 3500 cal BP these southern latitudes experienced a distinct wind and precipitation maximum, both in terms of perseverance and intensity. Our results show a both wide and strong wind belt, with possible niveo-aeolian activity in Tierra del Fuego in winter, and possibly creating milder summers around the Antarctic Peninsula. In the later part of the Holocene, expansion contraction phases of the wind belt, especially in winter, seem to have been a common phenomenon. (C) 2012 Elsevier Ltd. All rights reserved.</t>
  </si>
  <si>
    <t>[Bjorck, Svante; Rundgren, Mats; Ljung, Karl; Unkel, Ingmar; Wallin, Asa] Lund Univ, Dept Geol, SE-22362 Lund, Sweden</t>
  </si>
  <si>
    <t>Lund University</t>
  </si>
  <si>
    <t>Björck, S (corresponding author), Lund Univ, Dept Geol, Solveg 12, SE-22362 Lund, Sweden.</t>
  </si>
  <si>
    <t>svante.bjorck@geol.lu.se</t>
  </si>
  <si>
    <t>Unkel, Ingmar/0000-0002-8940-1657; Ljung, Karl/0000-0002-4290-7933</t>
  </si>
  <si>
    <t>Swedish Research Council (VR) [VR 621-2003-3611]; VR</t>
  </si>
  <si>
    <t>Swedish Research Council (VR)(Swedish Research Council); VR(Swedish Research Council)</t>
  </si>
  <si>
    <t>This study was partly financed by a grant (VR 621-2003-3611) from the Swedish Research Council (VR) to SB, and is also part of the VR funded LUCCI grant. Field work to Isla de los Estados was conducted in 2005 by the ketch Ocean Tramp, Puerto Williams, with Charlie Porter as the captain. We are thankful for his professional logistics, and the assistance during the corings of the GMR peatland by Jorge Rabassa and Federico Ponce (both CADIC, Ushuaia) as well as the positive spirit of the whole expedition crew. Heikki Seppa (Helsinki) is thanked for providing us with the precipitation data (Fig. 7B) and Raimund Muscheler (Lund) for calculating the insolation values (Fig. 7D).</t>
  </si>
  <si>
    <t>MAY 24</t>
  </si>
  <si>
    <t>10.1016/j.quascirev.2012.03.015</t>
  </si>
  <si>
    <t>953FA</t>
  </si>
  <si>
    <t>WOS:000304851100001</t>
  </si>
  <si>
    <t>Nehrke, G; Poigner, H; Wilhelms-Dick, D; Brey, T; Abele, D</t>
  </si>
  <si>
    <t>Nehrke, Gernot; Poigner, Harald; Wilhelms-Dick, Dorothee; Brey, Thomas; Abele, Doris</t>
  </si>
  <si>
    <t>Coexistence of three calcium carbonate polymorphs in the shell of the Antarctic clam Laternula elliptica</t>
  </si>
  <si>
    <t>Laternula elliptica; Raman; aragonite; biomineralization; calcite</t>
  </si>
  <si>
    <t>KING-GEORGE ISLAND; BIVALVE CORBICULA-FLUMINEA; CHEMICAL-COMPOSITION; VATERITE; GROWTH; CHEMISTRY; MAGNESIUM; COVE</t>
  </si>
  <si>
    <t>We analyzed shell cuts of five individuals of the Antarctic bivalve Laternula elliptica from three locations along the Antarctic Peninsula by means of Confocal Raman Microscopy (CRM) as well as Electron Microprobe (EMP). The shell of L. elliptica has been previously described as being composed of aragonite exclusively. Now, CRM mapping reveals that three polymorphs of calcium carbonate - aragonite, calcite, and vaterite - are present in the chondrophore region of the examined individuals. Annual shell growth layers continue through aragonite and vaterite, suggesting simultaneous mineralization of both polymorphs. Spatially congruent EMP scans showed that the calcium carbonate polymorph affects the distribution of magnesium and strontium within the chondrophore. This is, to our knowledge, the first report of the coexistence of these three calcium carbonate polymorphs within the mineralized structures of a marine calcifying organism. Particularly the presence of vaterite is unexpected, but shows striking similarities to some fish otoliths. The strong effect of the calcium carbonate polymorph on trace element incorporation restrict the suitability of magnesium and strontium based proxies for the chondrophore area of L. elliptica.</t>
  </si>
  <si>
    <t>[Nehrke, Gernot; Poigner, Harald; Brey, Thomas; Abele, Doris] Alfred Wegener Inst Polar &amp; Marine Res, D-27570 Bremerhaven, Germany; [Wilhelms-Dick, Dorothee] Univ Bremen, Dept Geosci, D-28359 Bremen, Germany</t>
  </si>
  <si>
    <t>Nehrke, G (corresponding author), Alfred Wegener Inst Polar &amp; Marine Res, Handelshafen 12, D-27570 Bremerhaven, Germany.</t>
  </si>
  <si>
    <t>gernot.nehrke@awi.de</t>
  </si>
  <si>
    <t>Nehrke, Gernot/0000-0002-2851-3049; Brey, Thomas/0000-0002-6345-2851; Abele, Doris/0000-0002-5766-5017</t>
  </si>
  <si>
    <t>German Research Foundation (DFG) [AB 124/11-1]; German Federal Ministry of Education and Research (BMBF) [FKZ 03F0608]; European Commission [211384]</t>
  </si>
  <si>
    <t>German Research Foundation (DFG)(German Research Foundation (DFG)); German Federal Ministry of Education and Research (BMBF)(Federal Ministry of Education &amp; Research (BMBF)); European Commission(European Union (EU)European Commission Joint Research Centre)</t>
  </si>
  <si>
    <t>We would like to thank the divers and the crew of the Argentinean Antarctic Station Jubany for their logistic help, I. Y. Ahn (Korea Polar Research Institute, Incheon, Korea) and E. Philipp (Institute of Clinical Molecular Biology, Kiel, Germany) for providing sample material, Peter Appel and Barbara Mader of the Department of Geosiences of the University of Kiel (Germany) for electron micro probe measurements as well as Kerstin Beyer (AWI) for the support during sample preparation. This work was supported by the German Research Foundation (DFG) under grant AB 124/11-1 in the framework of priority program 1158 - Antarctic Research and is associated to the IMCOAST project. Financial support for was provided by the German Federal Ministry of Education and Research (BMBF, FKZ 03F0608, BIOACID), and the European Commission through grant 211384 (EU FP7 EPOCA). Gernot Nehrke and Harald Poigner have contributed equally to this work.</t>
  </si>
  <si>
    <t>Q05014</t>
  </si>
  <si>
    <t>10.1029/2011GC003996</t>
  </si>
  <si>
    <t>949BK</t>
  </si>
  <si>
    <t>WOS:000304550100001</t>
  </si>
  <si>
    <t>Buizert, C; Petrenko, VV; Kavanaugh, JL; Cuffey, KM; Lifton, NA; Brook, EJ; Severinghaus, JP</t>
  </si>
  <si>
    <t>Buizert, Christo; Petrenko, Vasilii V.; Kavanaugh, Jeffrey L.; Cuffey, Kurt M.; Lifton, Nathaniel A.; Brook, Edward J.; Severinghaus, Jeffrey P.</t>
  </si>
  <si>
    <t>In situ cosmogenic radiocarbon production and 2-D ice flow line modeling for an Antarctic blue ice area</t>
  </si>
  <si>
    <t>LAST GLACIAL TERMINATION; PRODUCTION-RATES; SCALING FACTORS; ABLATION RATES; WEST GREENLAND; TAYLOR GLACIER; DOME ICE; C-14; MUONS; CORE</t>
  </si>
  <si>
    <t>Radiocarbon measurements at ice margin sites and blue ice areas can potentially be used for ice dating, ablation rate estimates and paleoclimatic reconstructions. Part of the measured signal comes from in situ cosmogenic C-14 production in ice, and this component must be well understood before useful information can be extracted from C-14 data. We combine cosmic ray scaling and production estimates with a two-dimensional ice flow line model to study cosmogenic C-14 production at Taylor Glacier, Antarctica. We find (1) that C-14 production through thermal neutron capture by nitrogen in air bubbles is negligible; (2) that including ice flow patterns caused by basal topography can lead to a surface C-14 activity that differs by up to 25% from the activity calculated using an ablation-only approximation, which is used in all prior work; and (3) that at high ablation margin sites, solar modulation of the cosmic ray flux may change the strength of the dominant spallogenic production by up to 10%. As part of this effort we model two-dimensional ice flow along the central flow line of Taylor Glacier. We present two methods for parameterizing vertical strain rates, and assess which method is more reliable for Taylor Glacier. Finally, we present a sensitivity study from which we conclude that uncertainties in published cosmogenic production rates are the largest source of potential error. The results presented here can inform ongoing and future C-14 and ice flow studies at ice margin sites, including important paleoclimatic applications such as the reconstruction of paleoatmospheric C-14 content of methane.</t>
  </si>
  <si>
    <t>[Buizert, Christo] Univ Copenhagen, Niels Bohr Inst, Ctr Ice &amp; Climate, DK-2100 Copenhagen, Denmark; [Petrenko, Vasilii V.] Univ Colorado, Inst Arctic &amp; Alpine Res, Boulder, CO 80309 USA; [Kavanaugh, Jeffrey L.] Univ Alberta, Dept Earth &amp; Atmospher Sci, Edmonton, AB, Canada; [Cuffey, Kurt M.] Univ Calif Berkeley, Dept Geog, Berkeley, CA 94720 USA; [Lifton, Nathaniel A.] Purdue Univ, Dept Earth &amp; Atmospher Sci, W Lafayette, IN 47907 USA; [Brook, Edward J.] Oregon State Univ, Dept Geosci, Corvallis, OR 97331 USA; [Severinghaus, Jeffrey P.] Univ Calif San Diego, Scripps Inst Oceanog, La Jolla, CA 92093 USA</t>
  </si>
  <si>
    <t>University of Copenhagen; Niels Bohr Institute; University of Colorado System; University of Colorado Boulder; University of Alberta; University of California System; University of California Berkeley; Purdue University System; Purdue University; Oregon State University; University of California System; University of California San Diego; Scripps Institution of Oceanography</t>
  </si>
  <si>
    <t>Buizert, C (corresponding author), Univ Copenhagen, Niels Bohr Inst, Ctr Ice &amp; Climate, Juliane Maries Vej 30, DK-2100 Copenhagen, Denmark.</t>
  </si>
  <si>
    <t>Brook, Edward/AAB-7807-2021; Lifton, Nathaniel/M-2017-2015</t>
  </si>
  <si>
    <t>Lifton, Nathaniel/0000-0002-6976-3298; Petrenko, Vasilii/0000-0002-0263-8759; Buizert, Christo/0000-0002-2227-1747</t>
  </si>
  <si>
    <t>NOAA; NSF [0632222, 0806387, 0839031, OPP-0125579, 0838936]; CRONUS [NSF EAR0345150]; University of Arizona Accelerator Mass Spectrometry Laboratory; Office of Polar Programs (OPP); Directorate For Geosciences [0839031, 0838936] Funding Source: National Science Foundation; Office of Polar Programs (OPP); Directorate For Geosciences [0632222, 0806387] Funding Source: National Science Foundation</t>
  </si>
  <si>
    <t>NOAA(National Oceanic Atmospheric Admin (NOAA) - USA); NSF(National Science Foundation (NSF)); CRONUS; University of Arizona Accelerator Mass Spectrometry Laboratory; Office of Polar Programs (OPP); Directorate For Geosciences(National Science Foundation (NSF)NSF - Directorate for Geosciences (GEO)); Office of Polar Programs (OPP); Directorate For Geosciences(National Science Foundation (NSF)NSF - Directorate for Geosciences (GEO))</t>
  </si>
  <si>
    <t>We would like to thank Andy Bliss for his help on calculating ablation rates, Daniel Baggenstos for measuring ablation stakes in the field and providing locations of the 2009-2010 sampling transect, Brent Goehring for fruitful discussions, and Tom Neumann for many constructive comments on the manuscript. C. Buizert would like to thank Thomas Blunier (Center for Ice and Climate, University of Copenhagen), Bruce Vaughn and Jim White (INSTAAR, University of Colorado) for their support and hospitality; V. V. Petrenko has been supported by the NOAA Postdoctoral Fellowship in Climate and Global Change, NSF grants 0632222 and 0806387 (White) and NSF grant 0839031 (Severinghaus); this work was partially supported by NSF grant OPP-0125579 to K. M. Cuffey and NSF grant 0838936 to E. J. Brook; N. A. Lifton is grateful for support by the CRONUS-Earth project (NSF EAR0345150) and the University of Arizona Accelerator Mass Spectrometry Laboratory.</t>
  </si>
  <si>
    <t>F02029</t>
  </si>
  <si>
    <t>10.1029/2011JF002086</t>
  </si>
  <si>
    <t>949CH</t>
  </si>
  <si>
    <t>WOS:000304552800001</t>
  </si>
  <si>
    <t>Koch, MC; Friedrich, O</t>
  </si>
  <si>
    <t>Koch, Mirjam C.; Friedrich, Oliver</t>
  </si>
  <si>
    <t>Campanian-Maastrichtian intermediate- to deep-water changes in the high latitudes: Benthic foraminiferal evidence</t>
  </si>
  <si>
    <t>STABLE ISOTOPIC EVIDENCE; LATE CRETACEOUS CLIMATE; SOUTH-ATLANTIC; TROPICAL ATLANTIC; BLACK SHALES; BENTHONIC FORAMINIFERA; NORTH-ATLANTIC; BLAKE NOSE; SEA; ASSEMBLAGES</t>
  </si>
  <si>
    <t>During the latest Cretaceous cooling phase, a positive shift in benthic foraminiferal delta O-18 values lasting about 1.5 Myr (71.5-70 Ma) can be observed at a global scale (Campanian-Maastrichtian Boundary Event, CMBE). This delta O-18 excursion is interpreted as being influenced by a change in intermediate-to deep-water circulation or by temporal build-up of Antarctic ice sheets. Here we test whether benthic foraminiferal assemblages from a southern high-latitudinal site near Antarctica (ODP Site 690) are influenced by the CMBE. If the delta O-18 transition reflects a change in intermediate-to deep-water circulation from low-latitude to high-latitude water masses, then this change would result in cooler temperatures, higher oxygen concentration, and possibly lower organic-matter flux at the seafloor, resulting in a major benthic foraminiferal assemblage change. If, however, the delta O-18 transition was mainly triggered by ice formation, no considerable compositional difference in benthic foraminiferal assemblages would be expected. Our data show a separation of the studied succession into two parts with distinctly different benthic foraminiferal assemblages. Species dominating the older part (73.0-70.5 Ma) tolerate less bottom water oxygenation and are typical components of low-latitude assemblages. In contrast, the younger part (70.0-68.0 Ma) is characterized by species that indicate well-oxygenated bottom waters and species common in high-latitude assemblages. We interpret the observed change in benthic foraminiferal assemblages toward a well-oxygenated environment to reflect the onset of a shift from low-latitude toward high-latitude dominated intermediate-to deep-water sources. This implies that a change in oceanic circulation was at least a major component of the CMBE.</t>
  </si>
  <si>
    <t>[Koch, Mirjam C.; Friedrich, Oliver] Goethe Univ Frankfurt, Inst Geowissensch, D-60438 Frankfurt, Germany</t>
  </si>
  <si>
    <t>Goethe University Frankfurt</t>
  </si>
  <si>
    <t>Koch, MC (corresponding author), Goethe Univ Frankfurt, Inst Geowissensch, Altenhoferallee 1, D-60438 Frankfurt, Germany.</t>
  </si>
  <si>
    <t>mi.koch@em.uni-frankfurt.de</t>
  </si>
  <si>
    <t>U.S. National Science Foundation (NSF); Joint Oceanographic Institutions (JOI), Inc.; German Research Foundation (DFG) [FR 2544/2-1]</t>
  </si>
  <si>
    <t>U.S. National Science Foundation (NSF)(National Science Foundation (NSF)); Joint Oceanographic Institutions (JOI), Inc.; German Research Foundation (DFG)(German Research Foundation (DFG))</t>
  </si>
  <si>
    <t>We are grateful to J. O. Herrle for his help to sample Site 690 and to T. Vukelic and J. Vesnic for sample preparation. Discussions with S. Voigt helped to improve the manuscript. Thanks to C. Chun-Palike and H. P like for help on English grammar. We thank E. Thomas, K. Miller, and two anonymous reviewers for their very constructive comments on the manuscript. This research used samples provided by the Ocean Drilling Program (ODP). ODP is sponsored by the U.S. National Science Foundation (NSF) and participating countries under the management of Joint Oceanographic Institutions (JOI), Inc. Funding for this study was provided by the German Research Foundation (DFG) to O.F. (Emmy-Noether research group Meso- and Cenozoic Paleoceanography, grant FR 2544/2-1).</t>
  </si>
  <si>
    <t>MAY 23</t>
  </si>
  <si>
    <t>PA2209</t>
  </si>
  <si>
    <t>10.1029/2011PA002259</t>
  </si>
  <si>
    <t>949PI</t>
  </si>
  <si>
    <t>WOS:000304587700002</t>
  </si>
  <si>
    <t>Kwon, EY; Hain, MP; Sigman, DM; Galbraith, ED; Sarmiento, JL; Toggweiler, JR</t>
  </si>
  <si>
    <t>Kwon, Eun Young; Hain, Mathis P.; Sigman, Daniel M.; Galbraith, Eric D.; Sarmiento, Jorge L.; Toggweiler, J. R.</t>
  </si>
  <si>
    <t>North Atlantic ventilation of southern-sourced deep water in the glacial ocean</t>
  </si>
  <si>
    <t>ANTARCTIC SEA-ICE; ATMOSPHERIC CO2; CARBON-CYCLE; CIRCULATION; EXCHANGE; STRATIFICATION; CLIMATE; MODEL; AIR; TEMPERATURE</t>
  </si>
  <si>
    <t>One potential mechanism for lowering atmospheric CO2 during glacial times is an increase in the fraction of the global ocean ventilated by the North Atlantic, which produces deep water with a low concentration of unused nutrients and thus drives the ocean's biological pump to a high efficiency. However, the data indicate that during glacial times, a water mass low in C-13/C-12 and C-14/C occupied the deep Atlantic, apparently at the expense of North Atlantic Deep Water (NADW). This water is commonly referred to as southern-sourced because of its apparent entry into the Atlantic basin from the South, prompting the inference that it was ventilated at the Southern Ocean surface. Here, we propose that this deep Atlantic water mass actually included a large fraction of North Atlantic-ventilated water, the chemical characteristics of which were altered by recirculation in the deep Southern and Indo-Pacific oceans. In an ocean model sensitivity experiment that reduces Antarctic Bottom Water formation and weakens its overturning circulation, we find that a much greater fraction of NADW is transported into the Southern Ocean without contacting the surface and is entrained and mixed into the southern-sourced deep water that spreads into the global abyssal ocean. Thus, North Atlantic ventilation takes over more of the ocean interior, lowering atmospheric CO2, and yet the abyssal Atlantic is filled from the South with old water low in C-13/C-12 and C-14/C, consistent with glacial data.</t>
  </si>
  <si>
    <t>[Kwon, Eun Young] Univ Calif Los Angeles, Dept Atmospher &amp; Ocean Sci, Los Angeles, CA 90095 USA; [Hain, Mathis P.; Sigman, Daniel M.] Princeton Univ, Dept Geosci, Princeton, NJ 08544 USA; [Galbraith, Eric D.] McGill Univ, Montreal, PQ, Canada; [Sarmiento, Jorge L.] Princeton Univ, Atmospher &amp; Ocean Sci Program, Princeton, NJ 08544 USA; [Toggweiler, J. R.] Natl Ocean &amp; Atmospher Adm, Geophys Fluid Dynam Lab, Princeton, NJ USA</t>
  </si>
  <si>
    <t>University of California System; University of California Los Angeles; Princeton University; McGill University; National Oceanic Atmospheric Admin (NOAA) - USA; Princeton University; National Oceanic Atmospheric Admin (NOAA) - USA</t>
  </si>
  <si>
    <t>Kwon, EY (corresponding author), Univ Calif Los Angeles, Dept Atmospher &amp; Ocean Sci, 405 Hilgard Ave,7127 Math Sci Bldg, Los Angeles, CA 90095 USA.</t>
  </si>
  <si>
    <t>ekwon@atmos.ucla.edu</t>
  </si>
  <si>
    <t>Galbraith, Eric D./F-9469-2014; Sigman, Daniel M./IYJ-2613-2023; Sigman, Daniel M./A-2649-2008; Hain, Mathis P/I-5252-2012; Toggweiler, J. R./O-5883-2019</t>
  </si>
  <si>
    <t>Galbraith, Eric D./0000-0003-4476-4232; Sigman, Daniel M./0000-0002-7923-1973; Hain, Mathis P/0000-0002-8478-1857; Toggweiler, J. R./0000-0001-6345-5756</t>
  </si>
  <si>
    <t>U.S. NSF; German DFG; Humboldt Foundation; MacArthur Foundation; Siebel Energy Grand Challenge and Walbridge Fund Award at Princeton; NSF [ANT-1040957]; NOAA [NA07OAR4310096]; Office of Polar Programs (OPP); Directorate For Geosciences [1040957] Funding Source: National Science Foundation</t>
  </si>
  <si>
    <t>U.S. NSF(National Science Foundation (NSF)); German DFG(German Research Foundation (DFG)); Humboldt Foundation(Alexander von Humboldt Foundation); MacArthur Foundation; Siebel Energy Grand Challenge and Walbridge Fund Award at Princeton; NSF(National Science Foundation (NSF)); NOAA(National Oceanic Atmospheric Admin (NOAA) - USA); Office of Polar Programs (OPP); Directorate For Geosciences(National Science Foundation (NSF)NSF - Directorate for Geosciences (GEO))</t>
  </si>
  <si>
    <t>We thank Jess Adkins for the invaluable and constructive discussions while preparing this manuscript. We also thank Joellen Russell and Anand Gnanadesikan for useful comments. Comments from anonymous reviewers and the editor, Christopher Charles, also helped improve this manuscript. M.P.H and D.M.S. acknowledge support by the U.S. NSF, the German DFG, the Humboldt and MacArthur Foundations, and the Siebel Energy Grand Challenge and Walbridge Fund Award at Princeton E.Y.K. and J.L.S. acknowledge award ANT-1040957 from NSF and award NA07OAR4310096 from NOAA. The statements, findings, conclusions, and recommendations are those of the authors and do not necessarily reflect the views of the National Oceanic and Atmospheric Administration or the U. S. Department of Commerce.</t>
  </si>
  <si>
    <t>PA2208</t>
  </si>
  <si>
    <t>10.1029/2011PA002211</t>
  </si>
  <si>
    <t>WOS:000304587700001</t>
  </si>
  <si>
    <t>Makinson, K; King, MA; Nicholls, KW; Gudmundsson, GH</t>
  </si>
  <si>
    <t>Makinson, Keith; King, Matt A.; Nicholls, Keith W.; Gudmundsson, G. Hilmar</t>
  </si>
  <si>
    <t>Diurnal and semidiurnal tide-induced lateral movement of Ronne Ice Shelf, Antarctica</t>
  </si>
  <si>
    <t>OCEAN TIDES; STREAM; FLOW; GLACIER; BENEATH</t>
  </si>
  <si>
    <t>Recent GPS observations from a spatially extensive network across Ronne Ice Shelf show significant daily ice flow variations. At all sites, the almost-synchronous horizontal displacements occur at diurnal and semidiurnal tidal periods. During spring tides, displacements, velocities and strains near the ice front have superimposed oscillations that are +/- 300% of their mean values and occur over a six-hour period, resulting in regular ice shelf flow reversals. Close to ice stream grounding lines, however, the horizontal diurnal and semidiurnal signals decay and almost vanish. From our analysis, we conclude that ice shelves respond primarily elastically to tidal tilting, thus accounting for the observed diurnal and semidiurnal flow variations, and their amplification toward the ice shelf front. Our findings suggest that detailed modeling of these data could provide improved ice shelf and ice stream models for correctly simulating ice shelf flow and predicting future ice sheet evolution. Citation: Makinson, K., M. A. King, K. W. Nicholls, and G. Hilmar Gudmundsson (2012), Diurnal and semidiurnal tide-induced lateral movement of Ronne Ice Shelf, Antarctica, Geophys. Res. Lett., 39, L10501, doi:10.1029/2012GL051636.</t>
  </si>
  <si>
    <t>[Makinson, Keith; Nicholls, Keith W.; Gudmundsson, G. Hilmar] British Antarctic Survey, NERC, Cambridge CB3 0ET, England; [King, Matt A.] Newcastle Univ, Sch Civil Engn &amp; Geosci, Newcastle Upon Tyne NE1 7RU, Tyne &amp; Wear, England</t>
  </si>
  <si>
    <t>UK Research &amp; Innovation (UKRI); Natural Environment Research Council (NERC); NERC British Antarctic Survey; Newcastle University - UK</t>
  </si>
  <si>
    <t>Makinson, K (corresponding author), British Antarctic Survey, NERC, Cambridge CB3 0ET, England.</t>
  </si>
  <si>
    <t>kmak@bas.ac.uk</t>
  </si>
  <si>
    <t>Makinson, Keith/A-2495-2013; Gudmundsson, Gudmundur Hilmar/F-6499-2012; King, Matt/B-4622-2008; Gudmundsson, Gudmundur Hilmar/AAU-5987-2020</t>
  </si>
  <si>
    <t>Makinson, Keith/0000-0002-5791-1767; Gudmundsson, Gudmundur Hilmar/0000-0003-4236-5369; King, Matt/0000-0001-5611-9498; Gudmundsson, Gudmundur Hilmar/0000-0003-4236-5369</t>
  </si>
  <si>
    <t>NERC AFI; RCUK; Natural Environment Research Council [NE/D009960/1, bas0100027, bas0100028] Funding Source: researchfish; NERC [bas0100027, bas0100028, NE/D009960/1] Funding Source: UKRI</t>
  </si>
  <si>
    <t>NERC AFI(UK Research &amp; Innovation (UKRI)Natural Environment Research Council (NERC)); RCUK(UK Research &amp; Innovation (UKRI)); Natural Environment Research Council(UK Research &amp; Innovation (UKRI)Natural Environment Research Council (NERC)); NERC(UK Research &amp; Innovation (UKRI)Natural Environment Research Council (NERC))</t>
  </si>
  <si>
    <t>The authors would like to thank Doug MacAyeal for making the Ross Ice Shelf data available and five anonymous reviewers and Eric Rignot (Editor) for their helpful comments on the manuscript. The RIS fieldwork was funded by a NERC AFI award to MAK and KWN. MAK is also funded by a RCUK Academic Fellowship.</t>
  </si>
  <si>
    <t>L10501</t>
  </si>
  <si>
    <t>10.1029/2012GL051636</t>
  </si>
  <si>
    <t>949EY</t>
  </si>
  <si>
    <t>WOS:000304560600002</t>
  </si>
  <si>
    <t>Chauvaud, L; Patry, Y; Jolivet, A; Cam, E; Le Goff, C; Strand, O; Charrier, G; Thébault, J; Lazure, P; Gotthard, K; Clavier, J</t>
  </si>
  <si>
    <t>Chauvaud, Laurent; Patry, Yann; Jolivet, Aurelie; Cam, Emmanuelle; Le Goff, Clement; Strand, Oivind; Charrier, Gregory; Thebault, Julien; Lazure, Pascal; Gotthard, Karl; Clavier, Jacques</t>
  </si>
  <si>
    <t>Variation in Size and Growth of the Great Scallop Pecten maximus along a Latitudinal Gradient</t>
  </si>
  <si>
    <t>BODY-SIZE; COUNTERGRADIENT VARIATION; PHENOTYPIC PLASTICITY; GEOGRAPHIC-VARIATION; ANTARCTIC SCALLOP; INTRINSIC GROWTH; TEMPERATURE; LIFE; RATES; BAY</t>
  </si>
  <si>
    <t>Understanding the relationship between growth and temperature will aid in the evaluation of thermal stress and threats to ectotherms in the context of anticipated climate changes. Most Pecten maximus scallops living at high latitudes in the northern hemisphere have a larger maximum body size than individuals further south, a common pattern among many ectotherms. We investigated differences in daily shell growth among scallop populations along the Northeast Atlantic coast from Spain to Norway. This study design allowed us to address precisely whether the asymptotic size observed along a latitudinal gradient, mainly defined by a temperature gradient, results from differences in annual or daily growth rates, or a difference in the length of the growing season. We found that low annual growth rates in northern populations are not due to low daily growth values, but to the smaller number of days available each year to achieve growth compared to the south. We documented a decrease in the annual number of growth days with age regardless of latitude. However, despite initially lower annual growth performances in terms of growing season length and growth rate, differences in asymptotic size as a function of latitude resulted from persistent annual growth performances in the north and sharp declines in the south. Our measurements of daily growth rates throughout life in a long-lived ectothermic species provide new insight into spatio-temporal variations in growth dynamics and growing season length that cannot be accounted for by classical growth models that only address asymptotic size and annual growth rate.</t>
  </si>
  <si>
    <t>[Chauvaud, Laurent; Patry, Yann; Jolivet, Aurelie; Thebault, Julien; Clavier, Jacques] Univ Bretagne Occidentale, Inst Univ Europeen Mer, Lab Sci Environm Marin, CNRS,UMR 6539, Plouzane, France; [Cam, Emmanuelle] CNRS, Ctr Ecol Fonct &amp; Evolut, UMR 5175, F-34033 Montpellier, France; [Cam, Emmanuelle] Univ Toulouse 3, CNRS, UMR 5174, Lab Evolut &amp; Divers Biol, F-31062 Toulouse, France; [Strand, Oivind] Inst Marine Res, N-5024 Bergen, Norway; [Charrier, Gregory] Univ Gothenburg, Dept Marine Ecol Tjarno, Stromstad, Sweden; [Le Goff, Clement; Lazure, Pascal] IFREMER, Ctr Brest, LOS, Plouzane, France; [Le Goff, Clement; Lazure, Pascal] IFREMER, Ctr Brest, Lab Phys Hydrodynam &amp; Sedimentaire PHYSED, Plouzane, France; [Gotthard, Karl] Stockholm Univ, Dept Zool, S-10691 Stockholm, Sweden</t>
  </si>
  <si>
    <t>Universite de Bretagne Occidentale; Institut Universitaire Europeen de la Mer (IUEM); Centre National de la Recherche Scientifique (CNRS); CNRS - Institute of Ecology &amp; Environment (INEE); Ifremer; Institut de Recherche pour le Developpement (IRD);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Universite de Toulouse; Universite Federale Toulouse Midi-Pyrenees (ComUE); Universite Toulouse III - Paul Sabatier; Ecole Nationale Formation Agronomique (ENSFEA); Centre National de la Recherche Scientifique (CNRS); CNRS - Institute of Ecology &amp; Environment (INEE); Institute of Marine Research - Norway; University of Gothenburg; Ifremer; Ifremer; Stockholm University</t>
  </si>
  <si>
    <t>Chauvaud, L (corresponding author), Univ Bretagne Occidentale, Inst Univ Europeen Mer, Lab Sci Environm Marin, CNRS,UMR 6539, Technopole Brest Iroise, Plouzane, France.</t>
  </si>
  <si>
    <t>laurent.chauvaud@univ-brest.fr</t>
  </si>
  <si>
    <t>Gotthard, Karl/F-1163-2011; Thébault, Julien/F-6198-2011; le goff, clement/H-1868-2012; Cam, Emmanuelle/KFS-0700-2024; Lazure, Pascal/L-4596-2015</t>
  </si>
  <si>
    <t>Gotthard, Karl/0000-0002-4560-6271; Thébault, Julien/0000-0002-3111-4428; Lazure, Pascal/0000-0003-2794-8785; Cam, Emmanuelle/0000-0001-7324-6958; le goff, clement/0000-0002-6565-8458; Jolivet, Aurelie/0000-0001-5415-3326</t>
  </si>
  <si>
    <t>EU; ANR-Blanc (Agence Nationale de la Recherche : CHIVAS); Fondation Franco- Norvegienne (FNS); Stockholm University; GIS EUROPOLE MER; Research Axis 2 Global change - Ocean - Marine ecosystems''</t>
  </si>
  <si>
    <t>EU(European Union (EU)); ANR-Blanc (Agence Nationale de la Recherche : CHIVAS)(Agence Nationale de la Recherche (ANR)); Fondation Franco- Norvegienne (FNS); Stockholm University; GIS EUROPOLE MER; Research Axis 2 Global change - Ocean - Marine ecosystems''</t>
  </si>
  <si>
    <t>This study was partly supported by the EU Marie Curie'' program, the French program ANR-Blanc (Agence Nationale de la Recherche : CHIVAS project), the Fondation Franco- Norvegienne (FNS) and by the Strategic Research Program EkoKlim at Stockholm University (K. Gottard). The funders had no role in study design, data collection and analysis, decision to publish, or preparation of the manuscript.; Laurent Chauvaud gratefully acknowledges the EU program Training and mobility Researchers'' (Large-Scale Facilities'' and Marie Curie'' research training grants) for the award of a postdoctoral fellowship. C. Le Goff and A. Jolivet thank the GIS EUROPOLE MER and in particular the Research Axis 2 Global change - Ocean - Marine ecosystems'' for their two postdoctoral fellowships. We would like to thank also the two referees (an anonymous and Vladimir Laptikhovsky) for their comments which helped improving the quality of our manuscript.</t>
  </si>
  <si>
    <t>e37717</t>
  </si>
  <si>
    <t>10.1371/journal.pone.0037717</t>
  </si>
  <si>
    <t>959TH</t>
  </si>
  <si>
    <t>WOS:000305335800073</t>
  </si>
  <si>
    <t>Fontaine, B; van Achterberg, K; Alonso-Zarazaga, MA; Araujo, R; Asche, M; Aspöck, H; Aspöck, U; Audisio, P; Aukema, B; Bailly, N; Balsamo, M; Bank, RA; Belfiore, C; Bogdanowicz, W; Boxshall, G; Burckhardt, D; Chylarecki, P; Deharveng, L; Dubois, A; Enghoff, H; Fochetti, R; Fontaine, C; Gargominy, O; Lopez, MSG; Goujet, D; Harvey, MS; Heller, KG; van Helsdingen, P; Hoch, H; De Jong, Y; Karsholt, O; Los, W; Magowski, W; Massard, JA; McInnes, SJ; Mendes, LF; Mey, E; Michelsen, V; Minelli, A; Nafria, JMN; van Nieukerken, EJ; Pape, T; De Prins, W; Ramos, M; Ricci, C; Roselaar, C; Rota, E; Segers, H; Timm, T; van Tol, J; Bouchet, P</t>
  </si>
  <si>
    <t>Fontaine, Benoit; van Achterberg, Kees; Angel Alonso-Zarazaga, Miguel; Araujo, Rafael; Asche, Manfred; Aspoeck, Horst; Aspoeck, Ulrike; Audisio, Paolo; Aukema, Berend; Bailly, Nicolas; Balsamo, Maria; Bank, Ruud A.; Belfiore, Carlo; Bogdanowicz, Wieslaw; Boxshall, Geoffrey; Burckhardt, Daniel; Chylarecki, Przemyslaw; Deharveng, Louis; Dubois, Alain; Enghoff, Henrik; Fochetti, Romolo; Fontaine, Colin; Gargominy, Olivier; Gomez Lopez, Maria Soledad; Goujet, Daniel; Harvey, Mark S.; Heller, Klaus-Gerhard; van Helsdingen, Peter; Hoch, Hannelore; De Jong, Yde; Karsholt, Ole; Los, Wouter; Magowski, Wojciech; Massard, Jos A.; McInnes, Sandra J.; Mendes, Luis F.; Mey, Eberhard; Michelsen, Verner; Minelli, Alessandro; Nieto Nafria, Juan M.; van Nieukerken, Erik J.; Pape, Thomas; De Prins, Willy; Ramos, Marian; Ricci, Claudia; Roselaar, Cees; Rota, Emilia; Segers, Hendrik; Timm, Tarmo; van Tol, Jan; Bouchet, Philippe</t>
  </si>
  <si>
    <t>New Species in the Old World: Europe as a Frontier in Biodiversity Exploration, a Test Bed for 21st Century Taxonomy</t>
  </si>
  <si>
    <t>ASTRONOMY; AMATEURS</t>
  </si>
  <si>
    <t>The number of described species on the planet is about 1.9 million, with ca. 17,000 new species described annually, mostly from the tropics. However, taxonomy is usually described as a science in crisis, lacking manpower and funding, a politically acknowledged problem known as the Taxonomic Impediment. Using data from the Fauna Europaea database and the Zoological Record, we show that contrary to general belief, developed and heavily-studied parts of the world are important reservoirs of unknown species. In Europe, new species of multicellular terrestrial and freshwater animals are being discovered and named at an unprecedented rate: since the 1950s, more than 770 new species are on average described each year from Europe, which add to the 125,000 terrestrial and freshwater multicellular species already known in this region. There is no sign of having reached a plateau that would allow for the assessment of the magnitude of European biodiversity. More remarkably, over 60% of these new species are described by non-professional taxonomists. Amateurs are recognized as an essential part of the workforce in ecology and astronomy, but the magnitude of non-professional taxonomist contributions to alpha-taxonomy has not been fully realized until now. Our results stress the importance of developing a system that better supports and guides this formidable workforce, as we seek to overcome the Taxonomic Impediment and speed up the process of describing the planetary biodiversity before it is too late.</t>
  </si>
  <si>
    <t>[Fontaine, Benoit; Fontaine, Colin] Museum Natl Hist Nat, UMR 7204, F-75231 Paris, France; [van Achterberg, Kees; van Nieukerken, Erik J.; van Tol, Jan] NCB Nat, Leiden, Netherlands; [Angel Alonso-Zarazaga, Miguel; Araujo, Rafael; Ramos, Marian] CSIC, Museo Nacl Ciencias Nat, Depto Biodiversidad &amp; Biol Evolut, E-28006 Madrid, Spain; [Asche, Manfred; Hoch, Hannelore] Humboldt Univ, Museum Nat Kunde, Leibniz Inst Evolut &amp; Biodiversitatsforsch, D-10099 Berlin, Germany; [Aspoeck, Horst] Med Univ Vienna, Dept Med Parasitol, Vienna, Austria; [Aspoeck, Ulrike] Univ Vienna, Nat Hist Museum Wien, Vienna, Austria; [Audisio, Paolo] Univ Roma La Sapienza, Dept Biol &amp; Biotechnol C Darwin, Rome, Italy; [Bailly, Nicolas] WorldFish Ctr, Laguna, Philippines; [Balsamo, Maria] Univ Urbino Carlo Bo, Dipartimento Sci Uomo Ambiente &amp; Nat, Urbino, Italy; [Belfiore, Carlo] Univ Tuscia, Dipartimento Sci Ecol &amp; Biol, Viterbo, Italy; [Bogdanowicz, Wieslaw; Chylarecki, Przemyslaw] Polish Acad Sci, Museum &amp; Inst Zool, Warsaw, Poland; [Boxshall, Geoffrey] Nat Hist Museum, Dept Zool, London SW7 5BD, England; [Burckhardt, Daniel] Nat Hist Museum, Basel, Switzerland; [Deharveng, Louis; Dubois, Alain; Bouchet, Philippe] Museum Natl Hist Nat, Dept Systemat &amp; Evolut, F-75231 Paris, France; [Enghoff, Henrik; Karsholt, Ole; Michelsen, Verner; Pape, Thomas] Univ Copenhagen, Nat Hist Museum Denmark, Copenhagen, Denmark; [Fochetti, Romolo] Univ Tuscia, Dipartimento Sci Ambientali, Viterbo, Italy; [Gargominy, Olivier] Museum Natl Hist Nat, Serv Patrimoine Nat, F-75231 Paris, France; [Gomez Lopez, Maria Soledad] Univ Barcelona, Parasitol Lab, Barcelona, Spain; [Goujet, Daniel] Museum Natl Hist Nat, Dept Hist Terre, F-75231 Paris, France; [Harvey, Mark S.] Western Australian Museum, Dept Terr Zool, Welshpool, WA, Australia; [Heller, Klaus-Gerhard] Univ Erlangen Nurnberg, Inst Zool, D-91054 Erlangen, Germany; [van Helsdingen, Peter] European Invertebrate Survey, Natl Nat Hist Museum Nat, Leiden, Netherlands; [De Jong, Yde; Los, Wouter] Univ Amsterdam, Zool Museum, Amsterdam, Netherlands; [Magowski, Wojciech] Adam Mickiewicz Univ, Dept Anim Taxon &amp; Ecol, Poznan, Poland; [McInnes, Sandra J.] British Antarctic Survey, Cambridge, England; [Mendes, Luis F.] Ctr Zool, Inst Invest Cient Trop, Lisbon, Portugal; [Mey, Eberhard] Nat Hist Museum Thuringer Landesmuseum, Rudolstadt, Germany; [Minelli, Alessandro] Univ Padua, Dept Biol, Padua, Italy; [Nieto Nafria, Juan M.] Univ Leon, Dept Biodiversidad &amp; Gest Ambiental, E-24071 Leon, Spain; [De Prins, Willy] Flemish Entomol Soc, Leefdaal, Belgium; [Ricci, Claudia] Univ Milan, Dipartimento Protez Sistemi Agroalimentare &amp; Urba, Milan, Italy; [Roselaar, Cees] NCB Nat, Amsterdam, Netherlands; [Rota, Emilia] Univ Siena, Dipartimento Sci Ambientali, Sez Sistemat Ecol Anim &amp; Vegetale, I-53100 Siena, Italy; [Segers, Hendrik] Royal Belgian Inst Nat Sci, Freshwater Lab, Brussels, Belgium; [Timm, Tarmo] Estonian Univ Life Sci, Inst Agr &amp; Environm Sci, Tartumaa, Estonia</t>
  </si>
  <si>
    <t>Sorbonne Universite; Centre National de la Recherche Scientifique (CNRS); CNRS - Institute of Ecology &amp; Environment (INEE); Museum National d'Histoire Naturelle (MNHN); Consejo Superior de Investigaciones Cientificas (CSIC); CSIC - Museo Nacional de Ciencias Naturales (MNCN); Humboldt University of Berlin; Leibniz Institut fur Evolutions und Biodiversitatsforschung; Medical University of Vienna; University of Vienna; Sapienza University Rome; CGIAR; Worldfish; University of Urbino; Tuscia University; Polish Academy of Sciences; Museum &amp; Institute of Zoology of the Polish Academy of Sciences; Natural History Museum London; Museum National d'Histoire Naturelle (MNHN); University of Copenhagen; Tuscia University; Museum National d'Histoire Naturelle (MNHN); University of Barcelona; Museum National d'Histoire Naturelle (MNHN); Western Australian Museum; University of Erlangen Nuremberg; University of Amsterdam; Adam Mickiewicz University; UK Research &amp; Innovation (UKRI); Natural Environment Research Council (NERC); NERC British Antarctic Survey; University of Padua; Universidad de Leon; University of Milan; University of Siena; Royal Belgian Institute of Natural Sciences; Estonian University of Life Sciences</t>
  </si>
  <si>
    <t>Fontaine, B (corresponding author), Museum Natl Hist Nat, UMR 7204, F-75231 Paris, France.</t>
  </si>
  <si>
    <t>fontaine@mnhn.fr</t>
  </si>
  <si>
    <t>Dubois, Arnaud/C-1791-2014; van Nieukerken, Erik/B-4512-2012; McInnes, Sandra/AAN-4773-2020; Segers, Hendrik/C-4101-2009; Bailly, Nicolas/AID-4444-2022; Pape, Thomas/E-7520-2011; Enghoff, Henrik/A-5796-2013; Balsamo, Maria/AAW-3205-2020; Harvey, Mark/P-4265-2019; Chylarecki, Przemysław/B-7696-2013; van Achterberg, Kees/AFV-5150-2022; Ramos, Marian/E-5536-2013; Aspock, Horst/O-1990-2017; Mendes, Luis/N-3140-2013; Fontaine, Colin/N-6469-2015</t>
  </si>
  <si>
    <t>van Nieukerken, Erik/0000-0002-5721-1840; McInnes, Sandra/0000-0003-3403-9379; Segers, Hendrik/0000-0001-5399-3657; Pape, Thomas/0000-0001-6609-0609; Balsamo, Maria/0000-0002-7947-0632; Harvey, Mark/0000-0003-1482-0109; Chylarecki, Przemysław/0000-0001-6863-4294; Ramos, Marian/0000-0001-5224-5665; Bogdanowicz, Wieslaw/0000-0003-1196-2494; Burckhardt, Daniel/0000-0001-8368-5268; Magowski, Wojciech/0000-0003-2521-9458; Minelli, Alessandro/0000-0003-3387-1489; Boxshall, Geoffrey/0000-0001-8170-7734; BELFIORE, Carlo/0000-0002-0061-8658; Gargominy, Olivier/0000-0001-7807-944X; AUDISIO, Paolo Aldo/0000-0002-7990-6934; Aspock, Horst/0000-0001-9407-3566; Mendes, Luis/0000-0002-2873-6066; Los, Wouter/0000-0001-7433-4431; Rota, Emilia/0000-0002-8235-6419; Fontaine, Colin/0000-0001-5367-5675</t>
  </si>
  <si>
    <t>European Commission [EVR1-CT-1999-20001]; NERC [bas0100025] Funding Source: UKRI; Natural Environment Research Council [bas0100025] Funding Source: researchfish</t>
  </si>
  <si>
    <t>European Commission(European Union (EU)European Commission Joint Research Centre); NERC(UK Research &amp; Innovation (UKRI)Natural Environment Research Council (NERC)); Natural Environment Research Council(UK Research &amp; Innovation (UKRI)Natural Environment Research Council (NERC))</t>
  </si>
  <si>
    <t>The Fauna Europaea project was supported by the European Commission under contract no. EVR1-CT-1999-20001. The funders had no role in study design, data collection and analysis, decision to publish, or preparation of the manuscript.</t>
  </si>
  <si>
    <t>e36881</t>
  </si>
  <si>
    <t>10.1371/journal.pone.0036881</t>
  </si>
  <si>
    <t>WOS:000305335800020</t>
  </si>
  <si>
    <t>Galea, HR; Schories, D</t>
  </si>
  <si>
    <t>Galea, Horia R.; Schories, Dirk</t>
  </si>
  <si>
    <t>Some hydrozoans (Cnidaria) from King George Island, Antarctica</t>
  </si>
  <si>
    <t>Hydrozoa; hydroids; hydromedusa; South Shetland islands</t>
  </si>
  <si>
    <t>BENTHIC HYDROIDS CNIDARIA; R.V. POLARSTERN; EXPEDITIONS; SERTULARIIDAE</t>
  </si>
  <si>
    <t>Twenty one species of shallow-water, benthic hydrozoans, belonging to nine families and fourteen genera, were found in a collection gathered from King George Island, South Shetland islands, during 2010 and 2011. Hydractinia angusta Hartlaub, 1904, Staurocladia charcoti (Bedot, 1908), Candelabrum penola (Manton, 1940), Orthopyxis norvegiae (Broch, 1948), and Silicularia pedunculata (Jaderholm, 1904) are redescribed. Additional notes are provided on Schizotricha turqueti Billard, 1906. Sertularella gaudichaudi (Lamouroux, 1824) is recognized as one of the most widely-distributed member of its genus in Antarctic waters. Taxonomic notes and updated synonymy are provided for some species.</t>
  </si>
  <si>
    <t>[Galea, Horia R.] Hydrozoan Res Lab, F-83170 Tourves, France; [Schories, Dirk] Univ Austral Chile, Inst Ciencias Marinas &amp; Limnol, Valdivia, Chile</t>
  </si>
  <si>
    <t>Universidad Austral de Chile</t>
  </si>
  <si>
    <t>Galea, HR (corresponding author), Hydrozoan Res Lab, 405 Chemin Gatiers, F-83170 Tourves, France.</t>
  </si>
  <si>
    <t>horia.galea@gmail.com; dirk.schories@gmx.de</t>
  </si>
  <si>
    <t>Chilean Antarctic Institute, INACh [T-21-09]</t>
  </si>
  <si>
    <t>Chilean Antarctic Institute, INACh</t>
  </si>
  <si>
    <t>We are grateful to the Scientific Diving Groups of the Universidad Austral de Chile and the University of Rostock, Germany, for participation and assistance in the field expeditions. This work was financed by the Chilean Antarctic Institute, INACh (project #T-21-09). Dr. Dhugal Lindsay (JAMSTEC, Japan) is warmly thanked for help with literature.</t>
  </si>
  <si>
    <t>250F Marua Road Mt Wellington, AUCKLAND, ST LUKES 1023, NEW ZEALAND</t>
  </si>
  <si>
    <t>947JD</t>
  </si>
  <si>
    <t>WOS:000304425400001</t>
  </si>
  <si>
    <t>McCarthy, GD; King, BA; Cipollini, P; McDonagh, EL; Blundell, JR; Biastoch, A</t>
  </si>
  <si>
    <t>McCarthy, G. D.; King, B. A.; Cipollini, P.; McDonagh, E. L.; Blundell, J. R.; Biastoch, A.</t>
  </si>
  <si>
    <t>On the sub-decadal variability of South Atlantic Antarctic Intermediate Water</t>
  </si>
  <si>
    <t>PLANETARY WAVE-PROPAGATION; VARYING MEAN FLOW; BOTTOM TOPOGRAPHY; AGULHAS LEAKAGE; OCEAN; CIRCULATION; DYNAMICS</t>
  </si>
  <si>
    <t>Variability of Antarctic Intermediate Water salinity in the South Atlantic is investigated on interannual and intradecadal timescales. Novel observations of slow, westward propagating salinity anomalies in Argo data are presented. The features have no corresponding signal in temperature and are anomalous in density. Analysis of 40 years of model output supports the existence of these westward propagating salinity anomalies and indicates that they are typical occurrences in time. The features are intensified in a latitude band around 30 degrees S associated with the propagation of Agulhas rings. However, the features are much larger than Agulhas rings and occur on decadal timescales in the model. They propagate westward with speeds of 2.3 cm/s in observations, and 1.7 cm/s in model data. They are more consistent with planetary waves than with the advection of large-scale salinity anomalies. The observation of these features has implications for the interpretation of salinity anomalies, such as the linking of hydrological cycle changes to salinity changes. Citation: McCarthy, G. D., B. A. King, P. Cipollini, E. L. McDonagh, J. R. Blundell, and A. Biastoch (2012), On the sub-decadal variability of South Atlantic Antarctic Intermediate Water, Geophys. Res. Lett., 39, L10605, doi: 10.1029/2012GL051270.</t>
  </si>
  <si>
    <t>[McCarthy, G. D.; King, B. A.; Cipollini, P.; McDonagh, E. L.; Blundell, J. R.] Natl Oceanog Ctr, Southampton SO14 3ZH, Hants, England; [Biastoch, A.] Helmholtz Ctr Ocean Res Kiel, GEOMAR, Kiel, Germany</t>
  </si>
  <si>
    <t>NERC National Oceanography Centre; Helmholtz Association; GEOMAR Helmholtz Center for Ocean Research Kiel</t>
  </si>
  <si>
    <t>McCarthy, GD (corresponding author), Natl Oceanog Ctr, European Way, Southampton SO14 3ZH, Hants, England.</t>
  </si>
  <si>
    <t>gerard.mccarthy@noc.ac.uk</t>
  </si>
  <si>
    <t>Biastoch, Arne/B-5219-2014; McCarthy, Gerard D/L-1954-2013; Cipollini, Paolo/B-5294-2012</t>
  </si>
  <si>
    <t>Biastoch, Arne/0000-0003-3946-4390; Cipollini, Paolo/0000-0002-3682-5675; McDonagh, Elaine/0000-0002-8813-4585; McCarthy, Gerard Daniel/0000-0002-2363-0561</t>
  </si>
  <si>
    <t>Marine Physics and Ocean Climate group; University of Southampton; NERC [noc010010, noc010002, noc010005] Funding Source: UKRI; Natural Environment Research Council [noc010012, noc010005, noc010010, noc010002] Funding Source: researchfish</t>
  </si>
  <si>
    <t>Marine Physics and Ocean Climate group; University of Southampton; NERC(UK Research &amp; Innovation (UKRI)Natural Environment Research Council (NERC)); Natural Environment Research Council(UK Research &amp; Innovation (UKRI)Natural Environment Research Council (NERC))</t>
  </si>
  <si>
    <t>GM was supported by the Marine Physics and Ocean Climate group and the University of Southampton. The Argo data were collected and made freely available by the International Argo Program and the national programs that contribute to it. (http://www.argo.ucsd.edu, http://argo.jcommops.org). The Argo Program is part of the Global Ocean Observing System.</t>
  </si>
  <si>
    <t>MAY 22</t>
  </si>
  <si>
    <t>L10605</t>
  </si>
  <si>
    <t>10.1029/2012GL051270</t>
  </si>
  <si>
    <t>949EV</t>
  </si>
  <si>
    <t>WOS:000304560100001</t>
  </si>
  <si>
    <t>Sharples, RJ; Moss, SE; Patterson, TA; Hammond, PS</t>
  </si>
  <si>
    <t>Sharples, Ruth J.; Moss, Simon E.; Patterson, Toby A.; Hammond, Philip S.</t>
  </si>
  <si>
    <t>Spatial Variation in Foraging Behaviour of a Marine Top Predator (Phoca vitulina) Determined by a Large-Scale Satellite Tagging Program</t>
  </si>
  <si>
    <t>HARBOR SEALS; MORAY-FIRTH; GRAY SEALS; SEASONAL-VARIATION; GREY SEALS; MOVEMENTS; DIET; TELEMETRY; PATTERNS; SPACE</t>
  </si>
  <si>
    <t>The harbour seal (Phoca vitulina) is a widespread marine predator in Northern Hemisphere waters. British populations have been subject to rapid declines in recent years. Food supply or inter-specific competition may be implicated but basic ecological data are lacking and there are few studies of harbour seal foraging distribution and habits. In this study, satellite tagging conducted at the major seal haul outs around the British Isles showed both that seal movements were highly variable among individuals and that foraging strategy appears to be specialized within particular regions. We investigated whether these apparent differences could be explained by individual level factors: by modelling measures of trip duration and distance travelled as a function of size, sex and body condition. However, these were not found to be good predictors of foraging trip duration or distance, which instead was best predicted by tagging region, time of year and inter-trip duration. Therefore, we propose that local habitat conditions and the constraints they impose are the major determinants of foraging movements. Specifically the distance to profitable feeding grounds from suitable haul-out locations may dictate foraging strategy and behaviour. Accounting for proximity to productive foraging resources is likely to be an important component of understanding population processes. Despite more extensive offshore movements than expected, there was also marked fidelity to the local haul-out region with limited connectivity between study regions. These empirical observations of regional exchange at short time scales demonstrates the value of large scale electronic tagging programs for robust characterization of at-sea foraging behaviour at a wide spatial scale.</t>
  </si>
  <si>
    <t>[Sharples, Ruth J.; Moss, Simon E.; Hammond, Philip S.] Univ St Andrews, Scottish Oceans Inst, Sea Mammal Res Unit, St Andrews, Fife, Scotland; [Sharples, Ruth J.] Univ Tasmania, Inst Marine &amp; Antarctic Studies, Hobart, Tas, Australia; [Patterson, Toby A.] CSIRO Wealth Oceans Res Flagship, Hobart, Tas, Australia</t>
  </si>
  <si>
    <t>University of St Andrews; University of Tasmania; Commonwealth Scientific &amp; Industrial Research Organisation (CSIRO)</t>
  </si>
  <si>
    <t>Sharples, RJ (corresponding author), Univ St Andrews, Scottish Oceans Inst, Sea Mammal Res Unit, St Andrews, Fife, Scotland.</t>
  </si>
  <si>
    <t>rjsharples@gmail.com</t>
  </si>
  <si>
    <t>Patterson, Toby A/B-3836-2011</t>
  </si>
  <si>
    <t>Hammond, Philip/0000-0002-2381-8302; Patterson, Toby/0000-0002-7150-9205</t>
  </si>
  <si>
    <t>Department of Energy and Climate Change through its Strategic Environmental Assessment programme; Natural Environment Research Council [smru10001] Funding Source: researchfish</t>
  </si>
  <si>
    <t>Department of Energy and Climate Change through its Strategic Environmental Assessment programme; Natural Environment Research Council(UK Research &amp; Innovation (UKRI)Natural Environment Research Council (NERC))</t>
  </si>
  <si>
    <t>The work was supported by the United Kingdom Department of Trade and Industry, now the Department of Energy and Climate Change (http://www.decc.gov.uk/) through its Strategic Environmental Assessment programme (http://www.offshore-sea..uk). The funders had no role in study design, data collection and analysis, decision to publish, or preparation of the manuscript.</t>
  </si>
  <si>
    <t>MAY 21</t>
  </si>
  <si>
    <t>e37216</t>
  </si>
  <si>
    <t>10.1371/journal.pone.0037216</t>
  </si>
  <si>
    <t>959VD</t>
  </si>
  <si>
    <t>Green Submitted, Green Accepted, gold, Green Published</t>
  </si>
  <si>
    <t>WOS:000305343100018</t>
  </si>
  <si>
    <t>Montes-Hugo, MA; Yuan, XJ</t>
  </si>
  <si>
    <t>Montes-Hugo, Martin A.; Yuan, Xiaojun</t>
  </si>
  <si>
    <t>Climate patterns and phytoplankton dynamics in Antarctic latent heat polynyas</t>
  </si>
  <si>
    <t>SOUTHERN-OCEAN; ROSS SEA; ICE; OSCILLATION; VARIABILITY; CIRCULATION; HEMISPHERE; ICEBERG; PIGMENT; IMPACT</t>
  </si>
  <si>
    <t>Seasonal coherence between satellite-derived phytoplankton parameters (chlorophyll a concentration (Chl) and phytoplankton bloom initiation time (BIT)), environmental variables (sea ice concentration, surface solar radiation, and wind speed), and climate patterns (El Nino 3.4, the Southern Annular Mode, the Pacific South America pattern, the semiannual oscillation, and the wave-3 stationary pattern) was investigated in four latent heat polynyas (Amundsen Sea, western Ross Sea, Dumont d'Urville, and Prydz Bay) using data corresponding to 1998-2006 phytoplankton growing seasons. In general, polynyas in the western sector (i.e., Amundsen Sea and western Ross Sea) had a greater sea ice cover, lower solar radiation levels, higher and more variable Chl, and more variable and delayed (i.e., high BIT) phytoplankton blooms. Differences in Chl and BIT were mainly attributed to differences in water stratification and interannual variability of sea ice concentration caused by ice shelf calving events in the Ross Sea. Changes in solar radiation reaching the sea surface played an important role in determining phytoplankton blooms in the western Ross Sea and Prydz Bay. Stronger winds tend to benefit development of phytoplankton blooms in polynyas having more stratified waters. Sensitivity of phytoplankton to climate variability in polynyas under investigation was highly influenced by the polynya size during summer (e. g., Chl in Dumont d'Urville and BIT in the western Ross Sea). Also, the response of Chl to the same climate pattern changed with the polynya's location (e. g., correlation between Chl and El Ni o 3.4 in Amundsen Sea (positive) and Dumont d'Urville (negative)).</t>
  </si>
  <si>
    <t>[Montes-Hugo, Martin A.] Univ Quebec, Inst Sci Mer Rimouski, Rimouski, PQ G5L 3A1, Canada; [Yuan, Xiaojun] Columbia Univ, Lamont Doherty Earth Observ, Earth Inst, Palisades, NY USA</t>
  </si>
  <si>
    <t>University of Quebec; Columbia University</t>
  </si>
  <si>
    <t>Montes-Hugo, MA (corresponding author), Univ Quebec, Inst Sci Mer Rimouski, 310 Allee Ursulines,Off P-216, Rimouski, PQ G5L 3A1, Canada.</t>
  </si>
  <si>
    <t>martinalejandro_montes@uqar.ca</t>
  </si>
  <si>
    <t>Yuan, Xiaojun/AAI-7770-2020</t>
  </si>
  <si>
    <t>NSERC; CFI; NSF [ANT 07-39509, ANT-1043669]; Directorate For Geosciences; Office of Polar Programs (OPP) [0739509, 1043669] Funding Source: National Science Foundation</t>
  </si>
  <si>
    <t>NSERC(Natural Sciences and Engineering Research Council of Canada (NSERC)); CFI(Canada Foundation for Innovation); NSF(National Science Foundation (NSF)); Directorate For Geosciences; Office of Polar Programs (OPP)(National Science Foundation (NSF)NSF - Directorate for Geosciences (GEO))</t>
  </si>
  <si>
    <t>This contribution was supported by NSERC discovery and CFI grants of Montes-Hugo, and NSF grants of ANT 07-39509 and ANT-1043669 for Yuan. Lamont contribution 7541.</t>
  </si>
  <si>
    <t>MAY 19</t>
  </si>
  <si>
    <t>C05031</t>
  </si>
  <si>
    <t>10.1029/2010JC006597</t>
  </si>
  <si>
    <t>945CX</t>
  </si>
  <si>
    <t>WOS:000304251500001</t>
  </si>
  <si>
    <t>Fritts, DC; Janches, D; Hocking, WK; Mitchell, NJ; Taylor, MJ</t>
  </si>
  <si>
    <t>Fritts, D. C.; Janches, D.; Hocking, W. K.; Mitchell, N. J.; Taylor, M. J.</t>
  </si>
  <si>
    <t>Assessment of gravity wave momentum flux measurement capabilities by meteor radars having different transmitter power and antenna configurations</t>
  </si>
  <si>
    <t>MU-RADAR; LOWER STRATOSPHERE; POKER FLAT; AIRCRAFT MEASUREMENTS; SEASONAL-VARIATION; WIND DISTURBANCES; MIDDLE ATMOSPHERE; SUMMER MESOPAUSE; MOUNTAIN WAVES; AUGUST 1987</t>
  </si>
  <si>
    <t>Measurement capabilities of five meteor radars are assessed and compared to determine how well radars having different transmitted power and antenna configurations perform in defining mean winds, tidal amplitudes, and gravity wave (GW) momentum fluxes. The five radars include two new-generation meteor radars on Tierra del Fuego, Argentina (53.8 degrees S) and on King George Island in the Antarctic (62.1 degrees S) and conventional meteor radars at Socorro, New Mexico (34.1 degrees N, 106.9 degrees W), Bear Lake Observatory, Utah (similar to 41.9 degrees N, 111.4 degrees W), and Yellowknife, Canada (62.5 degrees N, 114.3 degrees W). Our assessment employs observed meteor distributions for June of 2009, 2010, or 2011 for each radar and a set of seven test motion fields including various superpositions of mean winds, constant diurnal tides, constant and variable semidiurnal tides, and superposed GWs having various amplitudes, scales, periods, directions of propagation, momentum fluxes, and intermittencies. Radars having higher power and/or antenna patterns yielding higher meteor counts at small zenith angles perform well in defining monthly and daily mean winds, tidal amplitudes, and GW momentum fluxes, though with expected larger uncertainties in the daily estimates. Conventional radars having lower power and a single transmitting antenna are able to describe monthly mean winds and tidal amplitudes reasonably well, especially at altitudes having the highest meteor counts. They also provide reasonable estimates of GW momentum fluxes at the altitudes having the highest meteor counts; however, these estimates are subject to uncertainties of similar to 20 to 50% and uncertainties rapidly become excessive at higher and lower altitudes. Estimates of all quantities degrade somewhat for more complex motion fields.</t>
  </si>
  <si>
    <t>[Fritts, D. C.] NW Res Associates Inc, Colorado Res Associates Div, Boulder, CO USA; [Janches, D.] NASA, Goddard Space Flight Ctr, Space Weather Lab, Greenbelt, MD 20771 USA; [Hocking, W. K.] Univ Western Ontario, Dept Phys, London, ON N6A 3K7, Canada; [Mitchell, N. J.] Univ Bath, Dept Elect &amp; Elect Engn, Ctr Space Atmospher &amp; Ocean Sci, Bath BA2 7AY, Avon, England; [Taylor, M. J.] Utah State Univ, Dept Phys, Logan, UT 84322 USA</t>
  </si>
  <si>
    <t>NorthWest Research Associates; National Aeronautics &amp; Space Administration (NASA); NASA Goddard Space Flight Center; Western University (University of Western Ontario); University of Bath; Utah System of Higher Education; Utah State University</t>
  </si>
  <si>
    <t>Fritts, DC (corresponding author), GATS Boulder, 3360 Mitchell Ln, Boulder, CO 80301 USA.</t>
  </si>
  <si>
    <t>dave@gats-inc.com</t>
  </si>
  <si>
    <t>Janches, Diego/D-4674-2012</t>
  </si>
  <si>
    <t>Janches, Diego/0000-0001-8615-5166</t>
  </si>
  <si>
    <t>NSF [ATM-0634650, ATM-0824742, OPP-0839084]; Secretaria for the Interministerial Commission of Sea Resources (SECIRM); PROANTAR; National Institute for Science and Technology; Antarctic Environmental Research (INCT-APA); ATMANTAR/MCT/CNPq, FAPERJ; Natural Environment Research Council [NE/H009760/1, NER/G/S/2003/00014] Funding Source: researchfish; NERC [NE/H009760/1] Funding Source: UKRI</t>
  </si>
  <si>
    <t>NSF(National Science Foundation (NSF)); Secretaria for the Interministerial Commission of Sea Resources (SECIRM); PROANTAR; National Institute for Science and Technology; Antarctic Environmental Research (INCT-APA); ATMANTAR/MCT/CNPq, FAPERJ; Natural Environment Research Council(UK Research &amp; Innovation (UKRI)Natural Environment Research Council (NERC)); NERC(UK Research &amp; Innovation (UKRI)Natural Environment Research Council (NERC))</t>
  </si>
  <si>
    <t>The research described here was performed under NSF grants ATM-0634650, ATM-0824742, and OPP-0839084. We are grateful for the valuable assistance of personnel at Estacion Astronomica Rio Grande (EARG) with the operations and maintenance of SAAMER. We are also grateful to the Secretaria for the Interministerial Commission of Sea Resources (SECIRM), the Brazilian Antarctic Program (PROANTAR), the National Institute for Science and Technology, Antarctic Environmental Research (INCT-APA), and the ATMANTAR/MCT/CNPq project, FAPERJ, for their support of this research and visits to Ferraz Station to install and service DrAAMER. Finally, the authors thank three anonymous reviewers for very valuable suggestions for revising the manuscript.</t>
  </si>
  <si>
    <t>D10108</t>
  </si>
  <si>
    <t>10.1029/2011JD017174</t>
  </si>
  <si>
    <t>945GE</t>
  </si>
  <si>
    <t>WOS:000304260300004</t>
  </si>
  <si>
    <t>Tripovich, JS; Hall-Aspland, S; Charrier, I; Arnould, JPY</t>
  </si>
  <si>
    <t>Tripovich, Joy S.; Hall-Aspland, Sophie; Charrier, Isabelle; Arnould, John P. Y.</t>
  </si>
  <si>
    <t>The Behavioural Response of Australian Fur Seals to Motor Boat Noise</t>
  </si>
  <si>
    <t>VOCAL RATES; AMPLITUDE</t>
  </si>
  <si>
    <t>Australian fur seals breed on thirteen islands located in the Bass Strait, Australia. Land access to these islands is restricted, minimising human presence but boat access is still permissible with limitations on approach distances. Thirty-two controlled noise exposure experiments were conducted on breeding Australian fur seals to determine their behavioural response to controlled in-air motor boat noise on Kanowna Island (39 degrees 10'S, 146 degrees 18'E). Our results show there were significant differences in the seals' behaviour at low (64-70 dB) versus high (75-85 dB) sound levels, with seals orientating themselves towards or physically moving away from the louder boat noise at three different sound levels. Furthermore, seals responded more aggressively with one another and were more alert when they heard louder boat noise. Australian fur seals demonstrated plasticity in their vocal responses to boat noise with calls being significantly different between the various sound intensities and barks tending to get faster as the boat noise got louder. These results suggest that Australian fur seals on Kanowna Island show behavioural disturbance to high level boat noise. Consequently, it is recommended that an appropriate level of received boat sound emissions at breeding fur seal colonies be below 74 dB and that these findings be taken into account when evaluating appropriate approach distances and speed limits for boats.</t>
  </si>
  <si>
    <t>[Tripovich, Joy S.] Univ Sydney, Fac Vet Sci, Sydney, NSW 2006, Australia; [Hall-Aspland, Sophie] Univ Tasmania, Inst Marine &amp; Antarctic Studies, Hobart, Tas, Australia; [Charrier, Isabelle] Univ Paris 11, Ctr Neurosci, Orsay, France; [Arnould, John P. Y.] Deakin Univ, Sch Life &amp; Environm Sci, Burwood, Vic, Australia</t>
  </si>
  <si>
    <t>University of Sydney; University of Tasmania; Universite Paris Saclay; Deakin University</t>
  </si>
  <si>
    <t>Tripovich, JS (corresponding author), Univ New S Wales, Sch Biol Earth &amp; Environm Sci, Sydney, NSW, Australia.</t>
  </si>
  <si>
    <t>joytripovich@hotmail.com</t>
  </si>
  <si>
    <t>Tripovich, Joy/AGJ-9233-2022</t>
  </si>
  <si>
    <t>CHARRIER, Isabelle/0000-0003-4873-2342; Tripovich, Joy/0000-0001-5690-789X</t>
  </si>
  <si>
    <t>Winifred Violet Scott Trust</t>
  </si>
  <si>
    <t>This work was supported by the Winifred Violet Scott Trust. The funders had no role in study design, data collection and analysis, decision to publish, or preparation of the manuscript.</t>
  </si>
  <si>
    <t>MAY 18</t>
  </si>
  <si>
    <t>e37228</t>
  </si>
  <si>
    <t>10.1371/journal.pone.0037228</t>
  </si>
  <si>
    <t>959VG</t>
  </si>
  <si>
    <t>WOS:000305343500080</t>
  </si>
  <si>
    <t>Moreno, PI; Villa-Martínez, R; Cárdenas, ML; Sagredo, EA</t>
  </si>
  <si>
    <t>Moreno, P. I.; Villa-Martinez, R.; Cardenas, M. L.; Sagredo, E. A.</t>
  </si>
  <si>
    <t>Deglacial changes of the southern margin of the southern westerly winds revealed by terrestrial records from SW Patagonia (52°S)</t>
  </si>
  <si>
    <t>Southwest Patagonia; Southern Westerly Winds; Last glacial termination; Atmospheric CO2 variations</t>
  </si>
  <si>
    <t>LAST GLACIAL TERMINATION; CLIMATE VARIABILITY; VEGETATION CHANGES; ABRUPT VEGETATION; POLLEN EVIDENCE; FIRE REGIMES; ICE CORE; ANDES; CHRONOLOGY; AMERICA</t>
  </si>
  <si>
    <t>Much of the ongoing discussion regarding synchrony or bipolar asynchrony of paleoclimate events has centered on the timing and structure of the last glacial termination in the southern mid- latitudes, in particular the southwestern Patagonian region (50 degrees-55 degrees S). Its location adjacent to the Drake Passage and near the southern margin of the southern westerly winds (SWW) allows examining the postulated links between the Southern Ocean-SWW coupled system and atmospheric CO2 variations through the last glacial termination. Results from two sites located in the Ultima Esperanza area (52 degrees S) allow us to infer SWW-driven changes in hydrologic balance during this critical time interval. These findings indicate peatland development under temperate/wet conditions between 14,600 and 14,900 cal yr BP, followed by cooling and a lake transgressive phase that led to a shallow lake during the early part of the Antarctic Cold Reversal (ACR, 13,600-14,600 cal yr BP), followed in turn by a deeper lake and modest warming during Younger Dryas time (YD, similar to 11,800-13,000 cal yr BP), superseded by terrestrialization and forest expansion at the beginning of the Holocene. We propose that the SWW (i) strengthened and shifted northward during ACR time causing a precipitation rise in northwestern and southwestern Patagonia coeval with mid- and high-latitude cooling and a halt in the deglacial atmospheric CO2 rise; (ii) shifted southward during YD time causing a precipitation decline/increase in NW/SW Patagonia, respectively, high-latitude warming, and invigorated CO2 release from the Southern Ocean; (iii) became weaker between similar to 10,000 and 11,500 cal yr BP causing a precipitation decline throughout Patagonia, concurrent with peak mid- and high-latitude temperatures and atmospheric CO2 concentrations. (C) 2012 Elsevier Ltd. All rights reserved.</t>
  </si>
  <si>
    <t>[Moreno, P. I.] Univ Chile, Dept Ecol Sci, Santiago, Chile; [Villa-Martinez, R.] Ctr Estudios Cuaternario CEQUA, Punta Arenas, Chile; [Moreno, P. I.] Univ Chile, Inst Ecol &amp; Biodivers, Santiago, Chile; [Cardenas, M. L.] Open Univ, Dept Earth &amp; Environm Sci, CEPSAR, Milton Keynes MK7 6AA, Bucks, England; [Sagredo, E. A.] Univ Cincinnati, Dept Geol, Cincinnati, OH 45221 USA</t>
  </si>
  <si>
    <t>Universidad de Chile; Universidad de Chile; Open University - UK; University System of Ohio; University of Cincinnati</t>
  </si>
  <si>
    <t>Moreno, PI (corresponding author), Univ Chile, Dept Ecol Sci, Las Palmeras 3425, Santiago, Chile.</t>
  </si>
  <si>
    <t>pimoreno@uchile.cl</t>
  </si>
  <si>
    <t>Villa, Rodrigo/F-5737-2014; Moreno, Patricio/D-2317-2012; SAGREDO, ESTEBAN/B-7280-2016</t>
  </si>
  <si>
    <t>Villa, Rodrigo/0000-0001-6041-4393; Cardenas, Macarena/0000-0002-6500-2352; Moreno, Patricio/0000-0002-1333-6238; SAGREDO, ESTEBAN/0000-0002-4494-5423</t>
  </si>
  <si>
    <t>Fondecyt [1040204, 1070991, 1110612]; ICM [P02-51]; Conicyt [PFB-23]</t>
  </si>
  <si>
    <t>Fondecyt(Comision Nacional de Investigacion Cientifica y Tecnologica (CONICYT)CONICYT FONDECYT); ICM; Conicyt(Comision Nacional de Investigacion Cientifica y Tecnologica (CONICYT))</t>
  </si>
  <si>
    <t>This research was funded by Fondecyt grants 1040204, 1070991, 1110612, ICM grant P02-51, and PFB-23 from Conicyt. We thank C.M. Moy and T. Guilderson for their contribution to the development of the radiocarbon chronology, C.R. Stern for the analysis of tephras, D. Ariztegui for analyzing the laminated carbonates from Lago Eberhard, and L Hernandez for sampling, processing the palynological samples from Pantano Eberhard and conducting macroscopic charcoal analysis of Pantano Dumestre. Our appreciation goes to J.P. Francois, J.C. Moreno, R. Flores, A. Prieto, and M. San Roman for providing field support. We thank R. Eberhard for permission to work and collect samples from Estancia Puerto Consuelo, Myriam Pastene (Clinica Bellolio) for allowing access to digital X radiographs, and M. San Roman from Universidad de Magallanes for logistic support at Campus Puerto Natales.</t>
  </si>
  <si>
    <t>10.1016/j.quascirev.2012.02.002</t>
  </si>
  <si>
    <t>949HX</t>
  </si>
  <si>
    <t>WOS:000304568400001</t>
  </si>
  <si>
    <t>Trusel, LD; Frey, KE; Das, SB</t>
  </si>
  <si>
    <t>Trusel, L. D.; Frey, K. E.; Das, S. B.</t>
  </si>
  <si>
    <t>Antarctic surface melting dynamics: Enhanced perspectives from radar scatterometer data</t>
  </si>
  <si>
    <t>GREENLAND ICE-SHEET; SEA-ICE; MICROWAVE RADIOMETERS; SNOW ACCUMULATION; TIME-SERIES; PENINSULA; TEMPERATURE; SHELF; COLLAPSE; BACKSCATTER</t>
  </si>
  <si>
    <t>Antarctic ice sheet surface melting can regionally influence ice shelf stability, mass balance, and glacier dynamics, in addition to modulating near-surface physical and chemical properties over wide areas. Here, we investigate variability in surface melting from 1999 to 2009 using radar backscatter time series from the SeaWinds scatterometer aboard the QuikSCAT satellite. These daily, continent-wide observations are explored in concert with in situ meteorological records to validate a threshold-based melt detection method. Radar backscatter decreases during melting are significantly correlated with in situ positive degree-days as well as meltwater production determined from energy balance modeling at Neumayer Station, East Antarctica. These results support the use of scatterometer data as a diagnostic indicator of melt intensity (i.e., the relative liquid water production during melting). Greater spatial and temporal melting detected relative to previous passive microwave-based studies is attributed to a higher sensitivity of the scatterometer instrument. Continental melt intensity variability can be explained in part by the dynamics of the Southern Annular Mode and the Southern Oscillation Index, and extreme melting events across the Ross Ice Shelf region may be associated with El Nino conditions. Furthermore, we find that the Antarctic Peninsula accounts for only 20% of Antarctic melt extent but greater than 50% of the total Antarctic melt intensity. Over most areas, annual melt duration and intensity are proportional. However, regional and localized distinctions exist where the melt intensity metric provides greater insight into melting dynamics than previously obtainable with other remote sensing techniques.</t>
  </si>
  <si>
    <t>[Trusel, L. D.; Frey, K. E.] Clark Univ, Grad Sch Geog, Worcester, MA 01610 USA; [Das, S. B.] Woods Hole Oceanog Inst, Dept Geol &amp; Geophys, Woods Hole, MA 02543 USA</t>
  </si>
  <si>
    <t>Clark University; Woods Hole Oceanographic Institution</t>
  </si>
  <si>
    <t>Trusel, LD (corresponding author), Clark Univ, Grad Sch Geog, 950 Main St, Worcester, MA 01610 USA.</t>
  </si>
  <si>
    <t>ltrusel@clarku.edu</t>
  </si>
  <si>
    <t>Trusel, Luke D/E-2578-2013</t>
  </si>
  <si>
    <t>Trusel, Luke/0000-0002-7792-6173</t>
  </si>
  <si>
    <t>NASA [NNX10AP09G]; NSF [ANT-063203]; NASA [126835, NNX10AP09G] Funding Source: Federal RePORTER</t>
  </si>
  <si>
    <t>NASA(National Aeronautics &amp; Space Administration (NASA)); NSF(National Science Foundation (NSF)); NASA(National Aeronautics &amp; Space Administration (NASA))</t>
  </si>
  <si>
    <t>Support for this research was provided by NASA grant NNX10AP09G and NSF grant ANT-063203. We would like to thank the BYU Scatterometer Climate Pathfinder project and David Long for providing the QuikSCAT data used in this study. We are thankful for the careful comments of three anonymous reviewers and the associate editor who greatly improved earlier versions of this manuscript.</t>
  </si>
  <si>
    <t>MAY 17</t>
  </si>
  <si>
    <t>F02023</t>
  </si>
  <si>
    <t>10.1029/2011JF002126</t>
  </si>
  <si>
    <t>945HR</t>
  </si>
  <si>
    <t>WOS:000304264200001</t>
  </si>
  <si>
    <t>Dmitrenko, IA; Kirillov, SA; Bloshkina, E; Lenn, YD</t>
  </si>
  <si>
    <t>Dmitrenko, Igor A.; Kirillov, Sergey A.; Bloshkina, Ekaterina; Lenn, Yueng-Djern</t>
  </si>
  <si>
    <t>Tide-induced vertical mixing in the Laptev Sea coastal polynya</t>
  </si>
  <si>
    <t>SEMIDIURNAL INTERNAL TIDE; LAND-FAST ICE; CRITICAL LATITUDE; CURRENT PROFILES; MACKENZIE SHELF; SIBERIAN SHELF; STABILITY; CURRENTS; HYDROGRAPHY; VARIABILITY</t>
  </si>
  <si>
    <t>Enhanced semidiurnal-band velocity shear across the shelf halocline layer (SHL) was found during land-fast ice edge mooring-based acoustic Doppler current profiler (ADCP) and conductivity-temperature-depth (CTD) observations over the eastern Laptev Sea shelf (similar to 74 degrees N, 128 degrees E) in April-May 2008 and April 2009. In 2008, the major axis amplitude for the lunar semidiurnal M-2 tidal ellipses demonstrated intermediate maximum in the SHL at 11-13 m (15 +/- 3 cm/s), gradually decreasing to subice and near-bottom layers to similar to 9 +/- 3 cm/s (at 7 m) and 7 +/- 2 cm/s (at 19 m), respectively. In 2009, the semidiurnal tidal flow exhibited similar patterns, but velocities were reduced by about factor of 2. Our estimates of gradient Richardson numbers suggest that the velocity shear associated with semidiurnal baroclinic tidal flow may be strong enough to play a role in water mass modification, promoting shear instabilities, turbulence, and vertical mixing of seawater properties across the SHL. This suggestion is consistent with near-homogeneous water layers episodically occurring in the SHL. Differences in the background stratification and local tidal dynamics between 2008 and 2009, together with rapid responses of the semidiurnal motion to polynya openings, suggest that the baroclinic tide is locally generated.</t>
  </si>
  <si>
    <t>[Dmitrenko, Igor A.] Univ Manitoba, Ctr Earth Observat Sci, Winnipeg, MB R3T 2N2, Canada; [Kirillov, Sergey A.; Bloshkina, Ekaterina] Arctic &amp; Antarctic Res Inst, St Petersburg 199226, Russia</t>
  </si>
  <si>
    <t>University of Manitoba; Arctic &amp; Antarctic Research Institute</t>
  </si>
  <si>
    <t>Dmitrenko, IA (corresponding author), Univ Manitoba, Ctr Earth Observat Sci, 462 Wallace Bldg, Winnipeg, MB R3T 2N2, Canada.</t>
  </si>
  <si>
    <t>dmitreni@cc.umanitoba.ca</t>
  </si>
  <si>
    <t>; Bloshkina, Ekaterina/I-6901-2015</t>
  </si>
  <si>
    <t>Dmitrenko, Igor/0000-0001-8388-7839; Bloshkina, Ekaterina/0000-0002-2078-7459; Lenn, Yueng-Djern/0000-0001-6031-523X</t>
  </si>
  <si>
    <t>BMBF; UK Natural Environment Research Council ASBO Arctic IPY Consortium; NERC [NE/F002432, NE/H016007/1]; Canada Excellence Research Chair (CERC) program; NERC [NE/H016007/1] Funding Source: UKRI; Natural Environment Research Council [NE/H016007/1] Funding Source: researchfish</t>
  </si>
  <si>
    <t>BMBF(Federal Ministry of Education &amp; Research (BMBF)); UK Natural Environment Research Council ASBO Arctic IPY Consortium; NERC(UK Research &amp; Innovation (UKRI)Natural Environment Research Council (NERC)); Canada Excellence Research Chair (CERC) program; NERC(UK Research &amp; Innovation (UKRI)Natural Environment Research Council (NERC)); Natural Environment Research Council(UK Research &amp; Innovation (UKRI)Natural Environment Research Council (NERC))</t>
  </si>
  <si>
    <t>Financial support through the BMBF project System Laptev Sea is gratefully acknowledged. Yueng-Djern Lenn was funded by the UK Natural Environment Research Council ASBO Arctic IPY Consortium grant with additional support from NERC grants NE/F002432 and NE/H016007/1. This study also received financial support from the Canada Excellence Research Chair (CERC) program. Torben Klagge (IFM-GEOMAR) has rendered invaluable assistance in performing oceanographic measurements in the Laptev Sea in spring 2008 and 2009. We are grateful to Thomas Krumpen (AWI, Germany) for the ENVISAT ASAR satellite imagery shown in Figures 1 and 15. Jens Holemann (AWI, Germany) kindly provided velocity data from moorings Anabar and Khatanga. We also appreciate Igor Polyakov (University of Alaska Fairbanks, United States) and Louis Fortier (Laval University, Canada) for lending the oceanographic equipment for the 2008 field campaign. We appreciate the editor and two anonymous reviewers for their significant efforts on improving our manuscript.</t>
  </si>
  <si>
    <t>C00G14</t>
  </si>
  <si>
    <t>10.1029/2011JC006966</t>
  </si>
  <si>
    <t>945CS</t>
  </si>
  <si>
    <t>WOS:000304251000001</t>
  </si>
  <si>
    <t>Kokorowski, M; Seppälä, A; Sample, JG; Holzworth, RH; McCarthy, MP; Bering, EA; Turunen, E</t>
  </si>
  <si>
    <t>Kokorowski, M.; Seppala, A.; Sample, J. G.; Holzworth, R. H.; McCarthy, M. P.; Bering, E. A.; Turunen, E.</t>
  </si>
  <si>
    <t>Atmosphere-ionosphere conductivity enhancements during a hard solar energetic particle event</t>
  </si>
  <si>
    <t>PROTON EVENT; ELECTRIC-FIELDS; MODEL; MIDDLE; ION</t>
  </si>
  <si>
    <t>On 20 January 2005, a solar energetic particle (SEP) event caused the largest recorded solar proton ground level event since 1956. Serendipitously, a balloon-borne experiment intended to measure effects of relativistic electron precipitation was aloft over Antarctica (similar to 32 km; near 70 degrees S, 345 degrees E geographic) throughout the duration of the SEP event, including the fast (similar to 6 min) onset. The balloon instrumentation included dc electric field and scalar electrical conductivity sensors. The observed conductivity increased by nearly a factor of 20 above ambient with the SEP event onset and returned to within a factor of two above normal levels within 17 h. Results from a newly developed, globally applicable atmosphere-ionosphere conductivity model based on the Sodankyla Ion and Neutral Chemistry (SIC) model suggest that proton-induced ionization was directly responsible for the observed conductivity increase at the balloon. Model input for this event included estimates of ionization from energetic particle precipitation and rigidity cutoffs. Altitudes between 20 and 150 km were considered during model runs. The results show a maximum conductivity increase near 60 km of more than 600-fold directly after SEP event onset. Relatively small conductivity enhancements (two-to fivefold) are suggested to have occurred above 70 km as a result of SEP ionization, while almost no enhancement is thought to have occurred above 95 km. These results quantify the real effect that an SEP-event can have on atmosphere-ionosphere electrical conductivity on a large, nearly global scale and provide a detailed comparison to one of the few direct stratospheric conductivity observations made during an SEP event.</t>
  </si>
  <si>
    <t>[Kokorowski, M.] CALTECH, Jet Prop Lab, Pasadena, CA 91109 USA; [Seppala, A.] British Antarctic Survey, Nat Environm Res Council, Cambridge CB3 0ET, England; [Sample, J. G.] Univ Calif Berkeley, Space Sci Lab, Berkeley, CA 94720 USA; [Holzworth, R. H.; McCarthy, M. P.] Univ Washington, Dept Earth &amp; Space Sci, Seattle, WA 98195 USA; [Bering, E. A.] Univ Houston, Dept Phys, Houston, TX USA; [Turunen, E.] Sodankyla Geophys Observ, Sodankyla, Finland</t>
  </si>
  <si>
    <t>National Aeronautics &amp; Space Administration (NASA); NASA Jet Propulsion Laboratory (JPL); California Institute of Technology; UK Research &amp; Innovation (UKRI); Natural Environment Research Council (NERC); NERC British Antarctic Survey; University of California System; University of California Berkeley; University of Washington; University of Washington Seattle; University of Houston System; University of Houston</t>
  </si>
  <si>
    <t>Kokorowski, M (corresponding author), CALTECH, Jet Prop Lab, 4800 Oak Grove Dr, Pasadena, CA 91109 USA.</t>
  </si>
  <si>
    <t>Michael.Kokorowski@jpl.nasa.gov</t>
  </si>
  <si>
    <t>Seppälä, Annika/C-8031-2014</t>
  </si>
  <si>
    <t>Seppälä, Annika/0000-0002-5028-8220; Holzworth, Robert/0000-0002-8839-618X; Turunen, Esa/0000-0001-8232-8744</t>
  </si>
  <si>
    <t>National Science Foundation [ANT-0230441, ATM-0408356, ATM-0649489]; National Aeronautics and Space Administration; NERC [bas0100023] Funding Source: UKRI; Natural Environment Research Council [bas0100023] Funding Source: researchfish; Div Atmospheric &amp; Geospace Sciences; Directorate For Geosciences [0649489] Funding Source: National Science Foundation</t>
  </si>
  <si>
    <t>National Science Foundation(National Science Foundation (NSF)); National Aeronautics and Space Administration(National Aeronautics &amp; Space Administration (NASA)); NERC(UK Research &amp; Innovation (UKRI)Natural Environment Research Council (NERC)); Natural Environment Research Council(UK Research &amp; Innovation (UKRI)Natural Environment Research Council (NERC)); Div Atmospheric &amp; Geospace Sciences; Directorate For Geosciences(National Science Foundation (NSF)NSF - Directorate for Geosciences (GEO))</t>
  </si>
  <si>
    <t>Portions of this work were funded by the National Science Foundation under grant numbers: ANT-0230441, ATM-0408356, and ATM-0649489. Other portions were carried out at the Jet Propulsion Laboratory, California Institute of Technology, under a contract with the National Aeronautics and Space Administration.</t>
  </si>
  <si>
    <t>A05319</t>
  </si>
  <si>
    <t>10.1029/2011JA017363</t>
  </si>
  <si>
    <t>945IB</t>
  </si>
  <si>
    <t>WOS:000304265200001</t>
  </si>
  <si>
    <t>Lu, H; Li, Y; Clilverd, MA; Jarvis, MJ</t>
  </si>
  <si>
    <t>Lu, Hua; Li, Yun; Clilverd, Mark A.; Jarvis, Martin J.</t>
  </si>
  <si>
    <t>Trend and abrupt changes in long-term geomagnetic indices</t>
  </si>
  <si>
    <t>CHANGE-POINT PROBLEMS; AA INDEX; BAYESIAN-ANALYSIS; SERIES</t>
  </si>
  <si>
    <t>Advanced statistical methods are employed to analyze three long-term time series of geomagnetic activity indices (aa, IHV, and IDV) together with sunspot number (Rz) to examine whether or not the aa index can realistically represent long-term variations of geomagnetic activity. We make use of a decomposition method called STL, which is a time domain filtering procedure that decomposes a time series into trend, cyclic, and residual components using nonparametric regression. A Bayesian change point analysis is also applied to the geomagnetic indices, as well as to sunspot number, to detect abrupt changes that may be caused by either instrumental changes, calibration errors, or sudden changes in solar activity. Our analysis shows that all three long-term geomagnetic indices share a similar centennial-scale variation that resembles the long-term trend of sunspot number Rz. The amplitude ratio between the centennial-scale variation and 11-year cycle of aa and IHV are closely comparable. Overall, our analysis suggests that the majority of the changes in the aa index are controlled by solar activity. Instrumental change or site relocation has only a limited effect on the long-term trend of aa. This is in good agreement with those previous studies which have shown aa to be a reliable long-term index.</t>
  </si>
  <si>
    <t>[Lu, Hua; Clilverd, Mark A.; Jarvis, Martin J.] British Antarctic Survey, Cambridge CB3 0ET, England; [Li, Yun] CSIRO Math Informat &amp; Stat, Wembley, WA, Australia</t>
  </si>
  <si>
    <t>UK Research &amp; Innovation (UKRI); Natural Environment Research Council (NERC); NERC British Antarctic Survey; Commonwealth Scientific &amp; Industrial Research Organisation (CSIRO)</t>
  </si>
  <si>
    <t>Lu, H (corresponding author), British Antarctic Survey, Madingley Rd, Cambridge CB3 0ET, England.</t>
  </si>
  <si>
    <t>hlu@bas.ac.uk</t>
  </si>
  <si>
    <t>Li, Yun/E-8569-2010; Lu, Hua/GXA-0276-2022; Li, Yun/ABZ-6481-2022</t>
  </si>
  <si>
    <t>Li, Yun/0000-0001-9925-7372; Lu, Hua/0000-0001-9485-5082; Li, Yun/0000-0001-9925-7372</t>
  </si>
  <si>
    <t>UK Natural Environment Research Council (NERC); CSIRO Climate Adaptation Flagship; Indian Ocean Climate Initiative; Natural Environment Research Council [bas0100023] Funding Source: researchfish; NERC [bas0100023] Funding Source: UKRI</t>
  </si>
  <si>
    <t>UK Natural Environment Research Council (NERC)(UK Research &amp; Innovation (UKRI)Natural Environment Research Council (NERC)); CSIRO Climate Adaptation Flagship(Commonwealth Scientific &amp; Industrial Research Organisation (CSIRO)); Indian Ocean Climate Initiative; Natural Environment Research Council(UK Research &amp; Innovation (UKRI)Natural Environment Research Council (NERC)); NERC(UK Research &amp; Innovation (UKRI)Natural Environment Research Council (NERC))</t>
  </si>
  <si>
    <t>H.L., M.J.J., and M.A.C. were supported by the UK Natural Environment Research Council (NERC). Y.L. was supported by the CSIRO Climate Adaptation Flagship and the Indian Ocean Climate Initiative Project. We are grateful to Ellen Clarke at British Geographic Survey (http://www.geomag.bgs.ac.uk) for the access of the 3-hourly K-indices, annual aa, and Ap indices. We also thank Leif Svalgaard for providing annual mean IHV and IDV indices and for useful discussions. Finally, we thank two anonymous reviewers for their constructive comments.</t>
  </si>
  <si>
    <t>A05318</t>
  </si>
  <si>
    <t>10.1029/2011JA017422</t>
  </si>
  <si>
    <t>WOS:000304265200002</t>
  </si>
  <si>
    <t>Barnett, A; Abrantes, KG; Seymour, J; Fitzpatrick, R</t>
  </si>
  <si>
    <t>Barnett, Adam; Abrantes, Katya G.; Seymour, Jamie; Fitzpatrick, Richard</t>
  </si>
  <si>
    <t>Residency and Spatial Use by Reef Sharks of an Isolated Seamount and Its Implications for Conservation</t>
  </si>
  <si>
    <t>MARINE PROTECTED AREAS; NORTHERN LINE ISLANDS; GREAT-BARRIER-REEF; TRIAENODON-OBESUS; CORAL-REEF; CARCHARHINUS-AMBLYRHYNCHOS; SPHYRNA-LEWINI; NURSERY AREA; KANEOHE BAY; HOME-RANGE</t>
  </si>
  <si>
    <t>Although marine protected areas (MPAs) are a common conservation strategy, these areas are often designed with little prior knowledge of the spatial behaviour of the species they are designed to protect. Currently, the Coral Sea area and its seamounts (north-east Australia) are under review to determine if MPAs are warranted. The protection of sharks at these seamounts should be an integral component of conservation plans. Therefore, knowledge on the spatial ecology of sharks at the Coral Sea seamounts is essential for the appropriate implementation of management and conservation plans. Acoustic telemetry was used to determine residency, site fidelity and spatial use of three shark species at Osprey Reef: whitetip reef sharks Triaenodon obesus, grey reef sharks Carcharhinus amblyrhynchos and silvertip sharks Carcharhinus albimarginatus. Most individuals showed year round residency at Osprey Reef, although five of the 49 individuals tagged moved to the neighbouring Shark Reef (similar to 14 km away) and one grey reef shark completed a round trip of similar to 250 km to the Great Barrier Reef. Additionally, individuals of white tip and grey reef sharks showed strong site fidelity to the areas they were tagged, and there was low spatial overlap between groups of sharks tagged at different locations. Spatial use at Osprey Reef by adult sharks is generally restricted to the north-west corner. The high residency and limited spatial use of Osprey Reef suggests that reef sharks would be highly vulnerable to targeted fishing pressure and that MPAs incorporating no-take of sharks would be effective in protecting reef shark populations at Osprey and Shark Reef.</t>
  </si>
  <si>
    <t>[Barnett, Adam] Inst Marine &amp; Antarctic Studies, Fisheries Aquaculture &amp; Coasts Ctr, Hobart, Tas, Australia; [Abrantes, Katya G.; Seymour, Jamie; Fitzpatrick, Richard] James Cook Univ, Sch Marine &amp; Trop Biol, Cairns, Qld, Australia; [Barnett, Adam; Fitzpatrick, Richard] Reef Channel, Townsville, Qld, Australia</t>
  </si>
  <si>
    <t>University of Tasmania; James Cook University</t>
  </si>
  <si>
    <t>Barnett, A (corresponding author), Inst Marine &amp; Antarctic Studies, Fisheries Aquaculture &amp; Coasts Ctr, Hobart, Tas, Australia.</t>
  </si>
  <si>
    <t>Seymour, Jamie/C-9748-2013</t>
  </si>
  <si>
    <t>Seymour, Jamie/0000-0002-4805-3289; , Adam/0000-0001-7430-8428</t>
  </si>
  <si>
    <t>Digital Dimensions, Australia; Worldwide Fund for Nature (WWF) Australia; Digital Dimensions</t>
  </si>
  <si>
    <t>Funding was supplied by Digital Dimensions, Australia, through the production of the Discovery Channel Shark Week special 'Mysteries of the Shark Coast' and by the Worldwide Fund for Nature (WWF) Australia. The funders had no role in study design, data collection and analysis, decision to publish, or preparation of the manuscript.; Funding for this project was from a commercial source, Digital Dimensions. Richard Fitzpatrick and Adam Barnett are affiliated with a commercial company The Reef Channel. This does not alter the authors' adherence to all the PLoS ONE policies on sharing data and materials.</t>
  </si>
  <si>
    <t>MAY 16</t>
  </si>
  <si>
    <t>e36574</t>
  </si>
  <si>
    <t>10.1371/journal.pone.0036574</t>
  </si>
  <si>
    <t>959UR</t>
  </si>
  <si>
    <t>WOS:000305341300019</t>
  </si>
  <si>
    <t>Somoza, R; Ghidella, ME</t>
  </si>
  <si>
    <t>Somoza, Ruben; Ghidella, Marta E.</t>
  </si>
  <si>
    <t>Late Cretaceous to recent plate motions in western South America revisited</t>
  </si>
  <si>
    <t>Convergence; Andes; Late Cretaceous; Cenozoic</t>
  </si>
  <si>
    <t>RELATIVE MOTIONS; TECTONIC EVOLUTION; HAWAIIAN HOTSPOT; SUBDUCTION ZONES; MANTLE PLUMES; PACIFIC; KINEMATICS; ATLANTIC; RECONSTRUCTIONS; HISTORY</t>
  </si>
  <si>
    <t>The Andean Cordillera has evolved since the Late Cretaceous in the context of subduction of oceanic lithosphere beneath continental lithosphere, making the kinematics between South America and its adjacent oceanic plates in the Pacific basin valuable to analyze the development of the Andean orogen. The latest Cretaceous-Cenozoic convergence history in western South America may be divided into three stages. The youngest Stage 1 (25-0 Ma) is characterized by ENE directed convergence of the Nazca plate toward most of South America, and by similar to E-W subduction of the Antarctic plate beneath southern Patagonia. The Nazca-South America convergence rate in Stage 1 shows a continuous decrease from the highest values in the Cenozoic (similar to 15 cm/yr) to the present day values from GPS measurements (similar to 7 cm/yr). Stage 2 (47-28 Ma) is characterized by NE directed subduction of Farallon with the convergence rate remaining almost constant during the entire interval. In those times obliquity was dextral in Chile, sinistral in southern Peru, while almost head-on convergence occurred in central and northern Peru. During latest Cretaceous to Early Eocene times (Stage 3) the Farallon plate was subducted beneath Peru and the Phoenix plate was subducted farther south, where a triple junction migrated southward along the Chilean margin. The subduction of the Farallon plate was rather slow with variable direction imposed by the position of the triple junction, whereas subduction of the Phoenix plate was rapid (&gt;10 cm/yr) and ESE directed. We present a working hypothesis suggesting no major changes in the age of subducted lithosphere in the Chile trench from Middle Eocene to Late Oligocene, followed by subduction of progressively older oceanic lithosphere in the early Neogene and progressively younger lithosphere during the late Neogene and the Quaternary. In addition, it is shown that South American motion as predicted by available hotspot models has insufficient resolution to be applied to the analysis of Cenozoic Andean deformation. (C) 2012 Elsevier B.V. All rights reserved.</t>
  </si>
  <si>
    <t>[Somoza, Ruben] Univ Buenos Aires, FCEyN, Dept Ciencias Geol, IGEBA CONICET, Buenos Aires, DF, Argentina; [Ghidella, Marta E.] Inst Antartico Argentino, Buenos Aires, DF, Argentina</t>
  </si>
  <si>
    <t>University of Buenos Aires; Instituto Antartico Argentino</t>
  </si>
  <si>
    <t>Somoza, R (corresponding author), Univ Buenos Aires, FCEyN, Dept Ciencias Geol, IGEBA CONICET, Buenos Aires, DF, Argentina.</t>
  </si>
  <si>
    <t>somoza@gl.fcen.uba.ar</t>
  </si>
  <si>
    <t>MAY 15</t>
  </si>
  <si>
    <t>10.1016/j.epsl.2012.03.003</t>
  </si>
  <si>
    <t>969BK</t>
  </si>
  <si>
    <t>WOS:000306030500014</t>
  </si>
  <si>
    <t>Horgan, HJ; Anandakrishnan, S; Jacobel, RW; Christianson, K; Alley, RB; Heeszel, DS; Picotti, S; Walter, JI</t>
  </si>
  <si>
    <t>Horgan, Huw J.; Anandakrishnan, Sridhar; Jacobel, Robert W.; Christianson, Knut; Alley, Richard B.; Heeszel, David S.; Picotti, Stefano; Walter, Jacob I.</t>
  </si>
  <si>
    <t>Subglacial Lake Whillans - Seismic observations of a shallow active reservoir beneath a West Antarctic ice stream</t>
  </si>
  <si>
    <t>subglacial lakes; glaciology; ice streams; Antarctica; geophysics; seismology</t>
  </si>
  <si>
    <t>SHEET; SYSTEM; ONSET; ACCELERATION; INVENTORY; GREENLAND; DISCHARGE; DRAINAGE; BALANCE; RADAR</t>
  </si>
  <si>
    <t>Active subglacial lakes concentrate the distribution of water beneath ice sheets in both space and time. Seismic and surface observations from Subglacial Lake Whillans (SLW), West Antarctica, reveal that this active lake forms a persistent, albeit fluctuating, reservoir beneath Whillans Ice Stream. Imaging and phase observations using active-source seismic data show that SLW is a perpetually shallow feature. When surveyed near its low-stand, a water column was resolvable by seismic techniques along only 5 km of the 45 km profiled, with a maximum depth of less than 8 m. Satellite altimetry shows that the high-stand adds no more than 3-4 m to this. This water column presents a suitable drill site at S 84.240 degrees W 153.694 degrees. Elsewhere, the majority of the bed appears wet with soft sediment or water thicknesses of less than the imaging resolution of our data of approximately 2 m. The surface expression of the active lake, previously revealed by ICESat elevation data and image differencing, generally corresponds to the seismic estimate of soft sediment or water, with notable exceptions occurring at the upstream and downstream ends of the lake. These exceptions indicate that SLW's water column is very shallow or absent in places at low-stands, or has disconnected or transiently active and inactive portions. (C) 2012 Elsevier B.V. All rights reserved.</t>
  </si>
  <si>
    <t>[Horgan, Huw J.] Victoria Univ Wellington, Antarctic Res Ctr, Wellington, New Zealand; [Anandakrishnan, Sridhar; Alley, Richard B.] Penn State Univ, Dept Geosci, University Pk, PA 16802 USA; [Anandakrishnan, Sridhar; Alley, Richard B.] Penn State Univ, Earth &amp; Environm Syst Inst, University Pk, PA 16802 USA; [Jacobel, Robert W.; Christianson, Knut] St Olaf Coll, Dept Phys, Northfield, MN 55057 USA; [Heeszel, David S.] Univ Calif San Diego, Inst Geophys &amp; Planetary Phys, La Jolla, CA 92093 USA; [Walter, Jacob I.] Univ Calif Santa Cruz, Dept Earth &amp; Planetary Sci, Santa Cruz, CA 95064 USA; [Picotti, Stefano] INOGS, Trieste, Italy</t>
  </si>
  <si>
    <t>Victoria University Wellington; Pennsylvania Commonwealth System of Higher Education (PCSHE); Pennsylvania State University; Pennsylvania State University - University Park; Pennsylvania Commonwealth System of Higher Education (PCSHE); Pennsylvania State University; Pennsylvania State University - University Park; Saint Olaf College; University of California System; University of California San Diego; University of California System; University of California Santa Cruz</t>
  </si>
  <si>
    <t>Horgan, HJ (corresponding author), Victoria Univ Wellington, Antarctic Res Ctr, Wellington, New Zealand.</t>
  </si>
  <si>
    <t>huw.horgan@vuw.ac.nz</t>
  </si>
  <si>
    <t>Horgan, Huw/I-5847-2019; Carcione, Jose M/T-9660-2019; Anandakrishnan, Sridhar/JCN-5026-2023; Walter, Jacob/C-6806-2015</t>
  </si>
  <si>
    <t>Horgan, Huw/0000-0002-4836-0078; Carcione, Jose M/0000-0002-2839-705X; Walter, Jacob/0000-0001-7127-9422; picotti, stefano/0000-0001-7341-1095</t>
  </si>
  <si>
    <t>American Recovery and Reinvestment Act through the National Science Foundation [NSF OPP 0838763, 0838855]; Directorate For Geosciences; Office of Polar Programs (OPP) [0838855] Funding Source: National Science Foundation; Division Of Polar Programs; Directorate For Geosciences [0838854] Funding Source: National Science Foundation</t>
  </si>
  <si>
    <t>American Recovery and Reinvestment Act through the National Science Foundation; Directorate For Geosciences; Office of Polar Programs (OPP)(National Science Foundation (NSF)NSF - Directorate for Geosciences (GEO)); Division Of Polar Programs; Directorate For Geosciences(National Science Foundation (NSF)NSF - Directorate for Geosciences (GEO))</t>
  </si>
  <si>
    <t>This experiment was carried out as part of the WISSARD program funded by the American Recovery and Reinvestment Act of 2009 through the National Science Foundation (NSF OPP 0838763, 0838855). We thank Slawek Tulaczyk and Helen Fricker for their involvement in field planning. We are grateful to Ben Smith for advice on ICESat data processing, and to Ian Joughin for providing velocity data. Mauro Pavan is thanked for his invaluable assistance in the field. NSIDC is thanked for their distribution of ICESat and MODIS MOA data. HJH acknowledges the generous support of the Alan Eggers Endowment. This manuscript was improved by the comments of two anonymous reviewers and discussions with Ruzica Dadic.</t>
  </si>
  <si>
    <t>10.1016/j.epsl.2012.02.023</t>
  </si>
  <si>
    <t>WOS:000306030500018</t>
  </si>
  <si>
    <t>Christianson, K; Jacobel, RW; Horgan, HJ; Anandakrishnan, S; Alley, RB</t>
  </si>
  <si>
    <t>Christianson, Knut; Jacobel, Robert W.; Horgan, Huw J.; Anandakrishnan, Sridhar; Alley, Richard B.</t>
  </si>
  <si>
    <t>Subglacial Lake Whillans - Ice-penetrating radar and GPS observations of a shallow active reservoir beneath a West Antarctic ice stream</t>
  </si>
  <si>
    <t>Antarctica; geophysics; glaciology; ice streams; subglacial lakes; ice-penetrating radar</t>
  </si>
  <si>
    <t>DIGITAL ELEVATION MODEL; STICK-SLIP MOTION; WATER-SYSTEM; LASER DATA; INVENTORY; DISCHARGE; DYNAMICS; SHELF; BED</t>
  </si>
  <si>
    <t>Ice-penetrating radar and kinematic GPS observations from Subglacial Lake Whillans (SLW), West Antarctica, reveal a shallow lake that is confined by steep basal topographic features. Radar imaging of SLW, although indicating wet basal conditions, is consistent with a water column depth of only similar to 6 m or less during the near low-stand state at the time of the survey. Kinematic GPS profiles reveal that SLW is generally defined by a similar to 15 m surface depression centered at S 84.237 degrees W 153.614 degrees. This point coincides with the area of lowest hydropotential in the lake basin and also the largest surface elevation range in ICESat data. Therefore this location appears to be an opportune site for subglacial access drilling of this active subglacial lake. A distinct basal topographic ridge on the grid south side of the basin is coincident with a strong contrast in relative basal reflectivity (similar to 6 dB), which we interpret as the lake boundary. Mapped hydropotential (calculated assuming hydrostatic equilibrium) shows that water enters the lake from the upstream direction and drains downstream. We hypothesize that a lake-level rise of similar to 5 m plus flexural effects is sufficient to overtop a drainage divide. Thus SLW acts as a temporary storage basin for water beneath Whillans Ice Stream. (C) 2012 Elsevier B.V. All rights reserved.</t>
  </si>
  <si>
    <t>[Christianson, Knut; Anandakrishnan, Sridhar; Alley, Richard B.] Penn State Univ, Dept Geosci, University Pk, PA 16802 USA; [Christianson, Knut; Jacobel, Robert W.] St Olaf Coll, Dept Phys, Northfield, MN 55057 USA; [Horgan, Huw J.] Victoria Univ Wellington, Antarctic Res Ctr, Wellington, New Zealand; [Anandakrishnan, Sridhar; Alley, Richard B.] Penn State Univ, Earth &amp; Environm Syst Inst, University Pk, PA 16802 USA</t>
  </si>
  <si>
    <t>Pennsylvania Commonwealth System of Higher Education (PCSHE); Pennsylvania State University; Pennsylvania State University - University Park; Saint Olaf College; Victoria University Wellington; Pennsylvania Commonwealth System of Higher Education (PCSHE); Pennsylvania State University; Pennsylvania State University - University Park</t>
  </si>
  <si>
    <t>Christianson, K (corresponding author), Penn State Univ, Dept Geosci, University Pk, PA 16802 USA.</t>
  </si>
  <si>
    <t>knut@psu.edu</t>
  </si>
  <si>
    <t>Horgan, Huw/I-5847-2019; Anandakrishnan, Sridhar/JCN-5026-2023</t>
  </si>
  <si>
    <t>Horgan, Huw/0000-0002-4836-0078;</t>
  </si>
  <si>
    <t>American Recovery and Reinvestment Act through the National Science Foundation [NSF OPP 0838854, 0838855, 0838763, 0838764]; Center for Remote Sensing of Ice Sheets [NSF OPP 0424589]; NASA [NNX10AI04G]; US-NSF graduate research fellowship; NASA [132889, NNX10AI04G] Funding Source: Federal RePORTER; Directorate For Geosciences; Office of Polar Programs (OPP) [0838763] Funding Source: National Science Foundation; Division Of Polar Programs; Directorate For Geosciences [0838854] Funding Source: National Science Foundation; Office of Polar Programs (OPP); Directorate For Geosciences [0838855, 0838764] Funding Source: National Science Foundation</t>
  </si>
  <si>
    <t>American Recovery and Reinvestment Act through the National Science Foundation; Center for Remote Sensing of Ice Sheets; NASA(National Aeronautics &amp; Space Administration (NASA)); US-NSF graduate research fellowship; NASA(National Aeronautics &amp; Space Administration (NASA));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</si>
  <si>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This experiment was carried out as part of the WISSARD program funded by the American Recovery and Reinvestment Act of 2009 through the National Science Foundation (NSF OPP 0838854, 0838855, 0838763, 0838764). The Center for Remote Sensing of Ice Sheets (NSF OPP 0424589) and NASA grant NNX10AI04G also partially funded this study. KC was supported by a US-NSF graduate research fellowship. We thank David Heeszel, Mauro Pavan, Stefano Picotti, and Jacob Walter for help with the field program. Undergraduate students Rebecca Gobel, Benjamin Keisling, Karl Lapo, and Lauren Snyder at St. Olaf College assisted with parts of radar data processing. GPS data were obtained from UNAVCO and SOPAC. NSIDC provided ICESat and MODIS MOA data. We thank Ian Joughin for velocity data and Helen Fricker and Ted Scambos for outlines of subglacial lakes derived from remote-sensing data. Logistical support was provided by Raytheon Polar Services, the New York Air National Guard, and Kenn Borek Air. This manuscript was improved by the comments of two anonymous reviewers.</t>
  </si>
  <si>
    <t>10.1016/j.epsl.2012.03.013</t>
  </si>
  <si>
    <t>WOS:000306030500022</t>
  </si>
  <si>
    <t>Rahaman, W; Singh, SK</t>
  </si>
  <si>
    <t>Rahaman, Waliur; Singh, Sunil Kumar</t>
  </si>
  <si>
    <t>Sr and 87Sr/86Sr in estuaries of western India: Impact of submarine groundwater discharge</t>
  </si>
  <si>
    <t>ISOTOPIC COMPOSITION; STRONTIUM ISOTOPES; MISSISSIPPI RIVER; COASTAL ZONE; SEA-WATER; SEAWATER; GEOCHEMISTRY; SEDIMENTS; PALEOSALINITY; EVOLUTION</t>
  </si>
  <si>
    <t>Dissolved Sr and Sr-87/Sr-86 are measured in the Narmada, Tapi and the Mandovi estuaries linked to the eastern Arabian Sea. The concentration of dissolved Sr and Sr-87/Sr-86 in the river water endmembers show significant differences reflecting the lithologies they drain. The distribution of Sr in all these estuaries shows a near perfect two endmember mixing between river water and seawater suggesting that there is no discernible net addition/removal of Sr from the estuarine waters. In contrast, Sr-87/Sr-86 shows non-conservative behaviour in all these estuaries, its distribution exhibits significant departure from the theoretical mixing lines. A likely mechanism for this difference in the behaviour between dissolved Sr and its Sr-87/Sr-86 is the discharge of submarine groundwater (SGD) which can modify the Sr-87/Sr-86 of the estuarine waters by exchange with sediments without causing measurable changes in Sr concentration. The impact of such an exchange process on the Sr-87/Sr-86 of the estuaries and therefore on the Sr isotope composition of dissolved Sr entering the Arabian Sea differs among the three estuaries and also between seasons in the Narmada. The non-conservative behaviour of Sr-87/Sr-86 provides a handle to estimate the quantum of SGD to these estuaries. The Sr concentration, Sr-87/Sr-86 ratio and salinity of the submarine groundwater and estimate of its fluxes to the Narmada estuary have been made using inverse model calculations. The model derived SGD flow rates are similar to 5 and 280 cm/day during pre-monsoon and monsoon, respectively. The more radiogenic Sr isotope composition of SGD relative to the seawater suggests that SGD acts as an additional source of Sr-87 to the Arabian Sea. (C) 2012 Elsevier Ltd. All rights reserved.</t>
  </si>
  <si>
    <t>[Rahaman, Waliur; Singh, Sunil Kumar] Phys Res Lab, Geosci Div, Ahmadabad 380009, Gujarat, India</t>
  </si>
  <si>
    <t>Rahaman, W (corresponding author), Natl Ctr Antarctic &amp; Ocean Res, Vasco Da Gama 402803, Goa, India.</t>
  </si>
  <si>
    <t>waliur@ncaro.org; sunil@prl.res.in</t>
  </si>
  <si>
    <t>Rahaman, Waliur/V-7742-2019</t>
  </si>
  <si>
    <t>Ministry of Earth Sciences, Government of India</t>
  </si>
  <si>
    <t>Ministry of Earth Sciences, Government of India(Ministry of Earth Science (MoES), Government of India)</t>
  </si>
  <si>
    <t>Discussions with S. Krishnaswami and his numerous suggestions helped improve the manuscript. The authors thank Gyana Ranjan Tripathy for providing help in inverse modelling calculation and sampling. J.P. Bhavsar, Vineet Goswami, Satinder Pal Singh and Jayati Chatterjee are thanked for their help during sampling. We thank Karen Johannesson for editorial handling and J. Kirk Cochran and two anonymous reviewers for their constructive reviews which improved this manuscript considerably. We thank Ministry of Earth Sciences, Government of India for financial support.</t>
  </si>
  <si>
    <t>10.1016/j.gca.2012.02.025</t>
  </si>
  <si>
    <t>930AH</t>
  </si>
  <si>
    <t>WOS:000303107200016</t>
  </si>
  <si>
    <t>Rinke, A; Ma, YF; Bian, LG; Xin, YF; Dethloff, K; Persson, POG; Lüpkes, C; Xiao, CD</t>
  </si>
  <si>
    <t>Rinke, Annette; Ma, Yongfeng; Bian, Lingen; Xin, Yufei; Dethloff, Klaus; Persson, P. Ola G.; Luepkes, Christof; Xiao, Cunde</t>
  </si>
  <si>
    <t>Evaluation of atmospheric boundary layer-surface process relationships in a regional climate model along an East Antarctic traverse</t>
  </si>
  <si>
    <t>ARCTIC SEA-ICE; ENERGY BALANCE; CLOUD COVER; SOUTH-POLE; SHEBA; RADIATION; TEMPERATURE; ALBEDO; WIND; DOME</t>
  </si>
  <si>
    <t>Some primary physical relationships related to the surface climate and atmospheric boundary layer were examined over East Antarctica and evaluated in the regional climate model HIRHAM for 2005-2008. For stable conditions, the observation-derived relationship between wind-scaled sensible heat flux and air-surface temperature difference distinctively differs between different surface flux parameterizations. Some of them decrease the heat transfer coefficient CH for strongly stable conditions, while others, such as the Louis scheme, do not. However, HIRHAM's application of the Louis parameterization produces small CH for strongly stable conditions similar to observations and other schemes, likely because a surface roughness much larger than observed is used and the bulk Richardson number differs. For Zhongshan, the observed radiation-cloud, temperature-cloud, and temperature-wind relationships are reproduced in the model, though quantitative differences are evident. An observed longwave warming effect of clouds is larger in the model, while the reduction of downwelling shortwave radiation by clouds is twice as large in the model. The model partially reproduces an observed weak wind regime associated with atmospheric decoupling, but fails to reproduce increasing temperatures with increasing winds. The quantitative differences in the radiation-cloud relationship suggest that errors in cloud characteristics produce a significant deficiency in downwelling net radiation for clear and cloudy conditions. This deficiency is the likely cause of HIRHAM's strong cold bias in the surface temperature and positive bias in near-surface stability. The sensible heat flux analyses and a sensitivity test suggest that errors in the sensible heat flux relationship are not the primary cause.</t>
  </si>
  <si>
    <t>[Rinke, Annette; Dethloff, Klaus] Alfred Wegener Inst Polar &amp; Marine Res, D-14473 Potsdam, Germany; [Ma, Yongfeng; Bian, Lingen; Xin, Yufei] Chinese Acad Meteorol Sci, Beijing, Peoples R China; [Persson, P. Ola G.] Univ Colorado, Cooperat Inst Res Environm Sci, Boulder, CO 80309 USA; [Luepkes, Christof] Alfred Wegener Inst Polar &amp; Marine Res, Bremerhaven, Germany; [Xiao, Cunde] Chinese Acad Sci, Cold &amp; Arid Reg Environm &amp; Engn Res Inst, State Key Lab Cryospher Sci, Lanzhou, Peoples R China</t>
  </si>
  <si>
    <t>Helmholtz Association; Alfred Wegener Institute, Helmholtz Centre for Polar &amp; Marine Research; China Meteorological Administration; Chinese Academy of Meteorological Sciences (CAMS); University of Colorado System; University of Colorado Boulder; Helmholtz Association; Alfred Wegener Institute, Helmholtz Centre for Polar &amp; Marine Research; Chinese Academy of Sciences; Cold &amp; Arid Regions Environmental &amp; Engineering Research Institute, CAS</t>
  </si>
  <si>
    <t>Rinke, A (corresponding author), Alfred Wegener Inst Polar &amp; Marine Res, Telegrafenberg A43, D-14473 Potsdam, Germany.</t>
  </si>
  <si>
    <t>annette.rinke@awi.de</t>
  </si>
  <si>
    <t>MA, Yong-Feng/GQB-2138-2022; MA, Yong-Feng/AAL-2017-2020; Dethloff, Klaus/B-4879-2014; MA, Yong-Feng/JCE-0505-2023; Lupkes, Christof/B-4897-2014; Rinke, Annette/B-4922-2014</t>
  </si>
  <si>
    <t>MA, Yong-Feng/0000-0001-7102-2707; MA, Yong-Feng/0000-0001-7102-2707; Lupkes, Christof/0000-0001-6518-0717; Rinke, Annette/0000-0002-6685-9219</t>
  </si>
  <si>
    <t>German Bosch Foundation; Chinese Arctic and Antarctic Administration; National Science Foundation of the United States [ARC0612428, ARC1023366]; Division Of Polar Programs; Directorate For Geosciences [1023366] Funding Source: National Science Foundation</t>
  </si>
  <si>
    <t>German Bosch Foundation; Chinese Arctic and Antarctic Administration; National Science Foundation of the United States(National Science Foundation (NSF)); Division Of Polar Programs; Directorate For Geosciences(National Science Foundation (NSF)NSF - Directorate for Geosciences (GEO))</t>
  </si>
  <si>
    <t>This research was supported by the German Bosch Foundation via its program Science Bridge: Asia and by the international cooperation program of Chinese Arctic and Antarctic Administration. A.R. thanks the Chinese Academy of Meteorological Sciences, which supported her stay as a visiting scientist in Beijing. The efforts of P.O.G.P. for this work were supported by grants ARC0612428 and ARC1023366 from the National Science Foundation of the United States. We thank I. Hebestadt for her programming support. The authors are grateful to the Australian Antarctic Division and the members involved in the CHINAREN traverse route program for the AWS data collection. We are thankful for the comments of T. Vihma and two anonymous reviewers, which helped to improve the manuscript.</t>
  </si>
  <si>
    <t>D09121</t>
  </si>
  <si>
    <t>10.1029/2011JD016441</t>
  </si>
  <si>
    <t>945FY</t>
  </si>
  <si>
    <t>WOS:000304259700001</t>
  </si>
  <si>
    <t>Hogan, KA; Dowdeswell, JA; Cofaigh, CO</t>
  </si>
  <si>
    <t>Hogan, K. A.; Dowdeswell, J. A.; Cofaigh, C. O.</t>
  </si>
  <si>
    <t>Glacimarine sedimentary processes and depositional environments in an embayment fed by West Greenland ice streams</t>
  </si>
  <si>
    <t>Disko Bay; acoustic units; glacimarine sedimentation; deglaciation; Jakobshavn ice stream; subglacial sediment flux</t>
  </si>
  <si>
    <t>RELATIVE SEA-LEVEL; DISKO-BUGT; JAKOBSHAVN ISBRAE; DEGLACIAL HISTORY; GROUNDING LINE; SEISMIC FACIES; SCORESBY SUND; DEBRIS FLOWS; GLACIER BAY; MARINE</t>
  </si>
  <si>
    <t>The extent and behaviour of the central West Greenland sector of the Greenland Ice Sheet (GIS) during the Last Glacial Maximum (LGM) and the following deglaciation remains poorly constrained. To investigate deglacial marine environments and sedimentary processes in an area fed by several LGM ice streams we now report findings from a 3.5 kHz sub-bottom profiler survey acquired in and around Disko Bay in 2009. Sediment thicknesses and volumes in three glaciated areas, Disko Bay, southern Vaigat and Egedesminde Dyb, are fully constrained for the first time. Acoustic fades types and distributions were also mapped. The largest sediment thicknesses (256 m) and widest variation in acoustic character was observed in Disko Bay adjacent to the mouth of Jakobshavns Isfjord. Significant sediment thicknesses were also observed in isolated basins in the Egedesminde Dyb trough and in a trough in southern Vaigat Strait (up to 110 m). Given low modern sedimentation rates, these thick sediment packages are inferred to record the retreat of glaciers from the middle shelf through Disko Bay and into both the Jakobshavns and Torssukatak fjord systems in central West Greenland. Our results highlight similarities in deglacial sedimentary processes across the study area, when the margins of retreating glaciers supplied large volumes of sediment to the marine environment from sediment-laden meltwater plumes and melting icebergs. We estimate the sediment flux for the palaeo-Jakobshavn ice stream while the ice margin was stable at a fjord-entrance sill to be 1.6-3.6 x 10(7) m(3) a(-1). Assuming a flux at the upper end of our range for the Torssukatak fjord system requires the grounded ice margin to be stable for about 450 years during retreat. The sediment fluxes we estimate are within the range of previously calculated fluxes for other Arctic and Antarctic ice streams and suggest that large volumes of meltwater and sediment were available at the base of the outlet glaciers during deglaciation, even during periods of quasi-stability. Retreat of the ice margins into the fjord systems is characterised by a rapid transition to ice-distal sedimentation by rainout of iceberg-rafted detritus (IRD) and hemipelagic material; accumulation rates drop to similar to 2 mm a(-1). This study demonstrates the variability in glacimarine processes and environments on high-latitude continental margins and highlights the importance of local factors, such as bedrock morphology, as well as glacio-dynamic factors, on sedimentation. (C) 2012 Elsevier B.V. All rights reserved.</t>
  </si>
  <si>
    <t>[Hogan, K. A.; Dowdeswell, J. A.] Univ Cambridge, Scott Polar Res Inst, Cambridge CB2 1ER, England; [Cofaigh, C. O.] Univ Durham, Dept Geog, Durham DH1 3LE, England</t>
  </si>
  <si>
    <t>University of Cambridge; Durham University</t>
  </si>
  <si>
    <t>Hogan, KA (corresponding author), Univ Cambridge, Scott Polar Res Inst, Cambridge CB2 1ER, England.</t>
  </si>
  <si>
    <t>kah55@cam.ac.uk</t>
  </si>
  <si>
    <t>Dowdeswell, Julian/0000-0003-1369-9482</t>
  </si>
  <si>
    <t>NERC [NE/D001986/1, NE/D001951/1]; Monaco Foundation; NERC [NE/D001951/1, NE/D001986/1] Funding Source: UKRI; Natural Environment Research Council [NE/D001951/1, NE/D001986/1] Funding Source: researchfish</t>
  </si>
  <si>
    <t>NERC(UK Research &amp; Innovation (UKRI)Natural Environment Research Council (NERC)); Monaco Foundation; NERC(UK Research &amp; Innovation (UKRI)Natural Environment Research Council (NERC)); Natural Environment Research Council(UK Research &amp; Innovation (UKRI)Natural Environment Research Council (NERC))</t>
  </si>
  <si>
    <t>This work was supported by NERC grants NE/D001986/1 and NE/D001951/1. We thank the officers and crew of the RRS James Clark Ross for their support during cruise JR175 to West Greenland in 2009. This document was produced with the financial help of the Prince Albert II of Monaco Foundation. The contents of this document are solely the liability of K. Hogan and co-authors and under no circumstances may be considered as a reflection of the Prince Albert II of Monaco Foundation's position. We thank one anonymous reviewer, T. Nielsen and A. Jennings for constructive and insightful comments on the manuscript.</t>
  </si>
  <si>
    <t>10.1016/j.margeo.2012.04.006</t>
  </si>
  <si>
    <t>969DF</t>
  </si>
  <si>
    <t>WOS:000306035200001</t>
  </si>
  <si>
    <t>Schmitt, J; Schneider, R; Elsig, J; Leuenberger, D; Lourantou, A; Chappellaz, J; Köhler, P; Joos, F; Stocker, TF; Leuenberger, M; Fischer, H</t>
  </si>
  <si>
    <t>Schmitt, Jochen; Schneider, Robert; Elsig, Joachim; Leuenberger, Daiana; Lourantou, Anna; Chappellaz, Jerome; Koehler, Peter; Joos, Fortunat; Stocker, Thomas F.; Leuenberger, Markus; Fischer, Hubertus</t>
  </si>
  <si>
    <t>Carbon Isotope Constraints on the Deglacial CO2 Rise from Ice Cores</t>
  </si>
  <si>
    <t>ATMOSPHERIC CO2; SOUTHERN-OCEAN; LAST; AGE; VENTILATION; EXCHANGE; CYCLES; RECORD</t>
  </si>
  <si>
    <t>The stable carbon isotope ratio of atmospheric CO2 (delta C-13(atm)) is a key parameter in deciphering past carbon cycle changes. Here we present delta C-13(atm) data for the past 24,000 years derived from three independent records from two Antarctic ice cores. We conclude that a pronounced 0.3 per mil decrease in delta C-13(atm) during the early deglaciation can be best explained by upwelling of old, carbon-enriched waters in the Southern Ocean. Later in the deglaciation, regrowth of the terrestrial biosphere, changes in sea surface temperature, and ocean circulation governed the delta C-13(atm) evolution. During the Last Glacial Maximum, delta C-13(atm) and atmospheric CO2 concentration were essentially constant, which suggests that the carbon cycle was in dynamic equilibrium and that the net transfer of carbon to the deep ocean had occurred before then.</t>
  </si>
  <si>
    <t>[Schmitt, Jochen; Schneider, Robert; Elsig, Joachim; Leuenberger, Daiana; Joos, Fortunat; Stocker, Thomas F.; Leuenberger, Markus; Fischer, Hubertus] Univ Bern, Inst Phys, CH-3012 Bern, Switzerland; [Schmitt, Jochen; Schneider, Robert; Elsig, Joachim; Leuenberger, Daiana; Joos, Fortunat; Stocker, Thomas F.; Leuenberger, Markus; Fischer, Hubertus] Univ Bern, Oeschger Ctr Climate Change Res, CH-3012 Bern, Switzerland; [Schmitt, Jochen; Koehler, Peter; Fischer, Hubertus] Alfred Wegener Inst Polar &amp; Marine Res, D-27570 Bremerhaven, Germany; [Lourantou, Anna; Chappellaz, Jerome] Univ Grenoble 1, CNRS, LGGE, UMR 5183, F-38041 Grenoble, France</t>
  </si>
  <si>
    <t>University of Bern; University of Bern; Helmholtz Association; Alfred Wegener Institute, Helmholtz Centre for Polar &amp; Marine Research; Communaute Universite Grenoble Alpes; Universite Grenoble Alpes (UGA); Centre National de la Recherche Scientifique (CNRS)</t>
  </si>
  <si>
    <t>Schmitt, J (corresponding author), Univ Bern, Inst Phys, CH-3012 Bern, Switzerland.</t>
  </si>
  <si>
    <t>schmitt@climate.unibe.ch</t>
  </si>
  <si>
    <t>Köhler, Peter/F-7293-2010; Leuenberger, Markus C/K-9655-2016; Chappellaz, Jérôme A./A-4872-2011; Stocker, Thomas F/B-1273-2013; Schmitt, Jochen/B-7893-2009; Joos, Fortunat/B-4118-2018; Fischer, Hubertus/A-1211-2014</t>
  </si>
  <si>
    <t>Köhler, Peter/0000-0003-0904-8484; Leuenberger, Markus C/0000-0003-4299-6793; Schmitt, Jochen/0000-0003-4695-3029; Joos, Fortunat/0000-0002-9483-6030; Fischer, Hubertus/0000-0002-2787-4221</t>
  </si>
  <si>
    <t>Deutsche Forschungsgemeinschaft; Helmholtz Gemeinschaft; Schweizerischer Nationalfonds; EC</t>
  </si>
  <si>
    <t>Deutsche Forschungsgemeinschaft(German Research Foundation (DFG)); Helmholtz Gemeinschaft(Helmholtz Association); Schweizerischer Nationalfonds(Swiss National Science Foundation (SNSF)); EC(European Union (EU)European Commission Joint Research Centre)</t>
  </si>
  <si>
    <t>We thank two anonymous reviewers for carefully reviewing the manuscript. Supported in part by Deutsche Forschungsgemeinschaft, Helmholtz Gemeinschaft, and Schweizerischer Nationalfonds. This work is a contribution to EPICA, a joint European Science Foundation/European Commission (EC) scientific program, funded by the EC under the Environment and Climate Program and by national contributions from Belgium, Denmark, France, Germany, Italy, the Netherlands, Norway, Sweden, Switzerland, and the UK. The main logistic support at Dome C was provided by the Institut Polaire Francais-Paul Emile Victor (IPEV) and PNRA. Ice core material was also used from TALDICE, a joint European program led by Italy and funded by national contributions from Italy, France, Germany, Switzerland, and the UK. The main logistical support at Talos Dome was provided by PNRA. This is EPICA publication 284. The data are accessible online at http://doi.pangaea.de/10.1594/PANGAEA.772713.</t>
  </si>
  <si>
    <t>MAY 11</t>
  </si>
  <si>
    <t>10.1126/science.1217161</t>
  </si>
  <si>
    <t>940EH</t>
  </si>
  <si>
    <t>WOS:000303872300047</t>
  </si>
  <si>
    <t>Hirt, C; Kuhn, M; Featherstone, WE; Göttl, F</t>
  </si>
  <si>
    <t>Hirt, C.; Kuhn, M.; Featherstone, W. E.; Goettl, F.</t>
  </si>
  <si>
    <t>Topographic/isostatic evaluation of new-generation GOCE gravity field models</t>
  </si>
  <si>
    <t>JOURNAL OF GEOPHYSICAL RESEARCH-SOLID EARTH</t>
  </si>
  <si>
    <t>ISOSTATIC MODELS; ALTIMETRY; MASSES</t>
  </si>
  <si>
    <t>We use gravity implied by the Earth's rock-equivalent topography (RET) and modeled isostatic compensation masses to evaluate the new global gravity field models (GGMs) from European Space Agency (ESA)'s Gravity Field and Steady-State Ocean Circulation Explorer (GOCE) satellite gravimetry mission. The topography is now reasonably well-known over most of the Earth's landmasses, and also where conventional GGM evaluation is prohibitive due to the lack (or unavailability) of ground-truth gravity data. We construct a spherical harmonic representation of Earth's RET to derive band-limited topography-implied gravity, and test the somewhat simplistic Airy/Heiskanen and Pratt/Hayford hypotheses of isostatic compensation, but which did not improve the agreement between gravity from the uncompensated RET and GOCE. The third-generation GOCE GGMs (based on 12 months of space gravimetry) resolve the Earth's gravity field effectively up to spherical harmonic degree similar to 200-220 (similar to 90-100 km resolution). Such scales could not be resolved from satellites before GOCE. From the three different GOCE processing philosophies currently in use by ESA, the time-wise and direct approaches exhibit the highest sensitivity to short-scale gravity recovery, being better than the space-wise approach. Our topography-implied gravity comparisons bring evidence of improvements from GOCE to gravity field knowledge over the Himalayas, Africa, the Andes, Papua New Guinea and Antarctic regions. In attenuated form, GOCE captures topography-implied gravity signals up to degree similar to 250 (similar to 80 km resolution), suggesting that other signals (originating, e.g., from the crust-mantle boundary and buried loads) are captured as well, which might now improve our knowledge on the Earth's lithosphere structure at previously unresolved spatial scales.</t>
  </si>
  <si>
    <t>[Hirt, C.; Kuhn, M.; Featherstone, W. E.] Curtin Univ Technol, Western Australian Ctr Geodesy, Perth, WA 6845, Australia; [Hirt, C.; Kuhn, M.; Featherstone, W. E.] Curtin Univ Technol, Inst Geosci Res, Perth, WA 6845, Australia; [Goettl, F.] Deutsch Geodat Forschungsinst, Munich, Germany</t>
  </si>
  <si>
    <t>Curtin University; Curtin University</t>
  </si>
  <si>
    <t>Hirt, C (corresponding author), Curtin Univ Technol, Western Australian Ctr Geodesy, GPO Box U1987, Perth, WA 6845, Australia.</t>
  </si>
  <si>
    <t>c.hirt@curtin.edu.au</t>
  </si>
  <si>
    <t>Featherstone, Will E/B-7955-2010; Kuhn, Michael/L-1182-2013</t>
  </si>
  <si>
    <t>Australian Research Council (ARC) [DP0663020, DP120102441]; Curtin Research Fellowship</t>
  </si>
  <si>
    <t>Australian Research Council (ARC)(Australian Research Council); Curtin Research Fellowship</t>
  </si>
  <si>
    <t>We would like to thank the Australian Research Council (ARC) for funding through discovery project grants DP0663020 and DP120102441. M.K. is the recipient of a Curtin Research Fellowship. We also thank the Editor and reviewers for their comments on the manuscript, directing us to include isostatic compensation models in this study. We thank ESA for making the new GOCE gravity fields freely available. Thanks go also to the EGM2008 development team for the topography data. Some figures were produced using the Generic Mapping Tools (GMT) [Wessel and Smith, 1998].</t>
  </si>
  <si>
    <t>2169-9313</t>
  </si>
  <si>
    <t>2169-9356</t>
  </si>
  <si>
    <t>J GEOPHYS RES-SOL EA</t>
  </si>
  <si>
    <t>J. Geophys. Res.-Solid Earth</t>
  </si>
  <si>
    <t>B05407</t>
  </si>
  <si>
    <t>10.1029/2011JB008878</t>
  </si>
  <si>
    <t>942AN</t>
  </si>
  <si>
    <t>WOS:000304011900003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</si>
</sst>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74</v>
      </c>
      <c r="AD2" t="s">
        <v>74</v>
      </c>
      <c r="AE2" t="s">
        <v>74</v>
      </c>
      <c r="AF2" t="s">
        <v>74</v>
      </c>
      <c r="AG2">
        <v>53</v>
      </c>
      <c r="AH2">
        <v>38</v>
      </c>
      <c r="AI2">
        <v>42</v>
      </c>
      <c r="AJ2">
        <v>1</v>
      </c>
      <c r="AK2">
        <v>33</v>
      </c>
      <c r="AL2" t="s">
        <v>89</v>
      </c>
      <c r="AM2" t="s">
        <v>90</v>
      </c>
      <c r="AN2" t="s">
        <v>91</v>
      </c>
      <c r="AO2" t="s">
        <v>92</v>
      </c>
      <c r="AP2" t="s">
        <v>74</v>
      </c>
      <c r="AQ2" t="s">
        <v>74</v>
      </c>
      <c r="AR2" t="s">
        <v>93</v>
      </c>
      <c r="AS2" t="s">
        <v>94</v>
      </c>
      <c r="AT2" t="s">
        <v>95</v>
      </c>
      <c r="AU2">
        <v>2012</v>
      </c>
      <c r="AV2">
        <v>56</v>
      </c>
      <c r="AW2" t="s">
        <v>74</v>
      </c>
      <c r="AX2" t="s">
        <v>74</v>
      </c>
      <c r="AY2" t="s">
        <v>74</v>
      </c>
      <c r="AZ2" t="s">
        <v>74</v>
      </c>
      <c r="BA2" t="s">
        <v>74</v>
      </c>
      <c r="BB2">
        <v>99</v>
      </c>
      <c r="BC2">
        <v>106</v>
      </c>
      <c r="BD2" t="s">
        <v>74</v>
      </c>
      <c r="BE2" t="s">
        <v>96</v>
      </c>
      <c r="BF2" t="str">
        <f>HYPERLINK("http://dx.doi.org/10.1016/j.quascirev.2012.09.020","http://dx.doi.org/10.1016/j.quascirev.2012.09.020")</f>
        <v>http://dx.doi.org/10.1016/j.quascirev.2012.09.020</v>
      </c>
      <c r="BG2" t="s">
        <v>74</v>
      </c>
      <c r="BH2" t="s">
        <v>74</v>
      </c>
      <c r="BI2">
        <v>8</v>
      </c>
      <c r="BJ2" t="s">
        <v>97</v>
      </c>
      <c r="BK2" t="s">
        <v>98</v>
      </c>
      <c r="BL2" t="s">
        <v>99</v>
      </c>
      <c r="BM2" t="s">
        <v>100</v>
      </c>
      <c r="BN2" t="s">
        <v>74</v>
      </c>
      <c r="BO2" t="s">
        <v>74</v>
      </c>
      <c r="BP2" t="s">
        <v>74</v>
      </c>
      <c r="BQ2" t="s">
        <v>74</v>
      </c>
      <c r="BR2" t="s">
        <v>101</v>
      </c>
      <c r="BS2" t="s">
        <v>102</v>
      </c>
      <c r="BT2" t="str">
        <f>HYPERLINK("https%3A%2F%2Fwww.webofscience.com%2Fwos%2Fwoscc%2Ffull-record%2FWOS:000311665000007","View Full Record in Web of Science")</f>
        <v>View Full Record in Web of Science</v>
      </c>
    </row>
    <row r="3" spans="1:72" x14ac:dyDescent="0.15">
      <c r="A3" t="s">
        <v>72</v>
      </c>
      <c r="B3" t="s">
        <v>103</v>
      </c>
      <c r="C3" t="s">
        <v>74</v>
      </c>
      <c r="D3" t="s">
        <v>74</v>
      </c>
      <c r="E3" t="s">
        <v>74</v>
      </c>
      <c r="F3" t="s">
        <v>104</v>
      </c>
      <c r="G3" t="s">
        <v>74</v>
      </c>
      <c r="H3" t="s">
        <v>74</v>
      </c>
      <c r="I3" t="s">
        <v>105</v>
      </c>
      <c r="J3" t="s">
        <v>106</v>
      </c>
      <c r="K3" t="s">
        <v>74</v>
      </c>
      <c r="L3" t="s">
        <v>74</v>
      </c>
      <c r="M3" t="s">
        <v>78</v>
      </c>
      <c r="N3" t="s">
        <v>79</v>
      </c>
      <c r="O3" t="s">
        <v>74</v>
      </c>
      <c r="P3" t="s">
        <v>74</v>
      </c>
      <c r="Q3" t="s">
        <v>74</v>
      </c>
      <c r="R3" t="s">
        <v>74</v>
      </c>
      <c r="S3" t="s">
        <v>74</v>
      </c>
      <c r="T3" t="s">
        <v>74</v>
      </c>
      <c r="U3" t="s">
        <v>107</v>
      </c>
      <c r="V3" t="s">
        <v>108</v>
      </c>
      <c r="W3" t="s">
        <v>109</v>
      </c>
      <c r="X3" t="s">
        <v>110</v>
      </c>
      <c r="Y3" t="s">
        <v>111</v>
      </c>
      <c r="Z3" t="s">
        <v>112</v>
      </c>
      <c r="AA3" t="s">
        <v>113</v>
      </c>
      <c r="AB3" t="s">
        <v>114</v>
      </c>
      <c r="AC3" t="s">
        <v>115</v>
      </c>
      <c r="AD3" t="s">
        <v>116</v>
      </c>
      <c r="AE3" t="s">
        <v>117</v>
      </c>
      <c r="AF3" t="s">
        <v>74</v>
      </c>
      <c r="AG3">
        <v>76</v>
      </c>
      <c r="AH3">
        <v>59</v>
      </c>
      <c r="AI3">
        <v>60</v>
      </c>
      <c r="AJ3">
        <v>0</v>
      </c>
      <c r="AK3">
        <v>16</v>
      </c>
      <c r="AL3" t="s">
        <v>118</v>
      </c>
      <c r="AM3" t="s">
        <v>119</v>
      </c>
      <c r="AN3" t="s">
        <v>120</v>
      </c>
      <c r="AO3" t="s">
        <v>121</v>
      </c>
      <c r="AP3" t="s">
        <v>122</v>
      </c>
      <c r="AQ3" t="s">
        <v>74</v>
      </c>
      <c r="AR3" t="s">
        <v>123</v>
      </c>
      <c r="AS3" t="s">
        <v>124</v>
      </c>
      <c r="AT3" t="s">
        <v>95</v>
      </c>
      <c r="AU3">
        <v>2012</v>
      </c>
      <c r="AV3">
        <v>117</v>
      </c>
      <c r="AW3" t="s">
        <v>74</v>
      </c>
      <c r="AX3" t="s">
        <v>74</v>
      </c>
      <c r="AY3" t="s">
        <v>74</v>
      </c>
      <c r="AZ3" t="s">
        <v>74</v>
      </c>
      <c r="BA3" t="s">
        <v>74</v>
      </c>
      <c r="BB3" t="s">
        <v>74</v>
      </c>
      <c r="BC3" t="s">
        <v>74</v>
      </c>
      <c r="BD3" t="s">
        <v>125</v>
      </c>
      <c r="BE3" t="s">
        <v>126</v>
      </c>
      <c r="BF3" t="str">
        <f>HYPERLINK("http://dx.doi.org/10.1029/2012JA018031","http://dx.doi.org/10.1029/2012JA018031")</f>
        <v>http://dx.doi.org/10.1029/2012JA018031</v>
      </c>
      <c r="BG3" t="s">
        <v>74</v>
      </c>
      <c r="BH3" t="s">
        <v>74</v>
      </c>
      <c r="BI3">
        <v>12</v>
      </c>
      <c r="BJ3" t="s">
        <v>127</v>
      </c>
      <c r="BK3" t="s">
        <v>98</v>
      </c>
      <c r="BL3" t="s">
        <v>127</v>
      </c>
      <c r="BM3" t="s">
        <v>128</v>
      </c>
      <c r="BN3" t="s">
        <v>74</v>
      </c>
      <c r="BO3" t="s">
        <v>129</v>
      </c>
      <c r="BP3" t="s">
        <v>74</v>
      </c>
      <c r="BQ3" t="s">
        <v>74</v>
      </c>
      <c r="BR3" t="s">
        <v>101</v>
      </c>
      <c r="BS3" t="s">
        <v>130</v>
      </c>
      <c r="BT3" t="str">
        <f>HYPERLINK("https%3A%2F%2Fwww.webofscience.com%2Fwos%2Fwoscc%2Ffull-record%2FWOS:000311567000002","View Full Record in Web of Science")</f>
        <v>View Full Record in Web of Science</v>
      </c>
    </row>
    <row r="4" spans="1:72" x14ac:dyDescent="0.15">
      <c r="A4" t="s">
        <v>72</v>
      </c>
      <c r="B4" t="s">
        <v>131</v>
      </c>
      <c r="C4" t="s">
        <v>74</v>
      </c>
      <c r="D4" t="s">
        <v>74</v>
      </c>
      <c r="E4" t="s">
        <v>74</v>
      </c>
      <c r="F4" t="s">
        <v>132</v>
      </c>
      <c r="G4" t="s">
        <v>74</v>
      </c>
      <c r="H4" t="s">
        <v>74</v>
      </c>
      <c r="I4" t="s">
        <v>133</v>
      </c>
      <c r="J4" t="s">
        <v>134</v>
      </c>
      <c r="K4" t="s">
        <v>74</v>
      </c>
      <c r="L4" t="s">
        <v>74</v>
      </c>
      <c r="M4" t="s">
        <v>78</v>
      </c>
      <c r="N4" t="s">
        <v>79</v>
      </c>
      <c r="O4" t="s">
        <v>74</v>
      </c>
      <c r="P4" t="s">
        <v>74</v>
      </c>
      <c r="Q4" t="s">
        <v>74</v>
      </c>
      <c r="R4" t="s">
        <v>74</v>
      </c>
      <c r="S4" t="s">
        <v>74</v>
      </c>
      <c r="T4" t="s">
        <v>74</v>
      </c>
      <c r="U4" t="s">
        <v>135</v>
      </c>
      <c r="V4" t="s">
        <v>136</v>
      </c>
      <c r="W4" t="s">
        <v>137</v>
      </c>
      <c r="X4" t="s">
        <v>138</v>
      </c>
      <c r="Y4" t="s">
        <v>139</v>
      </c>
      <c r="Z4" t="s">
        <v>140</v>
      </c>
      <c r="AA4" t="s">
        <v>141</v>
      </c>
      <c r="AB4" t="s">
        <v>142</v>
      </c>
      <c r="AC4" t="s">
        <v>143</v>
      </c>
      <c r="AD4" t="s">
        <v>144</v>
      </c>
      <c r="AE4" t="s">
        <v>145</v>
      </c>
      <c r="AF4" t="s">
        <v>74</v>
      </c>
      <c r="AG4">
        <v>82</v>
      </c>
      <c r="AH4">
        <v>30</v>
      </c>
      <c r="AI4">
        <v>32</v>
      </c>
      <c r="AJ4">
        <v>1</v>
      </c>
      <c r="AK4">
        <v>57</v>
      </c>
      <c r="AL4" t="s">
        <v>146</v>
      </c>
      <c r="AM4" t="s">
        <v>147</v>
      </c>
      <c r="AN4" t="s">
        <v>148</v>
      </c>
      <c r="AO4" t="s">
        <v>149</v>
      </c>
      <c r="AP4" t="s">
        <v>74</v>
      </c>
      <c r="AQ4" t="s">
        <v>74</v>
      </c>
      <c r="AR4" t="s">
        <v>134</v>
      </c>
      <c r="AS4" t="s">
        <v>150</v>
      </c>
      <c r="AT4" t="s">
        <v>95</v>
      </c>
      <c r="AU4">
        <v>2012</v>
      </c>
      <c r="AV4">
        <v>7</v>
      </c>
      <c r="AW4">
        <v>11</v>
      </c>
      <c r="AX4" t="s">
        <v>74</v>
      </c>
      <c r="AY4" t="s">
        <v>74</v>
      </c>
      <c r="AZ4" t="s">
        <v>74</v>
      </c>
      <c r="BA4" t="s">
        <v>74</v>
      </c>
      <c r="BB4" t="s">
        <v>74</v>
      </c>
      <c r="BC4" t="s">
        <v>74</v>
      </c>
      <c r="BD4" t="s">
        <v>151</v>
      </c>
      <c r="BE4" t="s">
        <v>152</v>
      </c>
      <c r="BF4" t="str">
        <f>HYPERLINK("http://dx.doi.org/10.1371/journal.pone.0049202","http://dx.doi.org/10.1371/journal.pone.0049202")</f>
        <v>http://dx.doi.org/10.1371/journal.pone.0049202</v>
      </c>
      <c r="BG4" t="s">
        <v>74</v>
      </c>
      <c r="BH4" t="s">
        <v>74</v>
      </c>
      <c r="BI4">
        <v>19</v>
      </c>
      <c r="BJ4" t="s">
        <v>153</v>
      </c>
      <c r="BK4" t="s">
        <v>98</v>
      </c>
      <c r="BL4" t="s">
        <v>154</v>
      </c>
      <c r="BM4" t="s">
        <v>155</v>
      </c>
      <c r="BN4">
        <v>23185309</v>
      </c>
      <c r="BO4" t="s">
        <v>156</v>
      </c>
      <c r="BP4" t="s">
        <v>74</v>
      </c>
      <c r="BQ4" t="s">
        <v>74</v>
      </c>
      <c r="BR4" t="s">
        <v>101</v>
      </c>
      <c r="BS4" t="s">
        <v>157</v>
      </c>
      <c r="BT4" t="str">
        <f>HYPERLINK("https%3A%2F%2Fwww.webofscience.com%2Fwos%2Fwoscc%2Ffull-record%2FWOS:000311821000035","View Full Record in Web of Science")</f>
        <v>View Full Record in Web of Science</v>
      </c>
    </row>
    <row r="5" spans="1:72" x14ac:dyDescent="0.15">
      <c r="A5" t="s">
        <v>72</v>
      </c>
      <c r="B5" t="s">
        <v>158</v>
      </c>
      <c r="C5" t="s">
        <v>74</v>
      </c>
      <c r="D5" t="s">
        <v>74</v>
      </c>
      <c r="E5" t="s">
        <v>74</v>
      </c>
      <c r="F5" t="s">
        <v>159</v>
      </c>
      <c r="G5" t="s">
        <v>74</v>
      </c>
      <c r="H5" t="s">
        <v>74</v>
      </c>
      <c r="I5" t="s">
        <v>160</v>
      </c>
      <c r="J5" t="s">
        <v>77</v>
      </c>
      <c r="K5" t="s">
        <v>74</v>
      </c>
      <c r="L5" t="s">
        <v>74</v>
      </c>
      <c r="M5" t="s">
        <v>78</v>
      </c>
      <c r="N5" t="s">
        <v>79</v>
      </c>
      <c r="O5" t="s">
        <v>74</v>
      </c>
      <c r="P5" t="s">
        <v>74</v>
      </c>
      <c r="Q5" t="s">
        <v>74</v>
      </c>
      <c r="R5" t="s">
        <v>74</v>
      </c>
      <c r="S5" t="s">
        <v>74</v>
      </c>
      <c r="T5" t="s">
        <v>161</v>
      </c>
      <c r="U5" t="s">
        <v>162</v>
      </c>
      <c r="V5" t="s">
        <v>163</v>
      </c>
      <c r="W5" t="s">
        <v>164</v>
      </c>
      <c r="X5" t="s">
        <v>165</v>
      </c>
      <c r="Y5" t="s">
        <v>166</v>
      </c>
      <c r="Z5" t="s">
        <v>167</v>
      </c>
      <c r="AA5" t="s">
        <v>168</v>
      </c>
      <c r="AB5" t="s">
        <v>169</v>
      </c>
      <c r="AC5" t="s">
        <v>170</v>
      </c>
      <c r="AD5" t="s">
        <v>171</v>
      </c>
      <c r="AE5" t="s">
        <v>172</v>
      </c>
      <c r="AF5" t="s">
        <v>74</v>
      </c>
      <c r="AG5">
        <v>189</v>
      </c>
      <c r="AH5">
        <v>73</v>
      </c>
      <c r="AI5">
        <v>75</v>
      </c>
      <c r="AJ5">
        <v>0</v>
      </c>
      <c r="AK5">
        <v>108</v>
      </c>
      <c r="AL5" t="s">
        <v>89</v>
      </c>
      <c r="AM5" t="s">
        <v>90</v>
      </c>
      <c r="AN5" t="s">
        <v>91</v>
      </c>
      <c r="AO5" t="s">
        <v>92</v>
      </c>
      <c r="AP5" t="s">
        <v>74</v>
      </c>
      <c r="AQ5" t="s">
        <v>74</v>
      </c>
      <c r="AR5" t="s">
        <v>93</v>
      </c>
      <c r="AS5" t="s">
        <v>94</v>
      </c>
      <c r="AT5" t="s">
        <v>95</v>
      </c>
      <c r="AU5">
        <v>2012</v>
      </c>
      <c r="AV5">
        <v>56</v>
      </c>
      <c r="AW5" t="s">
        <v>74</v>
      </c>
      <c r="AX5" t="s">
        <v>74</v>
      </c>
      <c r="AY5" t="s">
        <v>74</v>
      </c>
      <c r="AZ5" t="s">
        <v>74</v>
      </c>
      <c r="BA5" t="s">
        <v>74</v>
      </c>
      <c r="BB5">
        <v>46</v>
      </c>
      <c r="BC5">
        <v>68</v>
      </c>
      <c r="BD5" t="s">
        <v>74</v>
      </c>
      <c r="BE5" t="s">
        <v>173</v>
      </c>
      <c r="BF5" t="str">
        <f>HYPERLINK("http://dx.doi.org/10.1016/j.quascirev.2012.09.012","http://dx.doi.org/10.1016/j.quascirev.2012.09.012")</f>
        <v>http://dx.doi.org/10.1016/j.quascirev.2012.09.012</v>
      </c>
      <c r="BG5" t="s">
        <v>74</v>
      </c>
      <c r="BH5" t="s">
        <v>74</v>
      </c>
      <c r="BI5">
        <v>23</v>
      </c>
      <c r="BJ5" t="s">
        <v>97</v>
      </c>
      <c r="BK5" t="s">
        <v>98</v>
      </c>
      <c r="BL5" t="s">
        <v>99</v>
      </c>
      <c r="BM5" t="s">
        <v>100</v>
      </c>
      <c r="BN5" t="s">
        <v>74</v>
      </c>
      <c r="BO5" t="s">
        <v>74</v>
      </c>
      <c r="BP5" t="s">
        <v>74</v>
      </c>
      <c r="BQ5" t="s">
        <v>74</v>
      </c>
      <c r="BR5" t="s">
        <v>101</v>
      </c>
      <c r="BS5" t="s">
        <v>174</v>
      </c>
      <c r="BT5" t="str">
        <f>HYPERLINK("https%3A%2F%2Fwww.webofscience.com%2Fwos%2Fwoscc%2Ffull-record%2FWOS:000311665000004","View Full Record in Web of Science")</f>
        <v>View Full Record in Web of Science</v>
      </c>
    </row>
    <row r="6" spans="1:72" x14ac:dyDescent="0.15">
      <c r="A6" t="s">
        <v>72</v>
      </c>
      <c r="B6" t="s">
        <v>175</v>
      </c>
      <c r="C6" t="s">
        <v>74</v>
      </c>
      <c r="D6" t="s">
        <v>74</v>
      </c>
      <c r="E6" t="s">
        <v>74</v>
      </c>
      <c r="F6" t="s">
        <v>176</v>
      </c>
      <c r="G6" t="s">
        <v>74</v>
      </c>
      <c r="H6" t="s">
        <v>74</v>
      </c>
      <c r="I6" t="s">
        <v>177</v>
      </c>
      <c r="J6" t="s">
        <v>178</v>
      </c>
      <c r="K6" t="s">
        <v>74</v>
      </c>
      <c r="L6" t="s">
        <v>74</v>
      </c>
      <c r="M6" t="s">
        <v>78</v>
      </c>
      <c r="N6" t="s">
        <v>79</v>
      </c>
      <c r="O6" t="s">
        <v>74</v>
      </c>
      <c r="P6" t="s">
        <v>74</v>
      </c>
      <c r="Q6" t="s">
        <v>74</v>
      </c>
      <c r="R6" t="s">
        <v>74</v>
      </c>
      <c r="S6" t="s">
        <v>74</v>
      </c>
      <c r="T6" t="s">
        <v>179</v>
      </c>
      <c r="U6" t="s">
        <v>180</v>
      </c>
      <c r="V6" t="s">
        <v>181</v>
      </c>
      <c r="W6" t="s">
        <v>182</v>
      </c>
      <c r="X6" t="s">
        <v>183</v>
      </c>
      <c r="Y6" t="s">
        <v>184</v>
      </c>
      <c r="Z6" t="s">
        <v>185</v>
      </c>
      <c r="AA6" t="s">
        <v>186</v>
      </c>
      <c r="AB6" t="s">
        <v>187</v>
      </c>
      <c r="AC6" t="s">
        <v>74</v>
      </c>
      <c r="AD6" t="s">
        <v>74</v>
      </c>
      <c r="AE6" t="s">
        <v>74</v>
      </c>
      <c r="AF6" t="s">
        <v>74</v>
      </c>
      <c r="AG6">
        <v>85</v>
      </c>
      <c r="AH6">
        <v>10</v>
      </c>
      <c r="AI6">
        <v>10</v>
      </c>
      <c r="AJ6">
        <v>0</v>
      </c>
      <c r="AK6">
        <v>17</v>
      </c>
      <c r="AL6" t="s">
        <v>188</v>
      </c>
      <c r="AM6" t="s">
        <v>189</v>
      </c>
      <c r="AN6" t="s">
        <v>190</v>
      </c>
      <c r="AO6" t="s">
        <v>191</v>
      </c>
      <c r="AP6" t="s">
        <v>192</v>
      </c>
      <c r="AQ6" t="s">
        <v>74</v>
      </c>
      <c r="AR6" t="s">
        <v>193</v>
      </c>
      <c r="AS6" t="s">
        <v>194</v>
      </c>
      <c r="AT6" t="s">
        <v>195</v>
      </c>
      <c r="AU6">
        <v>2012</v>
      </c>
      <c r="AV6">
        <v>363</v>
      </c>
      <c r="AW6" t="s">
        <v>74</v>
      </c>
      <c r="AX6" t="s">
        <v>74</v>
      </c>
      <c r="AY6" t="s">
        <v>74</v>
      </c>
      <c r="AZ6" t="s">
        <v>74</v>
      </c>
      <c r="BA6" t="s">
        <v>74</v>
      </c>
      <c r="BB6">
        <v>11</v>
      </c>
      <c r="BC6">
        <v>22</v>
      </c>
      <c r="BD6" t="s">
        <v>74</v>
      </c>
      <c r="BE6" t="s">
        <v>196</v>
      </c>
      <c r="BF6" t="str">
        <f>HYPERLINK("http://dx.doi.org/10.1016/j.palaeo.2012.08.007","http://dx.doi.org/10.1016/j.palaeo.2012.08.007")</f>
        <v>http://dx.doi.org/10.1016/j.palaeo.2012.08.007</v>
      </c>
      <c r="BG6" t="s">
        <v>74</v>
      </c>
      <c r="BH6" t="s">
        <v>74</v>
      </c>
      <c r="BI6">
        <v>12</v>
      </c>
      <c r="BJ6" t="s">
        <v>197</v>
      </c>
      <c r="BK6" t="s">
        <v>98</v>
      </c>
      <c r="BL6" t="s">
        <v>198</v>
      </c>
      <c r="BM6" t="s">
        <v>199</v>
      </c>
      <c r="BN6" t="s">
        <v>74</v>
      </c>
      <c r="BO6" t="s">
        <v>74</v>
      </c>
      <c r="BP6" t="s">
        <v>74</v>
      </c>
      <c r="BQ6" t="s">
        <v>74</v>
      </c>
      <c r="BR6" t="s">
        <v>101</v>
      </c>
      <c r="BS6" t="s">
        <v>200</v>
      </c>
      <c r="BT6" t="str">
        <f>HYPERLINK("https%3A%2F%2Fwww.webofscience.com%2Fwos%2Fwoscc%2Ffull-record%2FWOS:000311020600002","View Full Record in Web of Science")</f>
        <v>View Full Record in Web of Science</v>
      </c>
    </row>
    <row r="7" spans="1:72" x14ac:dyDescent="0.15">
      <c r="A7" t="s">
        <v>72</v>
      </c>
      <c r="B7" t="s">
        <v>201</v>
      </c>
      <c r="C7" t="s">
        <v>74</v>
      </c>
      <c r="D7" t="s">
        <v>74</v>
      </c>
      <c r="E7" t="s">
        <v>74</v>
      </c>
      <c r="F7" t="s">
        <v>202</v>
      </c>
      <c r="G7" t="s">
        <v>74</v>
      </c>
      <c r="H7" t="s">
        <v>74</v>
      </c>
      <c r="I7" t="s">
        <v>203</v>
      </c>
      <c r="J7" t="s">
        <v>178</v>
      </c>
      <c r="K7" t="s">
        <v>74</v>
      </c>
      <c r="L7" t="s">
        <v>74</v>
      </c>
      <c r="M7" t="s">
        <v>78</v>
      </c>
      <c r="N7" t="s">
        <v>79</v>
      </c>
      <c r="O7" t="s">
        <v>74</v>
      </c>
      <c r="P7" t="s">
        <v>74</v>
      </c>
      <c r="Q7" t="s">
        <v>74</v>
      </c>
      <c r="R7" t="s">
        <v>74</v>
      </c>
      <c r="S7" t="s">
        <v>74</v>
      </c>
      <c r="T7" t="s">
        <v>204</v>
      </c>
      <c r="U7" t="s">
        <v>205</v>
      </c>
      <c r="V7" t="s">
        <v>206</v>
      </c>
      <c r="W7" t="s">
        <v>207</v>
      </c>
      <c r="X7" t="s">
        <v>208</v>
      </c>
      <c r="Y7" t="s">
        <v>209</v>
      </c>
      <c r="Z7" t="s">
        <v>210</v>
      </c>
      <c r="AA7" t="s">
        <v>211</v>
      </c>
      <c r="AB7" t="s">
        <v>212</v>
      </c>
      <c r="AC7" t="s">
        <v>213</v>
      </c>
      <c r="AD7" t="s">
        <v>214</v>
      </c>
      <c r="AE7" t="s">
        <v>215</v>
      </c>
      <c r="AF7" t="s">
        <v>74</v>
      </c>
      <c r="AG7">
        <v>140</v>
      </c>
      <c r="AH7">
        <v>67</v>
      </c>
      <c r="AI7">
        <v>69</v>
      </c>
      <c r="AJ7">
        <v>1</v>
      </c>
      <c r="AK7">
        <v>32</v>
      </c>
      <c r="AL7" t="s">
        <v>188</v>
      </c>
      <c r="AM7" t="s">
        <v>189</v>
      </c>
      <c r="AN7" t="s">
        <v>190</v>
      </c>
      <c r="AO7" t="s">
        <v>191</v>
      </c>
      <c r="AP7" t="s">
        <v>192</v>
      </c>
      <c r="AQ7" t="s">
        <v>74</v>
      </c>
      <c r="AR7" t="s">
        <v>193</v>
      </c>
      <c r="AS7" t="s">
        <v>194</v>
      </c>
      <c r="AT7" t="s">
        <v>195</v>
      </c>
      <c r="AU7">
        <v>2012</v>
      </c>
      <c r="AV7">
        <v>363</v>
      </c>
      <c r="AW7" t="s">
        <v>74</v>
      </c>
      <c r="AX7" t="s">
        <v>74</v>
      </c>
      <c r="AY7" t="s">
        <v>74</v>
      </c>
      <c r="AZ7" t="s">
        <v>74</v>
      </c>
      <c r="BA7" t="s">
        <v>74</v>
      </c>
      <c r="BB7">
        <v>109</v>
      </c>
      <c r="BC7">
        <v>126</v>
      </c>
      <c r="BD7" t="s">
        <v>74</v>
      </c>
      <c r="BE7" t="s">
        <v>216</v>
      </c>
      <c r="BF7" t="str">
        <f>HYPERLINK("http://dx.doi.org/10.1016/j.palaeo.2012.08.018","http://dx.doi.org/10.1016/j.palaeo.2012.08.018")</f>
        <v>http://dx.doi.org/10.1016/j.palaeo.2012.08.018</v>
      </c>
      <c r="BG7" t="s">
        <v>74</v>
      </c>
      <c r="BH7" t="s">
        <v>74</v>
      </c>
      <c r="BI7">
        <v>18</v>
      </c>
      <c r="BJ7" t="s">
        <v>197</v>
      </c>
      <c r="BK7" t="s">
        <v>98</v>
      </c>
      <c r="BL7" t="s">
        <v>198</v>
      </c>
      <c r="BM7" t="s">
        <v>199</v>
      </c>
      <c r="BN7" t="s">
        <v>74</v>
      </c>
      <c r="BO7" t="s">
        <v>217</v>
      </c>
      <c r="BP7" t="s">
        <v>74</v>
      </c>
      <c r="BQ7" t="s">
        <v>74</v>
      </c>
      <c r="BR7" t="s">
        <v>101</v>
      </c>
      <c r="BS7" t="s">
        <v>218</v>
      </c>
      <c r="BT7" t="str">
        <f>HYPERLINK("https%3A%2F%2Fwww.webofscience.com%2Fwos%2Fwoscc%2Ffull-record%2FWOS:000311020600010","View Full Record in Web of Science")</f>
        <v>View Full Record in Web of Science</v>
      </c>
    </row>
    <row r="8" spans="1:72" x14ac:dyDescent="0.15">
      <c r="A8" t="s">
        <v>72</v>
      </c>
      <c r="B8" t="s">
        <v>219</v>
      </c>
      <c r="C8" t="s">
        <v>74</v>
      </c>
      <c r="D8" t="s">
        <v>74</v>
      </c>
      <c r="E8" t="s">
        <v>74</v>
      </c>
      <c r="F8" t="s">
        <v>220</v>
      </c>
      <c r="G8" t="s">
        <v>74</v>
      </c>
      <c r="H8" t="s">
        <v>74</v>
      </c>
      <c r="I8" t="s">
        <v>221</v>
      </c>
      <c r="J8" t="s">
        <v>222</v>
      </c>
      <c r="K8" t="s">
        <v>74</v>
      </c>
      <c r="L8" t="s">
        <v>74</v>
      </c>
      <c r="M8" t="s">
        <v>78</v>
      </c>
      <c r="N8" t="s">
        <v>79</v>
      </c>
      <c r="O8" t="s">
        <v>74</v>
      </c>
      <c r="P8" t="s">
        <v>74</v>
      </c>
      <c r="Q8" t="s">
        <v>74</v>
      </c>
      <c r="R8" t="s">
        <v>74</v>
      </c>
      <c r="S8" t="s">
        <v>74</v>
      </c>
      <c r="T8" t="s">
        <v>223</v>
      </c>
      <c r="U8" t="s">
        <v>224</v>
      </c>
      <c r="V8" t="s">
        <v>225</v>
      </c>
      <c r="W8" t="s">
        <v>226</v>
      </c>
      <c r="X8" t="s">
        <v>227</v>
      </c>
      <c r="Y8" t="s">
        <v>228</v>
      </c>
      <c r="Z8" t="s">
        <v>229</v>
      </c>
      <c r="AA8" t="s">
        <v>230</v>
      </c>
      <c r="AB8" t="s">
        <v>231</v>
      </c>
      <c r="AC8" t="s">
        <v>232</v>
      </c>
      <c r="AD8" t="s">
        <v>233</v>
      </c>
      <c r="AE8" t="s">
        <v>234</v>
      </c>
      <c r="AF8" t="s">
        <v>74</v>
      </c>
      <c r="AG8">
        <v>33</v>
      </c>
      <c r="AH8">
        <v>14</v>
      </c>
      <c r="AI8">
        <v>16</v>
      </c>
      <c r="AJ8">
        <v>0</v>
      </c>
      <c r="AK8">
        <v>9</v>
      </c>
      <c r="AL8" t="s">
        <v>188</v>
      </c>
      <c r="AM8" t="s">
        <v>189</v>
      </c>
      <c r="AN8" t="s">
        <v>190</v>
      </c>
      <c r="AO8" t="s">
        <v>235</v>
      </c>
      <c r="AP8" t="s">
        <v>236</v>
      </c>
      <c r="AQ8" t="s">
        <v>74</v>
      </c>
      <c r="AR8" t="s">
        <v>237</v>
      </c>
      <c r="AS8" t="s">
        <v>238</v>
      </c>
      <c r="AT8" t="s">
        <v>239</v>
      </c>
      <c r="AU8">
        <v>2012</v>
      </c>
      <c r="AV8">
        <v>355</v>
      </c>
      <c r="AW8" t="s">
        <v>74</v>
      </c>
      <c r="AX8" t="s">
        <v>74</v>
      </c>
      <c r="AY8" t="s">
        <v>74</v>
      </c>
      <c r="AZ8" t="s">
        <v>74</v>
      </c>
      <c r="BA8" t="s">
        <v>74</v>
      </c>
      <c r="BB8">
        <v>13</v>
      </c>
      <c r="BC8">
        <v>19</v>
      </c>
      <c r="BD8" t="s">
        <v>74</v>
      </c>
      <c r="BE8" t="s">
        <v>240</v>
      </c>
      <c r="BF8" t="str">
        <f>HYPERLINK("http://dx.doi.org/10.1016/j.epsl.2012.09.003","http://dx.doi.org/10.1016/j.epsl.2012.09.003")</f>
        <v>http://dx.doi.org/10.1016/j.epsl.2012.09.003</v>
      </c>
      <c r="BG8" t="s">
        <v>74</v>
      </c>
      <c r="BH8" t="s">
        <v>74</v>
      </c>
      <c r="BI8">
        <v>7</v>
      </c>
      <c r="BJ8" t="s">
        <v>241</v>
      </c>
      <c r="BK8" t="s">
        <v>98</v>
      </c>
      <c r="BL8" t="s">
        <v>241</v>
      </c>
      <c r="BM8" t="s">
        <v>242</v>
      </c>
      <c r="BN8" t="s">
        <v>74</v>
      </c>
      <c r="BO8" t="s">
        <v>74</v>
      </c>
      <c r="BP8" t="s">
        <v>74</v>
      </c>
      <c r="BQ8" t="s">
        <v>74</v>
      </c>
      <c r="BR8" t="s">
        <v>101</v>
      </c>
      <c r="BS8" t="s">
        <v>243</v>
      </c>
      <c r="BT8" t="str">
        <f>HYPERLINK("https%3A%2F%2Fwww.webofscience.com%2Fwos%2Fwoscc%2Ffull-record%2FWOS:000314079000002","View Full Record in Web of Science")</f>
        <v>View Full Record in Web of Science</v>
      </c>
    </row>
    <row r="9" spans="1:72" x14ac:dyDescent="0.15">
      <c r="A9" t="s">
        <v>72</v>
      </c>
      <c r="B9" t="s">
        <v>244</v>
      </c>
      <c r="C9" t="s">
        <v>74</v>
      </c>
      <c r="D9" t="s">
        <v>74</v>
      </c>
      <c r="E9" t="s">
        <v>74</v>
      </c>
      <c r="F9" t="s">
        <v>245</v>
      </c>
      <c r="G9" t="s">
        <v>74</v>
      </c>
      <c r="H9" t="s">
        <v>74</v>
      </c>
      <c r="I9" t="s">
        <v>246</v>
      </c>
      <c r="J9" t="s">
        <v>222</v>
      </c>
      <c r="K9" t="s">
        <v>74</v>
      </c>
      <c r="L9" t="s">
        <v>74</v>
      </c>
      <c r="M9" t="s">
        <v>78</v>
      </c>
      <c r="N9" t="s">
        <v>79</v>
      </c>
      <c r="O9" t="s">
        <v>74</v>
      </c>
      <c r="P9" t="s">
        <v>74</v>
      </c>
      <c r="Q9" t="s">
        <v>74</v>
      </c>
      <c r="R9" t="s">
        <v>74</v>
      </c>
      <c r="S9" t="s">
        <v>74</v>
      </c>
      <c r="T9" t="s">
        <v>247</v>
      </c>
      <c r="U9" t="s">
        <v>248</v>
      </c>
      <c r="V9" t="s">
        <v>249</v>
      </c>
      <c r="W9" t="s">
        <v>250</v>
      </c>
      <c r="X9" t="s">
        <v>251</v>
      </c>
      <c r="Y9" t="s">
        <v>252</v>
      </c>
      <c r="Z9" t="s">
        <v>253</v>
      </c>
      <c r="AA9" t="s">
        <v>254</v>
      </c>
      <c r="AB9" t="s">
        <v>255</v>
      </c>
      <c r="AC9" t="s">
        <v>256</v>
      </c>
      <c r="AD9" t="s">
        <v>257</v>
      </c>
      <c r="AE9" t="s">
        <v>258</v>
      </c>
      <c r="AF9" t="s">
        <v>74</v>
      </c>
      <c r="AG9">
        <v>92</v>
      </c>
      <c r="AH9">
        <v>24</v>
      </c>
      <c r="AI9">
        <v>26</v>
      </c>
      <c r="AJ9">
        <v>1</v>
      </c>
      <c r="AK9">
        <v>36</v>
      </c>
      <c r="AL9" t="s">
        <v>259</v>
      </c>
      <c r="AM9" t="s">
        <v>189</v>
      </c>
      <c r="AN9" t="s">
        <v>260</v>
      </c>
      <c r="AO9" t="s">
        <v>235</v>
      </c>
      <c r="AP9" t="s">
        <v>236</v>
      </c>
      <c r="AQ9" t="s">
        <v>74</v>
      </c>
      <c r="AR9" t="s">
        <v>237</v>
      </c>
      <c r="AS9" t="s">
        <v>238</v>
      </c>
      <c r="AT9" t="s">
        <v>239</v>
      </c>
      <c r="AU9">
        <v>2012</v>
      </c>
      <c r="AV9">
        <v>355</v>
      </c>
      <c r="AW9" t="s">
        <v>74</v>
      </c>
      <c r="AX9" t="s">
        <v>74</v>
      </c>
      <c r="AY9" t="s">
        <v>74</v>
      </c>
      <c r="AZ9" t="s">
        <v>74</v>
      </c>
      <c r="BA9" t="s">
        <v>74</v>
      </c>
      <c r="BB9">
        <v>39</v>
      </c>
      <c r="BC9">
        <v>50</v>
      </c>
      <c r="BD9" t="s">
        <v>74</v>
      </c>
      <c r="BE9" t="s">
        <v>261</v>
      </c>
      <c r="BF9" t="str">
        <f>HYPERLINK("http://dx.doi.org/10.1016/j.epsl.2012.08.021","http://dx.doi.org/10.1016/j.epsl.2012.08.021")</f>
        <v>http://dx.doi.org/10.1016/j.epsl.2012.08.021</v>
      </c>
      <c r="BG9" t="s">
        <v>74</v>
      </c>
      <c r="BH9" t="s">
        <v>74</v>
      </c>
      <c r="BI9">
        <v>12</v>
      </c>
      <c r="BJ9" t="s">
        <v>241</v>
      </c>
      <c r="BK9" t="s">
        <v>98</v>
      </c>
      <c r="BL9" t="s">
        <v>241</v>
      </c>
      <c r="BM9" t="s">
        <v>242</v>
      </c>
      <c r="BN9" t="s">
        <v>74</v>
      </c>
      <c r="BO9" t="s">
        <v>74</v>
      </c>
      <c r="BP9" t="s">
        <v>74</v>
      </c>
      <c r="BQ9" t="s">
        <v>74</v>
      </c>
      <c r="BR9" t="s">
        <v>101</v>
      </c>
      <c r="BS9" t="s">
        <v>262</v>
      </c>
      <c r="BT9" t="str">
        <f>HYPERLINK("https%3A%2F%2Fwww.webofscience.com%2Fwos%2Fwoscc%2Ffull-record%2FWOS:000314079000005","View Full Record in Web of Science")</f>
        <v>View Full Record in Web of Science</v>
      </c>
    </row>
    <row r="10" spans="1:72" x14ac:dyDescent="0.15">
      <c r="A10" t="s">
        <v>72</v>
      </c>
      <c r="B10" t="s">
        <v>263</v>
      </c>
      <c r="C10" t="s">
        <v>74</v>
      </c>
      <c r="D10" t="s">
        <v>74</v>
      </c>
      <c r="E10" t="s">
        <v>74</v>
      </c>
      <c r="F10" t="s">
        <v>264</v>
      </c>
      <c r="G10" t="s">
        <v>74</v>
      </c>
      <c r="H10" t="s">
        <v>74</v>
      </c>
      <c r="I10" t="s">
        <v>265</v>
      </c>
      <c r="J10" t="s">
        <v>222</v>
      </c>
      <c r="K10" t="s">
        <v>74</v>
      </c>
      <c r="L10" t="s">
        <v>74</v>
      </c>
      <c r="M10" t="s">
        <v>78</v>
      </c>
      <c r="N10" t="s">
        <v>79</v>
      </c>
      <c r="O10" t="s">
        <v>74</v>
      </c>
      <c r="P10" t="s">
        <v>74</v>
      </c>
      <c r="Q10" t="s">
        <v>74</v>
      </c>
      <c r="R10" t="s">
        <v>74</v>
      </c>
      <c r="S10" t="s">
        <v>74</v>
      </c>
      <c r="T10" t="s">
        <v>266</v>
      </c>
      <c r="U10" t="s">
        <v>267</v>
      </c>
      <c r="V10" t="s">
        <v>268</v>
      </c>
      <c r="W10" t="s">
        <v>269</v>
      </c>
      <c r="X10" t="s">
        <v>270</v>
      </c>
      <c r="Y10" t="s">
        <v>271</v>
      </c>
      <c r="Z10" t="s">
        <v>272</v>
      </c>
      <c r="AA10" t="s">
        <v>273</v>
      </c>
      <c r="AB10" t="s">
        <v>274</v>
      </c>
      <c r="AC10" t="s">
        <v>275</v>
      </c>
      <c r="AD10" t="s">
        <v>276</v>
      </c>
      <c r="AE10" t="s">
        <v>277</v>
      </c>
      <c r="AF10" t="s">
        <v>74</v>
      </c>
      <c r="AG10">
        <v>82</v>
      </c>
      <c r="AH10">
        <v>36</v>
      </c>
      <c r="AI10">
        <v>36</v>
      </c>
      <c r="AJ10">
        <v>0</v>
      </c>
      <c r="AK10">
        <v>31</v>
      </c>
      <c r="AL10" t="s">
        <v>188</v>
      </c>
      <c r="AM10" t="s">
        <v>189</v>
      </c>
      <c r="AN10" t="s">
        <v>190</v>
      </c>
      <c r="AO10" t="s">
        <v>235</v>
      </c>
      <c r="AP10" t="s">
        <v>236</v>
      </c>
      <c r="AQ10" t="s">
        <v>74</v>
      </c>
      <c r="AR10" t="s">
        <v>237</v>
      </c>
      <c r="AS10" t="s">
        <v>238</v>
      </c>
      <c r="AT10" t="s">
        <v>239</v>
      </c>
      <c r="AU10">
        <v>2012</v>
      </c>
      <c r="AV10">
        <v>355</v>
      </c>
      <c r="AW10" t="s">
        <v>74</v>
      </c>
      <c r="AX10" t="s">
        <v>74</v>
      </c>
      <c r="AY10" t="s">
        <v>74</v>
      </c>
      <c r="AZ10" t="s">
        <v>74</v>
      </c>
      <c r="BA10" t="s">
        <v>74</v>
      </c>
      <c r="BB10">
        <v>174</v>
      </c>
      <c r="BC10">
        <v>186</v>
      </c>
      <c r="BD10" t="s">
        <v>74</v>
      </c>
      <c r="BE10" t="s">
        <v>278</v>
      </c>
      <c r="BF10" t="str">
        <f>HYPERLINK("http://dx.doi.org/10.1016/j.epsl.2012.08.038","http://dx.doi.org/10.1016/j.epsl.2012.08.038")</f>
        <v>http://dx.doi.org/10.1016/j.epsl.2012.08.038</v>
      </c>
      <c r="BG10" t="s">
        <v>74</v>
      </c>
      <c r="BH10" t="s">
        <v>74</v>
      </c>
      <c r="BI10">
        <v>13</v>
      </c>
      <c r="BJ10" t="s">
        <v>241</v>
      </c>
      <c r="BK10" t="s">
        <v>98</v>
      </c>
      <c r="BL10" t="s">
        <v>241</v>
      </c>
      <c r="BM10" t="s">
        <v>242</v>
      </c>
      <c r="BN10" t="s">
        <v>74</v>
      </c>
      <c r="BO10" t="s">
        <v>74</v>
      </c>
      <c r="BP10" t="s">
        <v>74</v>
      </c>
      <c r="BQ10" t="s">
        <v>74</v>
      </c>
      <c r="BR10" t="s">
        <v>101</v>
      </c>
      <c r="BS10" t="s">
        <v>279</v>
      </c>
      <c r="BT10" t="str">
        <f>HYPERLINK("https%3A%2F%2Fwww.webofscience.com%2Fwos%2Fwoscc%2Ffull-record%2FWOS:000314079000018","View Full Record in Web of Science")</f>
        <v>View Full Record in Web of Science</v>
      </c>
    </row>
    <row r="11" spans="1:72" x14ac:dyDescent="0.15">
      <c r="A11" t="s">
        <v>72</v>
      </c>
      <c r="B11" t="s">
        <v>280</v>
      </c>
      <c r="C11" t="s">
        <v>74</v>
      </c>
      <c r="D11" t="s">
        <v>74</v>
      </c>
      <c r="E11" t="s">
        <v>74</v>
      </c>
      <c r="F11" t="s">
        <v>281</v>
      </c>
      <c r="G11" t="s">
        <v>74</v>
      </c>
      <c r="H11" t="s">
        <v>74</v>
      </c>
      <c r="I11" t="s">
        <v>282</v>
      </c>
      <c r="J11" t="s">
        <v>222</v>
      </c>
      <c r="K11" t="s">
        <v>74</v>
      </c>
      <c r="L11" t="s">
        <v>74</v>
      </c>
      <c r="M11" t="s">
        <v>78</v>
      </c>
      <c r="N11" t="s">
        <v>79</v>
      </c>
      <c r="O11" t="s">
        <v>74</v>
      </c>
      <c r="P11" t="s">
        <v>74</v>
      </c>
      <c r="Q11" t="s">
        <v>74</v>
      </c>
      <c r="R11" t="s">
        <v>74</v>
      </c>
      <c r="S11" t="s">
        <v>74</v>
      </c>
      <c r="T11" t="s">
        <v>283</v>
      </c>
      <c r="U11" t="s">
        <v>284</v>
      </c>
      <c r="V11" t="s">
        <v>285</v>
      </c>
      <c r="W11" t="s">
        <v>286</v>
      </c>
      <c r="X11" t="s">
        <v>287</v>
      </c>
      <c r="Y11" t="s">
        <v>288</v>
      </c>
      <c r="Z11" t="s">
        <v>289</v>
      </c>
      <c r="AA11" t="s">
        <v>290</v>
      </c>
      <c r="AB11" t="s">
        <v>291</v>
      </c>
      <c r="AC11" t="s">
        <v>292</v>
      </c>
      <c r="AD11" t="s">
        <v>293</v>
      </c>
      <c r="AE11" t="s">
        <v>294</v>
      </c>
      <c r="AF11" t="s">
        <v>74</v>
      </c>
      <c r="AG11">
        <v>130</v>
      </c>
      <c r="AH11">
        <v>159</v>
      </c>
      <c r="AI11">
        <v>179</v>
      </c>
      <c r="AJ11">
        <v>0</v>
      </c>
      <c r="AK11">
        <v>70</v>
      </c>
      <c r="AL11" t="s">
        <v>188</v>
      </c>
      <c r="AM11" t="s">
        <v>189</v>
      </c>
      <c r="AN11" t="s">
        <v>190</v>
      </c>
      <c r="AO11" t="s">
        <v>235</v>
      </c>
      <c r="AP11" t="s">
        <v>236</v>
      </c>
      <c r="AQ11" t="s">
        <v>74</v>
      </c>
      <c r="AR11" t="s">
        <v>237</v>
      </c>
      <c r="AS11" t="s">
        <v>238</v>
      </c>
      <c r="AT11" t="s">
        <v>239</v>
      </c>
      <c r="AU11">
        <v>2012</v>
      </c>
      <c r="AV11">
        <v>355</v>
      </c>
      <c r="AW11" t="s">
        <v>74</v>
      </c>
      <c r="AX11" t="s">
        <v>74</v>
      </c>
      <c r="AY11" t="s">
        <v>74</v>
      </c>
      <c r="AZ11" t="s">
        <v>74</v>
      </c>
      <c r="BA11" t="s">
        <v>74</v>
      </c>
      <c r="BB11">
        <v>283</v>
      </c>
      <c r="BC11">
        <v>298</v>
      </c>
      <c r="BD11" t="s">
        <v>74</v>
      </c>
      <c r="BE11" t="s">
        <v>295</v>
      </c>
      <c r="BF11" t="str">
        <f>HYPERLINK("http://dx.doi.org/10.1016/j.epsl.2012.08.023","http://dx.doi.org/10.1016/j.epsl.2012.08.023")</f>
        <v>http://dx.doi.org/10.1016/j.epsl.2012.08.023</v>
      </c>
      <c r="BG11" t="s">
        <v>74</v>
      </c>
      <c r="BH11" t="s">
        <v>74</v>
      </c>
      <c r="BI11">
        <v>16</v>
      </c>
      <c r="BJ11" t="s">
        <v>241</v>
      </c>
      <c r="BK11" t="s">
        <v>98</v>
      </c>
      <c r="BL11" t="s">
        <v>241</v>
      </c>
      <c r="BM11" t="s">
        <v>242</v>
      </c>
      <c r="BN11" t="s">
        <v>74</v>
      </c>
      <c r="BO11" t="s">
        <v>74</v>
      </c>
      <c r="BP11" t="s">
        <v>74</v>
      </c>
      <c r="BQ11" t="s">
        <v>74</v>
      </c>
      <c r="BR11" t="s">
        <v>101</v>
      </c>
      <c r="BS11" t="s">
        <v>296</v>
      </c>
      <c r="BT11" t="str">
        <f>HYPERLINK("https%3A%2F%2Fwww.webofscience.com%2Fwos%2Fwoscc%2Ffull-record%2FWOS:000314079000028","View Full Record in Web of Science")</f>
        <v>View Full Record in Web of Science</v>
      </c>
    </row>
    <row r="12" spans="1:72" x14ac:dyDescent="0.15">
      <c r="A12" t="s">
        <v>72</v>
      </c>
      <c r="B12" t="s">
        <v>297</v>
      </c>
      <c r="C12" t="s">
        <v>74</v>
      </c>
      <c r="D12" t="s">
        <v>74</v>
      </c>
      <c r="E12" t="s">
        <v>74</v>
      </c>
      <c r="F12" t="s">
        <v>298</v>
      </c>
      <c r="G12" t="s">
        <v>74</v>
      </c>
      <c r="H12" t="s">
        <v>74</v>
      </c>
      <c r="I12" t="s">
        <v>299</v>
      </c>
      <c r="J12" t="s">
        <v>222</v>
      </c>
      <c r="K12" t="s">
        <v>74</v>
      </c>
      <c r="L12" t="s">
        <v>74</v>
      </c>
      <c r="M12" t="s">
        <v>78</v>
      </c>
      <c r="N12" t="s">
        <v>79</v>
      </c>
      <c r="O12" t="s">
        <v>74</v>
      </c>
      <c r="P12" t="s">
        <v>74</v>
      </c>
      <c r="Q12" t="s">
        <v>74</v>
      </c>
      <c r="R12" t="s">
        <v>74</v>
      </c>
      <c r="S12" t="s">
        <v>74</v>
      </c>
      <c r="T12" t="s">
        <v>300</v>
      </c>
      <c r="U12" t="s">
        <v>301</v>
      </c>
      <c r="V12" t="s">
        <v>302</v>
      </c>
      <c r="W12" t="s">
        <v>303</v>
      </c>
      <c r="X12" t="s">
        <v>304</v>
      </c>
      <c r="Y12" t="s">
        <v>305</v>
      </c>
      <c r="Z12" t="s">
        <v>306</v>
      </c>
      <c r="AA12" t="s">
        <v>74</v>
      </c>
      <c r="AB12" t="s">
        <v>74</v>
      </c>
      <c r="AC12" t="s">
        <v>307</v>
      </c>
      <c r="AD12" t="s">
        <v>308</v>
      </c>
      <c r="AE12" t="s">
        <v>309</v>
      </c>
      <c r="AF12" t="s">
        <v>74</v>
      </c>
      <c r="AG12">
        <v>42</v>
      </c>
      <c r="AH12">
        <v>16</v>
      </c>
      <c r="AI12">
        <v>22</v>
      </c>
      <c r="AJ12">
        <v>0</v>
      </c>
      <c r="AK12">
        <v>24</v>
      </c>
      <c r="AL12" t="s">
        <v>259</v>
      </c>
      <c r="AM12" t="s">
        <v>189</v>
      </c>
      <c r="AN12" t="s">
        <v>260</v>
      </c>
      <c r="AO12" t="s">
        <v>235</v>
      </c>
      <c r="AP12" t="s">
        <v>236</v>
      </c>
      <c r="AQ12" t="s">
        <v>74</v>
      </c>
      <c r="AR12" t="s">
        <v>237</v>
      </c>
      <c r="AS12" t="s">
        <v>238</v>
      </c>
      <c r="AT12" t="s">
        <v>239</v>
      </c>
      <c r="AU12">
        <v>2012</v>
      </c>
      <c r="AV12">
        <v>355</v>
      </c>
      <c r="AW12" t="s">
        <v>74</v>
      </c>
      <c r="AX12" t="s">
        <v>74</v>
      </c>
      <c r="AY12" t="s">
        <v>74</v>
      </c>
      <c r="AZ12" t="s">
        <v>74</v>
      </c>
      <c r="BA12" t="s">
        <v>74</v>
      </c>
      <c r="BB12">
        <v>341</v>
      </c>
      <c r="BC12">
        <v>350</v>
      </c>
      <c r="BD12" t="s">
        <v>74</v>
      </c>
      <c r="BE12" t="s">
        <v>310</v>
      </c>
      <c r="BF12" t="str">
        <f>HYPERLINK("http://dx.doi.org/10.1016/j.epsl.2012.08.017","http://dx.doi.org/10.1016/j.epsl.2012.08.017")</f>
        <v>http://dx.doi.org/10.1016/j.epsl.2012.08.017</v>
      </c>
      <c r="BG12" t="s">
        <v>74</v>
      </c>
      <c r="BH12" t="s">
        <v>74</v>
      </c>
      <c r="BI12">
        <v>10</v>
      </c>
      <c r="BJ12" t="s">
        <v>241</v>
      </c>
      <c r="BK12" t="s">
        <v>98</v>
      </c>
      <c r="BL12" t="s">
        <v>241</v>
      </c>
      <c r="BM12" t="s">
        <v>242</v>
      </c>
      <c r="BN12" t="s">
        <v>74</v>
      </c>
      <c r="BO12" t="s">
        <v>74</v>
      </c>
      <c r="BP12" t="s">
        <v>74</v>
      </c>
      <c r="BQ12" t="s">
        <v>74</v>
      </c>
      <c r="BR12" t="s">
        <v>101</v>
      </c>
      <c r="BS12" t="s">
        <v>311</v>
      </c>
      <c r="BT12" t="str">
        <f>HYPERLINK("https%3A%2F%2Fwww.webofscience.com%2Fwos%2Fwoscc%2Ffull-record%2FWOS:000314079000032","View Full Record in Web of Science")</f>
        <v>View Full Record in Web of Science</v>
      </c>
    </row>
    <row r="13" spans="1:72" x14ac:dyDescent="0.15">
      <c r="A13" t="s">
        <v>72</v>
      </c>
      <c r="B13" t="s">
        <v>312</v>
      </c>
      <c r="C13" t="s">
        <v>74</v>
      </c>
      <c r="D13" t="s">
        <v>74</v>
      </c>
      <c r="E13" t="s">
        <v>74</v>
      </c>
      <c r="F13" t="s">
        <v>313</v>
      </c>
      <c r="G13" t="s">
        <v>74</v>
      </c>
      <c r="H13" t="s">
        <v>74</v>
      </c>
      <c r="I13" t="s">
        <v>314</v>
      </c>
      <c r="J13" t="s">
        <v>315</v>
      </c>
      <c r="K13" t="s">
        <v>74</v>
      </c>
      <c r="L13" t="s">
        <v>74</v>
      </c>
      <c r="M13" t="s">
        <v>78</v>
      </c>
      <c r="N13" t="s">
        <v>79</v>
      </c>
      <c r="O13" t="s">
        <v>74</v>
      </c>
      <c r="P13" t="s">
        <v>74</v>
      </c>
      <c r="Q13" t="s">
        <v>74</v>
      </c>
      <c r="R13" t="s">
        <v>74</v>
      </c>
      <c r="S13" t="s">
        <v>74</v>
      </c>
      <c r="T13" t="s">
        <v>316</v>
      </c>
      <c r="U13" t="s">
        <v>317</v>
      </c>
      <c r="V13" t="s">
        <v>318</v>
      </c>
      <c r="W13" t="s">
        <v>319</v>
      </c>
      <c r="X13" t="s">
        <v>320</v>
      </c>
      <c r="Y13" t="s">
        <v>321</v>
      </c>
      <c r="Z13" t="s">
        <v>322</v>
      </c>
      <c r="AA13" t="s">
        <v>323</v>
      </c>
      <c r="AB13" t="s">
        <v>324</v>
      </c>
      <c r="AC13" t="s">
        <v>325</v>
      </c>
      <c r="AD13" t="s">
        <v>326</v>
      </c>
      <c r="AE13" t="s">
        <v>327</v>
      </c>
      <c r="AF13" t="s">
        <v>74</v>
      </c>
      <c r="AG13">
        <v>49</v>
      </c>
      <c r="AH13">
        <v>28</v>
      </c>
      <c r="AI13">
        <v>30</v>
      </c>
      <c r="AJ13">
        <v>1</v>
      </c>
      <c r="AK13">
        <v>53</v>
      </c>
      <c r="AL13" t="s">
        <v>259</v>
      </c>
      <c r="AM13" t="s">
        <v>189</v>
      </c>
      <c r="AN13" t="s">
        <v>260</v>
      </c>
      <c r="AO13" t="s">
        <v>328</v>
      </c>
      <c r="AP13" t="s">
        <v>74</v>
      </c>
      <c r="AQ13" t="s">
        <v>74</v>
      </c>
      <c r="AR13" t="s">
        <v>329</v>
      </c>
      <c r="AS13" t="s">
        <v>330</v>
      </c>
      <c r="AT13" t="s">
        <v>239</v>
      </c>
      <c r="AU13">
        <v>2012</v>
      </c>
      <c r="AV13">
        <v>439</v>
      </c>
      <c r="AW13" t="s">
        <v>74</v>
      </c>
      <c r="AX13" t="s">
        <v>74</v>
      </c>
      <c r="AY13" t="s">
        <v>74</v>
      </c>
      <c r="AZ13" t="s">
        <v>74</v>
      </c>
      <c r="BA13" t="s">
        <v>74</v>
      </c>
      <c r="BB13">
        <v>165</v>
      </c>
      <c r="BC13">
        <v>171</v>
      </c>
      <c r="BD13" t="s">
        <v>74</v>
      </c>
      <c r="BE13" t="s">
        <v>331</v>
      </c>
      <c r="BF13" t="str">
        <f>HYPERLINK("http://dx.doi.org/10.1016/j.scitotenv.2012.09.028","http://dx.doi.org/10.1016/j.scitotenv.2012.09.028")</f>
        <v>http://dx.doi.org/10.1016/j.scitotenv.2012.09.028</v>
      </c>
      <c r="BG13" t="s">
        <v>74</v>
      </c>
      <c r="BH13" t="s">
        <v>74</v>
      </c>
      <c r="BI13">
        <v>7</v>
      </c>
      <c r="BJ13" t="s">
        <v>332</v>
      </c>
      <c r="BK13" t="s">
        <v>98</v>
      </c>
      <c r="BL13" t="s">
        <v>333</v>
      </c>
      <c r="BM13" t="s">
        <v>334</v>
      </c>
      <c r="BN13">
        <v>23069932</v>
      </c>
      <c r="BO13" t="s">
        <v>74</v>
      </c>
      <c r="BP13" t="s">
        <v>74</v>
      </c>
      <c r="BQ13" t="s">
        <v>74</v>
      </c>
      <c r="BR13" t="s">
        <v>101</v>
      </c>
      <c r="BS13" t="s">
        <v>335</v>
      </c>
      <c r="BT13" t="str">
        <f>HYPERLINK("https%3A%2F%2Fwww.webofscience.com%2Fwos%2Fwoscc%2Ffull-record%2FWOS:000312630200021","View Full Record in Web of Science")</f>
        <v>View Full Record in Web of Science</v>
      </c>
    </row>
    <row r="14" spans="1:72" x14ac:dyDescent="0.15">
      <c r="A14" t="s">
        <v>72</v>
      </c>
      <c r="B14" t="s">
        <v>336</v>
      </c>
      <c r="C14" t="s">
        <v>74</v>
      </c>
      <c r="D14" t="s">
        <v>74</v>
      </c>
      <c r="E14" t="s">
        <v>74</v>
      </c>
      <c r="F14" t="s">
        <v>337</v>
      </c>
      <c r="G14" t="s">
        <v>74</v>
      </c>
      <c r="H14" t="s">
        <v>74</v>
      </c>
      <c r="I14" t="s">
        <v>338</v>
      </c>
      <c r="J14" t="s">
        <v>315</v>
      </c>
      <c r="K14" t="s">
        <v>74</v>
      </c>
      <c r="L14" t="s">
        <v>74</v>
      </c>
      <c r="M14" t="s">
        <v>78</v>
      </c>
      <c r="N14" t="s">
        <v>79</v>
      </c>
      <c r="O14" t="s">
        <v>74</v>
      </c>
      <c r="P14" t="s">
        <v>74</v>
      </c>
      <c r="Q14" t="s">
        <v>74</v>
      </c>
      <c r="R14" t="s">
        <v>74</v>
      </c>
      <c r="S14" t="s">
        <v>74</v>
      </c>
      <c r="T14" t="s">
        <v>339</v>
      </c>
      <c r="U14" t="s">
        <v>340</v>
      </c>
      <c r="V14" t="s">
        <v>341</v>
      </c>
      <c r="W14" t="s">
        <v>342</v>
      </c>
      <c r="X14" t="s">
        <v>343</v>
      </c>
      <c r="Y14" t="s">
        <v>344</v>
      </c>
      <c r="Z14" t="s">
        <v>345</v>
      </c>
      <c r="AA14" t="s">
        <v>346</v>
      </c>
      <c r="AB14" t="s">
        <v>347</v>
      </c>
      <c r="AC14" t="s">
        <v>348</v>
      </c>
      <c r="AD14" t="s">
        <v>349</v>
      </c>
      <c r="AE14" t="s">
        <v>350</v>
      </c>
      <c r="AF14" t="s">
        <v>74</v>
      </c>
      <c r="AG14">
        <v>59</v>
      </c>
      <c r="AH14">
        <v>39</v>
      </c>
      <c r="AI14">
        <v>48</v>
      </c>
      <c r="AJ14">
        <v>0</v>
      </c>
      <c r="AK14">
        <v>90</v>
      </c>
      <c r="AL14" t="s">
        <v>188</v>
      </c>
      <c r="AM14" t="s">
        <v>189</v>
      </c>
      <c r="AN14" t="s">
        <v>190</v>
      </c>
      <c r="AO14" t="s">
        <v>328</v>
      </c>
      <c r="AP14" t="s">
        <v>351</v>
      </c>
      <c r="AQ14" t="s">
        <v>74</v>
      </c>
      <c r="AR14" t="s">
        <v>329</v>
      </c>
      <c r="AS14" t="s">
        <v>330</v>
      </c>
      <c r="AT14" t="s">
        <v>239</v>
      </c>
      <c r="AU14">
        <v>2012</v>
      </c>
      <c r="AV14">
        <v>439</v>
      </c>
      <c r="AW14" t="s">
        <v>74</v>
      </c>
      <c r="AX14" t="s">
        <v>74</v>
      </c>
      <c r="AY14" t="s">
        <v>74</v>
      </c>
      <c r="AZ14" t="s">
        <v>74</v>
      </c>
      <c r="BA14" t="s">
        <v>74</v>
      </c>
      <c r="BB14">
        <v>275</v>
      </c>
      <c r="BC14">
        <v>283</v>
      </c>
      <c r="BD14" t="s">
        <v>74</v>
      </c>
      <c r="BE14" t="s">
        <v>352</v>
      </c>
      <c r="BF14" t="str">
        <f>HYPERLINK("http://dx.doi.org/10.1016/j.scitotenv.2012.09.018","http://dx.doi.org/10.1016/j.scitotenv.2012.09.018")</f>
        <v>http://dx.doi.org/10.1016/j.scitotenv.2012.09.018</v>
      </c>
      <c r="BG14" t="s">
        <v>74</v>
      </c>
      <c r="BH14" t="s">
        <v>74</v>
      </c>
      <c r="BI14">
        <v>9</v>
      </c>
      <c r="BJ14" t="s">
        <v>332</v>
      </c>
      <c r="BK14" t="s">
        <v>98</v>
      </c>
      <c r="BL14" t="s">
        <v>333</v>
      </c>
      <c r="BM14" t="s">
        <v>334</v>
      </c>
      <c r="BN14">
        <v>23085468</v>
      </c>
      <c r="BO14" t="s">
        <v>74</v>
      </c>
      <c r="BP14" t="s">
        <v>74</v>
      </c>
      <c r="BQ14" t="s">
        <v>74</v>
      </c>
      <c r="BR14" t="s">
        <v>101</v>
      </c>
      <c r="BS14" t="s">
        <v>353</v>
      </c>
      <c r="BT14" t="str">
        <f>HYPERLINK("https%3A%2F%2Fwww.webofscience.com%2Fwos%2Fwoscc%2Ffull-record%2FWOS:000312630200033","View Full Record in Web of Science")</f>
        <v>View Full Record in Web of Science</v>
      </c>
    </row>
    <row r="15" spans="1:72" x14ac:dyDescent="0.15">
      <c r="A15" t="s">
        <v>72</v>
      </c>
      <c r="B15" t="s">
        <v>354</v>
      </c>
      <c r="C15" t="s">
        <v>74</v>
      </c>
      <c r="D15" t="s">
        <v>74</v>
      </c>
      <c r="E15" t="s">
        <v>74</v>
      </c>
      <c r="F15" t="s">
        <v>355</v>
      </c>
      <c r="G15" t="s">
        <v>74</v>
      </c>
      <c r="H15" t="s">
        <v>74</v>
      </c>
      <c r="I15" t="s">
        <v>356</v>
      </c>
      <c r="J15" t="s">
        <v>357</v>
      </c>
      <c r="K15" t="s">
        <v>74</v>
      </c>
      <c r="L15" t="s">
        <v>74</v>
      </c>
      <c r="M15" t="s">
        <v>78</v>
      </c>
      <c r="N15" t="s">
        <v>79</v>
      </c>
      <c r="O15" t="s">
        <v>74</v>
      </c>
      <c r="P15" t="s">
        <v>74</v>
      </c>
      <c r="Q15" t="s">
        <v>74</v>
      </c>
      <c r="R15" t="s">
        <v>74</v>
      </c>
      <c r="S15" t="s">
        <v>74</v>
      </c>
      <c r="T15" t="s">
        <v>358</v>
      </c>
      <c r="U15" t="s">
        <v>359</v>
      </c>
      <c r="V15" t="s">
        <v>360</v>
      </c>
      <c r="W15" t="s">
        <v>361</v>
      </c>
      <c r="X15" t="s">
        <v>362</v>
      </c>
      <c r="Y15" t="s">
        <v>363</v>
      </c>
      <c r="Z15" t="s">
        <v>364</v>
      </c>
      <c r="AA15" t="s">
        <v>365</v>
      </c>
      <c r="AB15" t="s">
        <v>366</v>
      </c>
      <c r="AC15" t="s">
        <v>367</v>
      </c>
      <c r="AD15" t="s">
        <v>368</v>
      </c>
      <c r="AE15" t="s">
        <v>369</v>
      </c>
      <c r="AF15" t="s">
        <v>74</v>
      </c>
      <c r="AG15">
        <v>51</v>
      </c>
      <c r="AH15">
        <v>27</v>
      </c>
      <c r="AI15">
        <v>31</v>
      </c>
      <c r="AJ15">
        <v>1</v>
      </c>
      <c r="AK15">
        <v>31</v>
      </c>
      <c r="AL15" t="s">
        <v>370</v>
      </c>
      <c r="AM15" t="s">
        <v>371</v>
      </c>
      <c r="AN15" t="s">
        <v>372</v>
      </c>
      <c r="AO15" t="s">
        <v>373</v>
      </c>
      <c r="AP15" t="s">
        <v>374</v>
      </c>
      <c r="AQ15" t="s">
        <v>74</v>
      </c>
      <c r="AR15" t="s">
        <v>375</v>
      </c>
      <c r="AS15" t="s">
        <v>376</v>
      </c>
      <c r="AT15" t="s">
        <v>239</v>
      </c>
      <c r="AU15">
        <v>2012</v>
      </c>
      <c r="AV15">
        <v>118</v>
      </c>
      <c r="AW15" t="s">
        <v>74</v>
      </c>
      <c r="AX15" t="s">
        <v>74</v>
      </c>
      <c r="AY15" t="s">
        <v>74</v>
      </c>
      <c r="AZ15" t="s">
        <v>74</v>
      </c>
      <c r="BA15" t="s">
        <v>74</v>
      </c>
      <c r="BB15">
        <v>240</v>
      </c>
      <c r="BC15">
        <v>259</v>
      </c>
      <c r="BD15" t="s">
        <v>74</v>
      </c>
      <c r="BE15" t="s">
        <v>377</v>
      </c>
      <c r="BF15" t="str">
        <f>HYPERLINK("http://dx.doi.org/10.1016/j.atmosres.2012.06.027","http://dx.doi.org/10.1016/j.atmosres.2012.06.027")</f>
        <v>http://dx.doi.org/10.1016/j.atmosres.2012.06.027</v>
      </c>
      <c r="BG15" t="s">
        <v>74</v>
      </c>
      <c r="BH15" t="s">
        <v>74</v>
      </c>
      <c r="BI15">
        <v>20</v>
      </c>
      <c r="BJ15" t="s">
        <v>378</v>
      </c>
      <c r="BK15" t="s">
        <v>98</v>
      </c>
      <c r="BL15" t="s">
        <v>378</v>
      </c>
      <c r="BM15" t="s">
        <v>379</v>
      </c>
      <c r="BN15" t="s">
        <v>74</v>
      </c>
      <c r="BO15" t="s">
        <v>380</v>
      </c>
      <c r="BP15" t="s">
        <v>74</v>
      </c>
      <c r="BQ15" t="s">
        <v>74</v>
      </c>
      <c r="BR15" t="s">
        <v>101</v>
      </c>
      <c r="BS15" t="s">
        <v>381</v>
      </c>
      <c r="BT15" t="str">
        <f>HYPERLINK("https%3A%2F%2Fwww.webofscience.com%2Fwos%2Fwoscc%2Ffull-record%2FWOS:000310386100020","View Full Record in Web of Science")</f>
        <v>View Full Record in Web of Science</v>
      </c>
    </row>
    <row r="16" spans="1:72" x14ac:dyDescent="0.15">
      <c r="A16" t="s">
        <v>72</v>
      </c>
      <c r="B16" t="s">
        <v>382</v>
      </c>
      <c r="C16" t="s">
        <v>74</v>
      </c>
      <c r="D16" t="s">
        <v>74</v>
      </c>
      <c r="E16" t="s">
        <v>74</v>
      </c>
      <c r="F16" t="s">
        <v>383</v>
      </c>
      <c r="G16" t="s">
        <v>74</v>
      </c>
      <c r="H16" t="s">
        <v>74</v>
      </c>
      <c r="I16" t="s">
        <v>384</v>
      </c>
      <c r="J16" t="s">
        <v>178</v>
      </c>
      <c r="K16" t="s">
        <v>74</v>
      </c>
      <c r="L16" t="s">
        <v>74</v>
      </c>
      <c r="M16" t="s">
        <v>78</v>
      </c>
      <c r="N16" t="s">
        <v>79</v>
      </c>
      <c r="O16" t="s">
        <v>74</v>
      </c>
      <c r="P16" t="s">
        <v>74</v>
      </c>
      <c r="Q16" t="s">
        <v>74</v>
      </c>
      <c r="R16" t="s">
        <v>74</v>
      </c>
      <c r="S16" t="s">
        <v>74</v>
      </c>
      <c r="T16" t="s">
        <v>385</v>
      </c>
      <c r="U16" t="s">
        <v>386</v>
      </c>
      <c r="V16" t="s">
        <v>387</v>
      </c>
      <c r="W16" t="s">
        <v>388</v>
      </c>
      <c r="X16" t="s">
        <v>389</v>
      </c>
      <c r="Y16" t="s">
        <v>390</v>
      </c>
      <c r="Z16" t="s">
        <v>391</v>
      </c>
      <c r="AA16" t="s">
        <v>392</v>
      </c>
      <c r="AB16" t="s">
        <v>393</v>
      </c>
      <c r="AC16" t="s">
        <v>394</v>
      </c>
      <c r="AD16" t="s">
        <v>395</v>
      </c>
      <c r="AE16" t="s">
        <v>396</v>
      </c>
      <c r="AF16" t="s">
        <v>74</v>
      </c>
      <c r="AG16">
        <v>143</v>
      </c>
      <c r="AH16">
        <v>23</v>
      </c>
      <c r="AI16">
        <v>24</v>
      </c>
      <c r="AJ16">
        <v>0</v>
      </c>
      <c r="AK16">
        <v>25</v>
      </c>
      <c r="AL16" t="s">
        <v>259</v>
      </c>
      <c r="AM16" t="s">
        <v>189</v>
      </c>
      <c r="AN16" t="s">
        <v>260</v>
      </c>
      <c r="AO16" t="s">
        <v>191</v>
      </c>
      <c r="AP16" t="s">
        <v>192</v>
      </c>
      <c r="AQ16" t="s">
        <v>74</v>
      </c>
      <c r="AR16" t="s">
        <v>193</v>
      </c>
      <c r="AS16" t="s">
        <v>194</v>
      </c>
      <c r="AT16" t="s">
        <v>239</v>
      </c>
      <c r="AU16">
        <v>2012</v>
      </c>
      <c r="AV16">
        <v>361</v>
      </c>
      <c r="AW16" t="s">
        <v>74</v>
      </c>
      <c r="AX16" t="s">
        <v>74</v>
      </c>
      <c r="AY16" t="s">
        <v>74</v>
      </c>
      <c r="AZ16" t="s">
        <v>74</v>
      </c>
      <c r="BA16" t="s">
        <v>74</v>
      </c>
      <c r="BB16">
        <v>94</v>
      </c>
      <c r="BC16">
        <v>103</v>
      </c>
      <c r="BD16" t="s">
        <v>74</v>
      </c>
      <c r="BE16" t="s">
        <v>397</v>
      </c>
      <c r="BF16" t="str">
        <f>HYPERLINK("http://dx.doi.org/10.1016/j.palaeo.2012.08.008","http://dx.doi.org/10.1016/j.palaeo.2012.08.008")</f>
        <v>http://dx.doi.org/10.1016/j.palaeo.2012.08.008</v>
      </c>
      <c r="BG16" t="s">
        <v>74</v>
      </c>
      <c r="BH16" t="s">
        <v>74</v>
      </c>
      <c r="BI16">
        <v>10</v>
      </c>
      <c r="BJ16" t="s">
        <v>197</v>
      </c>
      <c r="BK16" t="s">
        <v>98</v>
      </c>
      <c r="BL16" t="s">
        <v>198</v>
      </c>
      <c r="BM16" t="s">
        <v>398</v>
      </c>
      <c r="BN16" t="s">
        <v>74</v>
      </c>
      <c r="BO16" t="s">
        <v>74</v>
      </c>
      <c r="BP16" t="s">
        <v>74</v>
      </c>
      <c r="BQ16" t="s">
        <v>74</v>
      </c>
      <c r="BR16" t="s">
        <v>101</v>
      </c>
      <c r="BS16" t="s">
        <v>399</v>
      </c>
      <c r="BT16" t="str">
        <f>HYPERLINK("https%3A%2F%2Fwww.webofscience.com%2Fwos%2Fwoscc%2Ffull-record%2FWOS:000310824800009","View Full Record in Web of Science")</f>
        <v>View Full Record in Web of Science</v>
      </c>
    </row>
    <row r="17" spans="1:72" x14ac:dyDescent="0.15">
      <c r="A17" t="s">
        <v>72</v>
      </c>
      <c r="B17" t="s">
        <v>400</v>
      </c>
      <c r="C17" t="s">
        <v>74</v>
      </c>
      <c r="D17" t="s">
        <v>74</v>
      </c>
      <c r="E17" t="s">
        <v>74</v>
      </c>
      <c r="F17" t="s">
        <v>401</v>
      </c>
      <c r="G17" t="s">
        <v>74</v>
      </c>
      <c r="H17" t="s">
        <v>74</v>
      </c>
      <c r="I17" t="s">
        <v>402</v>
      </c>
      <c r="J17" t="s">
        <v>222</v>
      </c>
      <c r="K17" t="s">
        <v>74</v>
      </c>
      <c r="L17" t="s">
        <v>74</v>
      </c>
      <c r="M17" t="s">
        <v>78</v>
      </c>
      <c r="N17" t="s">
        <v>79</v>
      </c>
      <c r="O17" t="s">
        <v>74</v>
      </c>
      <c r="P17" t="s">
        <v>74</v>
      </c>
      <c r="Q17" t="s">
        <v>74</v>
      </c>
      <c r="R17" t="s">
        <v>74</v>
      </c>
      <c r="S17" t="s">
        <v>74</v>
      </c>
      <c r="T17" t="s">
        <v>403</v>
      </c>
      <c r="U17" t="s">
        <v>404</v>
      </c>
      <c r="V17" t="s">
        <v>405</v>
      </c>
      <c r="W17" t="s">
        <v>406</v>
      </c>
      <c r="X17" t="s">
        <v>407</v>
      </c>
      <c r="Y17" t="s">
        <v>408</v>
      </c>
      <c r="Z17" t="s">
        <v>409</v>
      </c>
      <c r="AA17" t="s">
        <v>410</v>
      </c>
      <c r="AB17" t="s">
        <v>411</v>
      </c>
      <c r="AC17" t="s">
        <v>412</v>
      </c>
      <c r="AD17" t="s">
        <v>413</v>
      </c>
      <c r="AE17" t="s">
        <v>414</v>
      </c>
      <c r="AF17" t="s">
        <v>74</v>
      </c>
      <c r="AG17">
        <v>39</v>
      </c>
      <c r="AH17">
        <v>50</v>
      </c>
      <c r="AI17">
        <v>54</v>
      </c>
      <c r="AJ17">
        <v>0</v>
      </c>
      <c r="AK17">
        <v>42</v>
      </c>
      <c r="AL17" t="s">
        <v>188</v>
      </c>
      <c r="AM17" t="s">
        <v>189</v>
      </c>
      <c r="AN17" t="s">
        <v>190</v>
      </c>
      <c r="AO17" t="s">
        <v>235</v>
      </c>
      <c r="AP17" t="s">
        <v>236</v>
      </c>
      <c r="AQ17" t="s">
        <v>74</v>
      </c>
      <c r="AR17" t="s">
        <v>237</v>
      </c>
      <c r="AS17" t="s">
        <v>238</v>
      </c>
      <c r="AT17" t="s">
        <v>239</v>
      </c>
      <c r="AU17">
        <v>2012</v>
      </c>
      <c r="AV17">
        <v>355</v>
      </c>
      <c r="AW17" t="s">
        <v>74</v>
      </c>
      <c r="AX17" t="s">
        <v>74</v>
      </c>
      <c r="AY17" t="s">
        <v>74</v>
      </c>
      <c r="AZ17" t="s">
        <v>74</v>
      </c>
      <c r="BA17" t="s">
        <v>74</v>
      </c>
      <c r="BB17">
        <v>32</v>
      </c>
      <c r="BC17">
        <v>38</v>
      </c>
      <c r="BD17" t="s">
        <v>74</v>
      </c>
      <c r="BE17" t="s">
        <v>415</v>
      </c>
      <c r="BF17" t="str">
        <f>HYPERLINK("http://dx.doi.org/10.1016/j.epsl.2012.08.029","http://dx.doi.org/10.1016/j.epsl.2012.08.029")</f>
        <v>http://dx.doi.org/10.1016/j.epsl.2012.08.029</v>
      </c>
      <c r="BG17" t="s">
        <v>74</v>
      </c>
      <c r="BH17" t="s">
        <v>74</v>
      </c>
      <c r="BI17">
        <v>7</v>
      </c>
      <c r="BJ17" t="s">
        <v>241</v>
      </c>
      <c r="BK17" t="s">
        <v>98</v>
      </c>
      <c r="BL17" t="s">
        <v>241</v>
      </c>
      <c r="BM17" t="s">
        <v>242</v>
      </c>
      <c r="BN17" t="s">
        <v>74</v>
      </c>
      <c r="BO17" t="s">
        <v>416</v>
      </c>
      <c r="BP17" t="s">
        <v>74</v>
      </c>
      <c r="BQ17" t="s">
        <v>74</v>
      </c>
      <c r="BR17" t="s">
        <v>101</v>
      </c>
      <c r="BS17" t="s">
        <v>417</v>
      </c>
      <c r="BT17" t="str">
        <f>HYPERLINK("https%3A%2F%2Fwww.webofscience.com%2Fwos%2Fwoscc%2Ffull-record%2FWOS:000314079000004","View Full Record in Web of Science")</f>
        <v>View Full Record in Web of Science</v>
      </c>
    </row>
    <row r="18" spans="1:72" x14ac:dyDescent="0.15">
      <c r="A18" t="s">
        <v>72</v>
      </c>
      <c r="B18" t="s">
        <v>418</v>
      </c>
      <c r="C18" t="s">
        <v>74</v>
      </c>
      <c r="D18" t="s">
        <v>74</v>
      </c>
      <c r="E18" t="s">
        <v>74</v>
      </c>
      <c r="F18" t="s">
        <v>419</v>
      </c>
      <c r="G18" t="s">
        <v>74</v>
      </c>
      <c r="H18" t="s">
        <v>74</v>
      </c>
      <c r="I18" t="s">
        <v>420</v>
      </c>
      <c r="J18" t="s">
        <v>421</v>
      </c>
      <c r="K18" t="s">
        <v>74</v>
      </c>
      <c r="L18" t="s">
        <v>74</v>
      </c>
      <c r="M18" t="s">
        <v>78</v>
      </c>
      <c r="N18" t="s">
        <v>79</v>
      </c>
      <c r="O18" t="s">
        <v>74</v>
      </c>
      <c r="P18" t="s">
        <v>74</v>
      </c>
      <c r="Q18" t="s">
        <v>74</v>
      </c>
      <c r="R18" t="s">
        <v>74</v>
      </c>
      <c r="S18" t="s">
        <v>74</v>
      </c>
      <c r="T18" t="s">
        <v>74</v>
      </c>
      <c r="U18" t="s">
        <v>422</v>
      </c>
      <c r="V18" t="s">
        <v>423</v>
      </c>
      <c r="W18" t="s">
        <v>424</v>
      </c>
      <c r="X18" t="s">
        <v>425</v>
      </c>
      <c r="Y18" t="s">
        <v>426</v>
      </c>
      <c r="Z18" t="s">
        <v>427</v>
      </c>
      <c r="AA18" t="s">
        <v>428</v>
      </c>
      <c r="AB18" t="s">
        <v>429</v>
      </c>
      <c r="AC18" t="s">
        <v>430</v>
      </c>
      <c r="AD18" t="s">
        <v>431</v>
      </c>
      <c r="AE18" t="s">
        <v>432</v>
      </c>
      <c r="AF18" t="s">
        <v>74</v>
      </c>
      <c r="AG18">
        <v>30</v>
      </c>
      <c r="AH18">
        <v>2363</v>
      </c>
      <c r="AI18">
        <v>2590</v>
      </c>
      <c r="AJ18">
        <v>37</v>
      </c>
      <c r="AK18">
        <v>1188</v>
      </c>
      <c r="AL18" t="s">
        <v>433</v>
      </c>
      <c r="AM18" t="s">
        <v>434</v>
      </c>
      <c r="AN18" t="s">
        <v>435</v>
      </c>
      <c r="AO18" t="s">
        <v>436</v>
      </c>
      <c r="AP18" t="s">
        <v>74</v>
      </c>
      <c r="AQ18" t="s">
        <v>74</v>
      </c>
      <c r="AR18" t="s">
        <v>421</v>
      </c>
      <c r="AS18" t="s">
        <v>437</v>
      </c>
      <c r="AT18" t="s">
        <v>239</v>
      </c>
      <c r="AU18">
        <v>2012</v>
      </c>
      <c r="AV18">
        <v>491</v>
      </c>
      <c r="AW18">
        <v>7424</v>
      </c>
      <c r="AX18" t="s">
        <v>74</v>
      </c>
      <c r="AY18" t="s">
        <v>74</v>
      </c>
      <c r="AZ18" t="s">
        <v>74</v>
      </c>
      <c r="BA18" t="s">
        <v>74</v>
      </c>
      <c r="BB18">
        <v>444</v>
      </c>
      <c r="BC18">
        <v>448</v>
      </c>
      <c r="BD18" t="s">
        <v>74</v>
      </c>
      <c r="BE18" t="s">
        <v>438</v>
      </c>
      <c r="BF18" t="str">
        <f>HYPERLINK("http://dx.doi.org/10.1038/nature11631","http://dx.doi.org/10.1038/nature11631")</f>
        <v>http://dx.doi.org/10.1038/nature11631</v>
      </c>
      <c r="BG18" t="s">
        <v>74</v>
      </c>
      <c r="BH18" t="s">
        <v>74</v>
      </c>
      <c r="BI18">
        <v>5</v>
      </c>
      <c r="BJ18" t="s">
        <v>153</v>
      </c>
      <c r="BK18" t="s">
        <v>98</v>
      </c>
      <c r="BL18" t="s">
        <v>154</v>
      </c>
      <c r="BM18" t="s">
        <v>439</v>
      </c>
      <c r="BN18">
        <v>23123857</v>
      </c>
      <c r="BO18" t="s">
        <v>74</v>
      </c>
      <c r="BP18" t="s">
        <v>74</v>
      </c>
      <c r="BQ18" t="s">
        <v>74</v>
      </c>
      <c r="BR18" t="s">
        <v>101</v>
      </c>
      <c r="BS18" t="s">
        <v>440</v>
      </c>
      <c r="BT18" t="str">
        <f>HYPERLINK("https%3A%2F%2Fwww.webofscience.com%2Fwos%2Fwoscc%2Ffull-record%2FWOS:000311031600046","View Full Record in Web of Science")</f>
        <v>View Full Record in Web of Science</v>
      </c>
    </row>
    <row r="19" spans="1:72" x14ac:dyDescent="0.15">
      <c r="A19" t="s">
        <v>72</v>
      </c>
      <c r="B19" t="s">
        <v>441</v>
      </c>
      <c r="C19" t="s">
        <v>74</v>
      </c>
      <c r="D19" t="s">
        <v>74</v>
      </c>
      <c r="E19" t="s">
        <v>74</v>
      </c>
      <c r="F19" t="s">
        <v>442</v>
      </c>
      <c r="G19" t="s">
        <v>74</v>
      </c>
      <c r="H19" t="s">
        <v>74</v>
      </c>
      <c r="I19" t="s">
        <v>443</v>
      </c>
      <c r="J19" t="s">
        <v>444</v>
      </c>
      <c r="K19" t="s">
        <v>74</v>
      </c>
      <c r="L19" t="s">
        <v>74</v>
      </c>
      <c r="M19" t="s">
        <v>78</v>
      </c>
      <c r="N19" t="s">
        <v>79</v>
      </c>
      <c r="O19" t="s">
        <v>74</v>
      </c>
      <c r="P19" t="s">
        <v>74</v>
      </c>
      <c r="Q19" t="s">
        <v>74</v>
      </c>
      <c r="R19" t="s">
        <v>74</v>
      </c>
      <c r="S19" t="s">
        <v>74</v>
      </c>
      <c r="T19" t="s">
        <v>74</v>
      </c>
      <c r="U19" t="s">
        <v>445</v>
      </c>
      <c r="V19" t="s">
        <v>446</v>
      </c>
      <c r="W19" t="s">
        <v>447</v>
      </c>
      <c r="X19" t="s">
        <v>448</v>
      </c>
      <c r="Y19" t="s">
        <v>449</v>
      </c>
      <c r="Z19" t="s">
        <v>450</v>
      </c>
      <c r="AA19" t="s">
        <v>74</v>
      </c>
      <c r="AB19" t="s">
        <v>74</v>
      </c>
      <c r="AC19" t="s">
        <v>451</v>
      </c>
      <c r="AD19" t="s">
        <v>452</v>
      </c>
      <c r="AE19" t="s">
        <v>453</v>
      </c>
      <c r="AF19" t="s">
        <v>74</v>
      </c>
      <c r="AG19">
        <v>23</v>
      </c>
      <c r="AH19">
        <v>33</v>
      </c>
      <c r="AI19">
        <v>33</v>
      </c>
      <c r="AJ19">
        <v>0</v>
      </c>
      <c r="AK19">
        <v>10</v>
      </c>
      <c r="AL19" t="s">
        <v>118</v>
      </c>
      <c r="AM19" t="s">
        <v>119</v>
      </c>
      <c r="AN19" t="s">
        <v>120</v>
      </c>
      <c r="AO19" t="s">
        <v>454</v>
      </c>
      <c r="AP19" t="s">
        <v>455</v>
      </c>
      <c r="AQ19" t="s">
        <v>74</v>
      </c>
      <c r="AR19" t="s">
        <v>456</v>
      </c>
      <c r="AS19" t="s">
        <v>457</v>
      </c>
      <c r="AT19" t="s">
        <v>458</v>
      </c>
      <c r="AU19">
        <v>2012</v>
      </c>
      <c r="AV19">
        <v>39</v>
      </c>
      <c r="AW19" t="s">
        <v>74</v>
      </c>
      <c r="AX19" t="s">
        <v>74</v>
      </c>
      <c r="AY19" t="s">
        <v>74</v>
      </c>
      <c r="AZ19" t="s">
        <v>74</v>
      </c>
      <c r="BA19" t="s">
        <v>74</v>
      </c>
      <c r="BB19" t="s">
        <v>74</v>
      </c>
      <c r="BC19" t="s">
        <v>74</v>
      </c>
      <c r="BD19" t="s">
        <v>459</v>
      </c>
      <c r="BE19" t="s">
        <v>460</v>
      </c>
      <c r="BF19" t="str">
        <f>HYPERLINK("http://dx.doi.org/10.1029/2012GL053787","http://dx.doi.org/10.1029/2012GL053787")</f>
        <v>http://dx.doi.org/10.1029/2012GL053787</v>
      </c>
      <c r="BG19" t="s">
        <v>74</v>
      </c>
      <c r="BH19" t="s">
        <v>74</v>
      </c>
      <c r="BI19">
        <v>5</v>
      </c>
      <c r="BJ19" t="s">
        <v>461</v>
      </c>
      <c r="BK19" t="s">
        <v>98</v>
      </c>
      <c r="BL19" t="s">
        <v>462</v>
      </c>
      <c r="BM19" t="s">
        <v>463</v>
      </c>
      <c r="BN19" t="s">
        <v>74</v>
      </c>
      <c r="BO19" t="s">
        <v>464</v>
      </c>
      <c r="BP19" t="s">
        <v>74</v>
      </c>
      <c r="BQ19" t="s">
        <v>74</v>
      </c>
      <c r="BR19" t="s">
        <v>101</v>
      </c>
      <c r="BS19" t="s">
        <v>465</v>
      </c>
      <c r="BT19" t="str">
        <f>HYPERLINK("https%3A%2F%2Fwww.webofscience.com%2Fwos%2Fwoscc%2Ffull-record%2FWOS:000311213400004","View Full Record in Web of Science")</f>
        <v>View Full Record in Web of Science</v>
      </c>
    </row>
    <row r="20" spans="1:72" x14ac:dyDescent="0.15">
      <c r="A20" t="s">
        <v>72</v>
      </c>
      <c r="B20" t="s">
        <v>466</v>
      </c>
      <c r="C20" t="s">
        <v>74</v>
      </c>
      <c r="D20" t="s">
        <v>74</v>
      </c>
      <c r="E20" t="s">
        <v>74</v>
      </c>
      <c r="F20" t="s">
        <v>467</v>
      </c>
      <c r="G20" t="s">
        <v>74</v>
      </c>
      <c r="H20" t="s">
        <v>468</v>
      </c>
      <c r="I20" t="s">
        <v>469</v>
      </c>
      <c r="J20" t="s">
        <v>470</v>
      </c>
      <c r="K20" t="s">
        <v>74</v>
      </c>
      <c r="L20" t="s">
        <v>74</v>
      </c>
      <c r="M20" t="s">
        <v>78</v>
      </c>
      <c r="N20" t="s">
        <v>471</v>
      </c>
      <c r="O20" t="s">
        <v>472</v>
      </c>
      <c r="P20" t="s">
        <v>473</v>
      </c>
      <c r="Q20" t="s">
        <v>474</v>
      </c>
      <c r="R20" t="s">
        <v>74</v>
      </c>
      <c r="S20" t="s">
        <v>475</v>
      </c>
      <c r="T20" t="s">
        <v>476</v>
      </c>
      <c r="U20" t="s">
        <v>477</v>
      </c>
      <c r="V20" t="s">
        <v>478</v>
      </c>
      <c r="W20" t="s">
        <v>479</v>
      </c>
      <c r="X20" t="s">
        <v>480</v>
      </c>
      <c r="Y20" t="s">
        <v>481</v>
      </c>
      <c r="Z20" t="s">
        <v>482</v>
      </c>
      <c r="AA20" t="s">
        <v>483</v>
      </c>
      <c r="AB20" t="s">
        <v>484</v>
      </c>
      <c r="AC20" t="s">
        <v>74</v>
      </c>
      <c r="AD20" t="s">
        <v>74</v>
      </c>
      <c r="AE20" t="s">
        <v>74</v>
      </c>
      <c r="AF20" t="s">
        <v>74</v>
      </c>
      <c r="AG20">
        <v>10</v>
      </c>
      <c r="AH20">
        <v>10</v>
      </c>
      <c r="AI20">
        <v>12</v>
      </c>
      <c r="AJ20">
        <v>0</v>
      </c>
      <c r="AK20">
        <v>4</v>
      </c>
      <c r="AL20" t="s">
        <v>259</v>
      </c>
      <c r="AM20" t="s">
        <v>189</v>
      </c>
      <c r="AN20" t="s">
        <v>260</v>
      </c>
      <c r="AO20" t="s">
        <v>485</v>
      </c>
      <c r="AP20" t="s">
        <v>74</v>
      </c>
      <c r="AQ20" t="s">
        <v>74</v>
      </c>
      <c r="AR20" t="s">
        <v>486</v>
      </c>
      <c r="AS20" t="s">
        <v>487</v>
      </c>
      <c r="AT20" t="s">
        <v>488</v>
      </c>
      <c r="AU20">
        <v>2012</v>
      </c>
      <c r="AV20">
        <v>692</v>
      </c>
      <c r="AW20" t="s">
        <v>74</v>
      </c>
      <c r="AX20" t="s">
        <v>74</v>
      </c>
      <c r="AY20" t="s">
        <v>74</v>
      </c>
      <c r="AZ20" t="s">
        <v>74</v>
      </c>
      <c r="BA20" t="s">
        <v>74</v>
      </c>
      <c r="BB20">
        <v>180</v>
      </c>
      <c r="BC20">
        <v>183</v>
      </c>
      <c r="BD20" t="s">
        <v>74</v>
      </c>
      <c r="BE20" t="s">
        <v>489</v>
      </c>
      <c r="BF20" t="str">
        <f>HYPERLINK("http://dx.doi.org/10.1016/j.nima.2011.12.067","http://dx.doi.org/10.1016/j.nima.2011.12.067")</f>
        <v>http://dx.doi.org/10.1016/j.nima.2011.12.067</v>
      </c>
      <c r="BG20" t="s">
        <v>74</v>
      </c>
      <c r="BH20" t="s">
        <v>74</v>
      </c>
      <c r="BI20">
        <v>4</v>
      </c>
      <c r="BJ20" t="s">
        <v>490</v>
      </c>
      <c r="BK20" t="s">
        <v>491</v>
      </c>
      <c r="BL20" t="s">
        <v>492</v>
      </c>
      <c r="BM20" t="s">
        <v>493</v>
      </c>
      <c r="BN20" t="s">
        <v>74</v>
      </c>
      <c r="BO20" t="s">
        <v>494</v>
      </c>
      <c r="BP20" t="s">
        <v>74</v>
      </c>
      <c r="BQ20" t="s">
        <v>74</v>
      </c>
      <c r="BR20" t="s">
        <v>101</v>
      </c>
      <c r="BS20" t="s">
        <v>495</v>
      </c>
      <c r="BT20" t="str">
        <f>HYPERLINK("https%3A%2F%2Fwww.webofscience.com%2Fwos%2Fwoscc%2Ffull-record%2FWOS:000309786000034","View Full Record in Web of Science")</f>
        <v>View Full Record in Web of Science</v>
      </c>
    </row>
    <row r="21" spans="1:72" x14ac:dyDescent="0.15">
      <c r="A21" t="s">
        <v>72</v>
      </c>
      <c r="B21" t="s">
        <v>496</v>
      </c>
      <c r="C21" t="s">
        <v>74</v>
      </c>
      <c r="D21" t="s">
        <v>74</v>
      </c>
      <c r="E21" t="s">
        <v>74</v>
      </c>
      <c r="F21" t="s">
        <v>497</v>
      </c>
      <c r="G21" t="s">
        <v>74</v>
      </c>
      <c r="H21" t="s">
        <v>74</v>
      </c>
      <c r="I21" t="s">
        <v>498</v>
      </c>
      <c r="J21" t="s">
        <v>499</v>
      </c>
      <c r="K21" t="s">
        <v>74</v>
      </c>
      <c r="L21" t="s">
        <v>74</v>
      </c>
      <c r="M21" t="s">
        <v>78</v>
      </c>
      <c r="N21" t="s">
        <v>79</v>
      </c>
      <c r="O21" t="s">
        <v>74</v>
      </c>
      <c r="P21" t="s">
        <v>74</v>
      </c>
      <c r="Q21" t="s">
        <v>74</v>
      </c>
      <c r="R21" t="s">
        <v>74</v>
      </c>
      <c r="S21" t="s">
        <v>74</v>
      </c>
      <c r="T21" t="s">
        <v>500</v>
      </c>
      <c r="U21" t="s">
        <v>501</v>
      </c>
      <c r="V21" t="s">
        <v>502</v>
      </c>
      <c r="W21" t="s">
        <v>503</v>
      </c>
      <c r="X21" t="s">
        <v>504</v>
      </c>
      <c r="Y21" t="s">
        <v>505</v>
      </c>
      <c r="Z21" t="s">
        <v>74</v>
      </c>
      <c r="AA21" t="s">
        <v>74</v>
      </c>
      <c r="AB21" t="s">
        <v>506</v>
      </c>
      <c r="AC21" t="s">
        <v>507</v>
      </c>
      <c r="AD21" t="s">
        <v>507</v>
      </c>
      <c r="AE21" t="s">
        <v>508</v>
      </c>
      <c r="AF21" t="s">
        <v>74</v>
      </c>
      <c r="AG21">
        <v>82</v>
      </c>
      <c r="AH21">
        <v>3</v>
      </c>
      <c r="AI21">
        <v>4</v>
      </c>
      <c r="AJ21">
        <v>0</v>
      </c>
      <c r="AK21">
        <v>43</v>
      </c>
      <c r="AL21" t="s">
        <v>188</v>
      </c>
      <c r="AM21" t="s">
        <v>189</v>
      </c>
      <c r="AN21" t="s">
        <v>190</v>
      </c>
      <c r="AO21" t="s">
        <v>509</v>
      </c>
      <c r="AP21" t="s">
        <v>510</v>
      </c>
      <c r="AQ21" t="s">
        <v>74</v>
      </c>
      <c r="AR21" t="s">
        <v>511</v>
      </c>
      <c r="AS21" t="s">
        <v>512</v>
      </c>
      <c r="AT21" t="s">
        <v>513</v>
      </c>
      <c r="AU21">
        <v>2012</v>
      </c>
      <c r="AV21">
        <v>246</v>
      </c>
      <c r="AW21" t="s">
        <v>74</v>
      </c>
      <c r="AX21" t="s">
        <v>74</v>
      </c>
      <c r="AY21" t="s">
        <v>74</v>
      </c>
      <c r="AZ21" t="s">
        <v>74</v>
      </c>
      <c r="BA21" t="s">
        <v>74</v>
      </c>
      <c r="BB21">
        <v>68</v>
      </c>
      <c r="BC21">
        <v>78</v>
      </c>
      <c r="BD21" t="s">
        <v>74</v>
      </c>
      <c r="BE21" t="s">
        <v>514</v>
      </c>
      <c r="BF21" t="str">
        <f>HYPERLINK("http://dx.doi.org/10.1016/j.ecolmodel.2012.06.034","http://dx.doi.org/10.1016/j.ecolmodel.2012.06.034")</f>
        <v>http://dx.doi.org/10.1016/j.ecolmodel.2012.06.034</v>
      </c>
      <c r="BG21" t="s">
        <v>74</v>
      </c>
      <c r="BH21" t="s">
        <v>74</v>
      </c>
      <c r="BI21">
        <v>11</v>
      </c>
      <c r="BJ21" t="s">
        <v>515</v>
      </c>
      <c r="BK21" t="s">
        <v>98</v>
      </c>
      <c r="BL21" t="s">
        <v>333</v>
      </c>
      <c r="BM21" t="s">
        <v>516</v>
      </c>
      <c r="BN21" t="s">
        <v>74</v>
      </c>
      <c r="BO21" t="s">
        <v>74</v>
      </c>
      <c r="BP21" t="s">
        <v>74</v>
      </c>
      <c r="BQ21" t="s">
        <v>74</v>
      </c>
      <c r="BR21" t="s">
        <v>101</v>
      </c>
      <c r="BS21" t="s">
        <v>517</v>
      </c>
      <c r="BT21" t="str">
        <f>HYPERLINK("https%3A%2F%2Fwww.webofscience.com%2Fwos%2Fwoscc%2Ffull-record%2FWOS:000310255100007","View Full Record in Web of Science")</f>
        <v>View Full Record in Web of Science</v>
      </c>
    </row>
    <row r="22" spans="1:72" x14ac:dyDescent="0.15">
      <c r="A22" t="s">
        <v>72</v>
      </c>
      <c r="B22" t="s">
        <v>518</v>
      </c>
      <c r="C22" t="s">
        <v>74</v>
      </c>
      <c r="D22" t="s">
        <v>74</v>
      </c>
      <c r="E22" t="s">
        <v>74</v>
      </c>
      <c r="F22" t="s">
        <v>519</v>
      </c>
      <c r="G22" t="s">
        <v>74</v>
      </c>
      <c r="H22" t="s">
        <v>74</v>
      </c>
      <c r="I22" t="s">
        <v>520</v>
      </c>
      <c r="J22" t="s">
        <v>444</v>
      </c>
      <c r="K22" t="s">
        <v>74</v>
      </c>
      <c r="L22" t="s">
        <v>74</v>
      </c>
      <c r="M22" t="s">
        <v>78</v>
      </c>
      <c r="N22" t="s">
        <v>79</v>
      </c>
      <c r="O22" t="s">
        <v>74</v>
      </c>
      <c r="P22" t="s">
        <v>74</v>
      </c>
      <c r="Q22" t="s">
        <v>74</v>
      </c>
      <c r="R22" t="s">
        <v>74</v>
      </c>
      <c r="S22" t="s">
        <v>74</v>
      </c>
      <c r="T22" t="s">
        <v>74</v>
      </c>
      <c r="U22" t="s">
        <v>521</v>
      </c>
      <c r="V22" t="s">
        <v>522</v>
      </c>
      <c r="W22" t="s">
        <v>523</v>
      </c>
      <c r="X22" t="s">
        <v>524</v>
      </c>
      <c r="Y22" t="s">
        <v>525</v>
      </c>
      <c r="Z22" t="s">
        <v>526</v>
      </c>
      <c r="AA22" t="s">
        <v>527</v>
      </c>
      <c r="AB22" t="s">
        <v>528</v>
      </c>
      <c r="AC22" t="s">
        <v>529</v>
      </c>
      <c r="AD22" t="s">
        <v>530</v>
      </c>
      <c r="AE22" t="s">
        <v>531</v>
      </c>
      <c r="AF22" t="s">
        <v>74</v>
      </c>
      <c r="AG22">
        <v>24</v>
      </c>
      <c r="AH22">
        <v>90</v>
      </c>
      <c r="AI22">
        <v>98</v>
      </c>
      <c r="AJ22">
        <v>2</v>
      </c>
      <c r="AK22">
        <v>65</v>
      </c>
      <c r="AL22" t="s">
        <v>118</v>
      </c>
      <c r="AM22" t="s">
        <v>119</v>
      </c>
      <c r="AN22" t="s">
        <v>120</v>
      </c>
      <c r="AO22" t="s">
        <v>454</v>
      </c>
      <c r="AP22" t="s">
        <v>74</v>
      </c>
      <c r="AQ22" t="s">
        <v>74</v>
      </c>
      <c r="AR22" t="s">
        <v>456</v>
      </c>
      <c r="AS22" t="s">
        <v>457</v>
      </c>
      <c r="AT22" t="s">
        <v>513</v>
      </c>
      <c r="AU22">
        <v>2012</v>
      </c>
      <c r="AV22">
        <v>39</v>
      </c>
      <c r="AW22" t="s">
        <v>74</v>
      </c>
      <c r="AX22" t="s">
        <v>74</v>
      </c>
      <c r="AY22" t="s">
        <v>74</v>
      </c>
      <c r="AZ22" t="s">
        <v>74</v>
      </c>
      <c r="BA22" t="s">
        <v>74</v>
      </c>
      <c r="BB22" t="s">
        <v>74</v>
      </c>
      <c r="BC22" t="s">
        <v>74</v>
      </c>
      <c r="BD22" t="s">
        <v>532</v>
      </c>
      <c r="BE22" t="s">
        <v>533</v>
      </c>
      <c r="BF22" t="str">
        <f>HYPERLINK("http://dx.doi.org/10.1029/2012GL053478","http://dx.doi.org/10.1029/2012GL053478")</f>
        <v>http://dx.doi.org/10.1029/2012GL053478</v>
      </c>
      <c r="BG22" t="s">
        <v>74</v>
      </c>
      <c r="BH22" t="s">
        <v>74</v>
      </c>
      <c r="BI22">
        <v>5</v>
      </c>
      <c r="BJ22" t="s">
        <v>461</v>
      </c>
      <c r="BK22" t="s">
        <v>98</v>
      </c>
      <c r="BL22" t="s">
        <v>462</v>
      </c>
      <c r="BM22" t="s">
        <v>534</v>
      </c>
      <c r="BN22" t="s">
        <v>74</v>
      </c>
      <c r="BO22" t="s">
        <v>535</v>
      </c>
      <c r="BP22" t="s">
        <v>74</v>
      </c>
      <c r="BQ22" t="s">
        <v>74</v>
      </c>
      <c r="BR22" t="s">
        <v>101</v>
      </c>
      <c r="BS22" t="s">
        <v>536</v>
      </c>
      <c r="BT22" t="str">
        <f>HYPERLINK("https%3A%2F%2Fwww.webofscience.com%2Fwos%2Fwoscc%2Ffull-record%2FWOS:000310963500001","View Full Record in Web of Science")</f>
        <v>View Full Record in Web of Science</v>
      </c>
    </row>
    <row r="23" spans="1:72" x14ac:dyDescent="0.15">
      <c r="A23" t="s">
        <v>72</v>
      </c>
      <c r="B23" t="s">
        <v>537</v>
      </c>
      <c r="C23" t="s">
        <v>74</v>
      </c>
      <c r="D23" t="s">
        <v>74</v>
      </c>
      <c r="E23" t="s">
        <v>74</v>
      </c>
      <c r="F23" t="s">
        <v>537</v>
      </c>
      <c r="G23" t="s">
        <v>74</v>
      </c>
      <c r="H23" t="s">
        <v>74</v>
      </c>
      <c r="I23" t="s">
        <v>538</v>
      </c>
      <c r="J23" t="s">
        <v>539</v>
      </c>
      <c r="K23" t="s">
        <v>74</v>
      </c>
      <c r="L23" t="s">
        <v>74</v>
      </c>
      <c r="M23" t="s">
        <v>78</v>
      </c>
      <c r="N23" t="s">
        <v>540</v>
      </c>
      <c r="O23" t="s">
        <v>74</v>
      </c>
      <c r="P23" t="s">
        <v>74</v>
      </c>
      <c r="Q23" t="s">
        <v>74</v>
      </c>
      <c r="R23" t="s">
        <v>74</v>
      </c>
      <c r="S23" t="s">
        <v>74</v>
      </c>
      <c r="T23" t="s">
        <v>74</v>
      </c>
      <c r="U23" t="s">
        <v>74</v>
      </c>
      <c r="V23" t="s">
        <v>74</v>
      </c>
      <c r="W23" t="s">
        <v>74</v>
      </c>
      <c r="X23" t="s">
        <v>74</v>
      </c>
      <c r="Y23" t="s">
        <v>74</v>
      </c>
      <c r="Z23" t="s">
        <v>74</v>
      </c>
      <c r="AA23" t="s">
        <v>74</v>
      </c>
      <c r="AB23" t="s">
        <v>74</v>
      </c>
      <c r="AC23" t="s">
        <v>74</v>
      </c>
      <c r="AD23" t="s">
        <v>74</v>
      </c>
      <c r="AE23" t="s">
        <v>74</v>
      </c>
      <c r="AF23" t="s">
        <v>74</v>
      </c>
      <c r="AG23">
        <v>0</v>
      </c>
      <c r="AH23">
        <v>0</v>
      </c>
      <c r="AI23">
        <v>0</v>
      </c>
      <c r="AJ23">
        <v>0</v>
      </c>
      <c r="AK23">
        <v>1</v>
      </c>
      <c r="AL23" t="s">
        <v>541</v>
      </c>
      <c r="AM23" t="s">
        <v>119</v>
      </c>
      <c r="AN23" t="s">
        <v>542</v>
      </c>
      <c r="AO23" t="s">
        <v>543</v>
      </c>
      <c r="AP23" t="s">
        <v>74</v>
      </c>
      <c r="AQ23" t="s">
        <v>74</v>
      </c>
      <c r="AR23" t="s">
        <v>539</v>
      </c>
      <c r="AS23" t="s">
        <v>544</v>
      </c>
      <c r="AT23" t="s">
        <v>545</v>
      </c>
      <c r="AU23">
        <v>2012</v>
      </c>
      <c r="AV23">
        <v>338</v>
      </c>
      <c r="AW23">
        <v>6108</v>
      </c>
      <c r="AX23" t="s">
        <v>74</v>
      </c>
      <c r="AY23" t="s">
        <v>74</v>
      </c>
      <c r="AZ23" t="s">
        <v>74</v>
      </c>
      <c r="BA23" t="s">
        <v>74</v>
      </c>
      <c r="BB23">
        <v>726</v>
      </c>
      <c r="BC23">
        <v>726</v>
      </c>
      <c r="BD23" t="s">
        <v>74</v>
      </c>
      <c r="BE23" t="s">
        <v>74</v>
      </c>
      <c r="BF23" t="s">
        <v>74</v>
      </c>
      <c r="BG23" t="s">
        <v>74</v>
      </c>
      <c r="BH23" t="s">
        <v>74</v>
      </c>
      <c r="BI23">
        <v>1</v>
      </c>
      <c r="BJ23" t="s">
        <v>153</v>
      </c>
      <c r="BK23" t="s">
        <v>98</v>
      </c>
      <c r="BL23" t="s">
        <v>154</v>
      </c>
      <c r="BM23" t="s">
        <v>546</v>
      </c>
      <c r="BN23" t="s">
        <v>74</v>
      </c>
      <c r="BO23" t="s">
        <v>74</v>
      </c>
      <c r="BP23" t="s">
        <v>74</v>
      </c>
      <c r="BQ23" t="s">
        <v>74</v>
      </c>
      <c r="BR23" t="s">
        <v>101</v>
      </c>
      <c r="BS23" t="s">
        <v>547</v>
      </c>
      <c r="BT23" t="str">
        <f>HYPERLINK("https%3A%2F%2Fwww.webofscience.com%2Fwos%2Fwoscc%2Ffull-record%2FWOS:000310839500002","View Full Record in Web of Science")</f>
        <v>View Full Record in Web of Science</v>
      </c>
    </row>
    <row r="24" spans="1:72" x14ac:dyDescent="0.15">
      <c r="A24" t="s">
        <v>72</v>
      </c>
      <c r="B24" t="s">
        <v>548</v>
      </c>
      <c r="C24" t="s">
        <v>74</v>
      </c>
      <c r="D24" t="s">
        <v>74</v>
      </c>
      <c r="E24" t="s">
        <v>74</v>
      </c>
      <c r="F24" t="s">
        <v>549</v>
      </c>
      <c r="G24" t="s">
        <v>74</v>
      </c>
      <c r="H24" t="s">
        <v>74</v>
      </c>
      <c r="I24" t="s">
        <v>550</v>
      </c>
      <c r="J24" t="s">
        <v>551</v>
      </c>
      <c r="K24" t="s">
        <v>74</v>
      </c>
      <c r="L24" t="s">
        <v>74</v>
      </c>
      <c r="M24" t="s">
        <v>78</v>
      </c>
      <c r="N24" t="s">
        <v>79</v>
      </c>
      <c r="O24" t="s">
        <v>74</v>
      </c>
      <c r="P24" t="s">
        <v>74</v>
      </c>
      <c r="Q24" t="s">
        <v>74</v>
      </c>
      <c r="R24" t="s">
        <v>74</v>
      </c>
      <c r="S24" t="s">
        <v>74</v>
      </c>
      <c r="T24" t="s">
        <v>74</v>
      </c>
      <c r="U24" t="s">
        <v>552</v>
      </c>
      <c r="V24" t="s">
        <v>553</v>
      </c>
      <c r="W24" t="s">
        <v>554</v>
      </c>
      <c r="X24" t="s">
        <v>555</v>
      </c>
      <c r="Y24" t="s">
        <v>556</v>
      </c>
      <c r="Z24" t="s">
        <v>557</v>
      </c>
      <c r="AA24" t="s">
        <v>558</v>
      </c>
      <c r="AB24" t="s">
        <v>559</v>
      </c>
      <c r="AC24" t="s">
        <v>560</v>
      </c>
      <c r="AD24" t="s">
        <v>561</v>
      </c>
      <c r="AE24" t="s">
        <v>562</v>
      </c>
      <c r="AF24" t="s">
        <v>74</v>
      </c>
      <c r="AG24">
        <v>68</v>
      </c>
      <c r="AH24">
        <v>23</v>
      </c>
      <c r="AI24">
        <v>26</v>
      </c>
      <c r="AJ24">
        <v>0</v>
      </c>
      <c r="AK24">
        <v>16</v>
      </c>
      <c r="AL24" t="s">
        <v>118</v>
      </c>
      <c r="AM24" t="s">
        <v>119</v>
      </c>
      <c r="AN24" t="s">
        <v>120</v>
      </c>
      <c r="AO24" t="s">
        <v>563</v>
      </c>
      <c r="AP24" t="s">
        <v>564</v>
      </c>
      <c r="AQ24" t="s">
        <v>74</v>
      </c>
      <c r="AR24" t="s">
        <v>565</v>
      </c>
      <c r="AS24" t="s">
        <v>566</v>
      </c>
      <c r="AT24" t="s">
        <v>545</v>
      </c>
      <c r="AU24">
        <v>2012</v>
      </c>
      <c r="AV24">
        <v>117</v>
      </c>
      <c r="AW24" t="s">
        <v>74</v>
      </c>
      <c r="AX24" t="s">
        <v>74</v>
      </c>
      <c r="AY24" t="s">
        <v>74</v>
      </c>
      <c r="AZ24" t="s">
        <v>74</v>
      </c>
      <c r="BA24" t="s">
        <v>74</v>
      </c>
      <c r="BB24" t="s">
        <v>74</v>
      </c>
      <c r="BC24" t="s">
        <v>74</v>
      </c>
      <c r="BD24" t="s">
        <v>567</v>
      </c>
      <c r="BE24" t="s">
        <v>568</v>
      </c>
      <c r="BF24" t="str">
        <f>HYPERLINK("http://dx.doi.org/10.1029/2012JF002357","http://dx.doi.org/10.1029/2012JF002357")</f>
        <v>http://dx.doi.org/10.1029/2012JF002357</v>
      </c>
      <c r="BG24" t="s">
        <v>74</v>
      </c>
      <c r="BH24" t="s">
        <v>74</v>
      </c>
      <c r="BI24">
        <v>11</v>
      </c>
      <c r="BJ24" t="s">
        <v>461</v>
      </c>
      <c r="BK24" t="s">
        <v>98</v>
      </c>
      <c r="BL24" t="s">
        <v>462</v>
      </c>
      <c r="BM24" t="s">
        <v>569</v>
      </c>
      <c r="BN24" t="s">
        <v>74</v>
      </c>
      <c r="BO24" t="s">
        <v>416</v>
      </c>
      <c r="BP24" t="s">
        <v>74</v>
      </c>
      <c r="BQ24" t="s">
        <v>74</v>
      </c>
      <c r="BR24" t="s">
        <v>101</v>
      </c>
      <c r="BS24" t="s">
        <v>570</v>
      </c>
      <c r="BT24" t="str">
        <f>HYPERLINK("https%3A%2F%2Fwww.webofscience.com%2Fwos%2Fwoscc%2Ffull-record%2FWOS:000310961200001","View Full Record in Web of Science")</f>
        <v>View Full Record in Web of Science</v>
      </c>
    </row>
    <row r="25" spans="1:72" x14ac:dyDescent="0.15">
      <c r="A25" t="s">
        <v>72</v>
      </c>
      <c r="B25" t="s">
        <v>571</v>
      </c>
      <c r="C25" t="s">
        <v>74</v>
      </c>
      <c r="D25" t="s">
        <v>74</v>
      </c>
      <c r="E25" t="s">
        <v>74</v>
      </c>
      <c r="F25" t="s">
        <v>572</v>
      </c>
      <c r="G25" t="s">
        <v>74</v>
      </c>
      <c r="H25" t="s">
        <v>74</v>
      </c>
      <c r="I25" t="s">
        <v>573</v>
      </c>
      <c r="J25" t="s">
        <v>77</v>
      </c>
      <c r="K25" t="s">
        <v>74</v>
      </c>
      <c r="L25" t="s">
        <v>74</v>
      </c>
      <c r="M25" t="s">
        <v>78</v>
      </c>
      <c r="N25" t="s">
        <v>79</v>
      </c>
      <c r="O25" t="s">
        <v>74</v>
      </c>
      <c r="P25" t="s">
        <v>74</v>
      </c>
      <c r="Q25" t="s">
        <v>74</v>
      </c>
      <c r="R25" t="s">
        <v>74</v>
      </c>
      <c r="S25" t="s">
        <v>74</v>
      </c>
      <c r="T25" t="s">
        <v>574</v>
      </c>
      <c r="U25" t="s">
        <v>575</v>
      </c>
      <c r="V25" t="s">
        <v>576</v>
      </c>
      <c r="W25" t="s">
        <v>577</v>
      </c>
      <c r="X25" t="s">
        <v>578</v>
      </c>
      <c r="Y25" t="s">
        <v>579</v>
      </c>
      <c r="Z25" t="s">
        <v>580</v>
      </c>
      <c r="AA25" t="s">
        <v>581</v>
      </c>
      <c r="AB25" t="s">
        <v>582</v>
      </c>
      <c r="AC25" t="s">
        <v>583</v>
      </c>
      <c r="AD25" t="s">
        <v>584</v>
      </c>
      <c r="AE25" t="s">
        <v>585</v>
      </c>
      <c r="AF25" t="s">
        <v>74</v>
      </c>
      <c r="AG25">
        <v>113</v>
      </c>
      <c r="AH25">
        <v>23</v>
      </c>
      <c r="AI25">
        <v>25</v>
      </c>
      <c r="AJ25">
        <v>1</v>
      </c>
      <c r="AK25">
        <v>61</v>
      </c>
      <c r="AL25" t="s">
        <v>89</v>
      </c>
      <c r="AM25" t="s">
        <v>90</v>
      </c>
      <c r="AN25" t="s">
        <v>91</v>
      </c>
      <c r="AO25" t="s">
        <v>92</v>
      </c>
      <c r="AP25" t="s">
        <v>74</v>
      </c>
      <c r="AQ25" t="s">
        <v>74</v>
      </c>
      <c r="AR25" t="s">
        <v>93</v>
      </c>
      <c r="AS25" t="s">
        <v>94</v>
      </c>
      <c r="AT25" t="s">
        <v>586</v>
      </c>
      <c r="AU25">
        <v>2012</v>
      </c>
      <c r="AV25">
        <v>55</v>
      </c>
      <c r="AW25" t="s">
        <v>74</v>
      </c>
      <c r="AX25" t="s">
        <v>74</v>
      </c>
      <c r="AY25" t="s">
        <v>74</v>
      </c>
      <c r="AZ25" t="s">
        <v>74</v>
      </c>
      <c r="BA25" t="s">
        <v>74</v>
      </c>
      <c r="BB25">
        <v>75</v>
      </c>
      <c r="BC25">
        <v>90</v>
      </c>
      <c r="BD25" t="s">
        <v>74</v>
      </c>
      <c r="BE25" t="s">
        <v>587</v>
      </c>
      <c r="BF25" t="str">
        <f>HYPERLINK("http://dx.doi.org/10.1016/j.quascirev.2012.09.003","http://dx.doi.org/10.1016/j.quascirev.2012.09.003")</f>
        <v>http://dx.doi.org/10.1016/j.quascirev.2012.09.003</v>
      </c>
      <c r="BG25" t="s">
        <v>74</v>
      </c>
      <c r="BH25" t="s">
        <v>74</v>
      </c>
      <c r="BI25">
        <v>16</v>
      </c>
      <c r="BJ25" t="s">
        <v>97</v>
      </c>
      <c r="BK25" t="s">
        <v>98</v>
      </c>
      <c r="BL25" t="s">
        <v>99</v>
      </c>
      <c r="BM25" t="s">
        <v>588</v>
      </c>
      <c r="BN25" t="s">
        <v>74</v>
      </c>
      <c r="BO25" t="s">
        <v>589</v>
      </c>
      <c r="BP25" t="s">
        <v>74</v>
      </c>
      <c r="BQ25" t="s">
        <v>74</v>
      </c>
      <c r="BR25" t="s">
        <v>101</v>
      </c>
      <c r="BS25" t="s">
        <v>590</v>
      </c>
      <c r="BT25" t="str">
        <f>HYPERLINK("https%3A%2F%2Fwww.webofscience.com%2Fwos%2Fwoscc%2Ffull-record%2FWOS:000311186100006","View Full Record in Web of Science")</f>
        <v>View Full Record in Web of Science</v>
      </c>
    </row>
    <row r="26" spans="1:72" x14ac:dyDescent="0.15">
      <c r="A26" t="s">
        <v>72</v>
      </c>
      <c r="B26" t="s">
        <v>591</v>
      </c>
      <c r="C26" t="s">
        <v>74</v>
      </c>
      <c r="D26" t="s">
        <v>74</v>
      </c>
      <c r="E26" t="s">
        <v>74</v>
      </c>
      <c r="F26" t="s">
        <v>592</v>
      </c>
      <c r="G26" t="s">
        <v>74</v>
      </c>
      <c r="H26" t="s">
        <v>74</v>
      </c>
      <c r="I26" t="s">
        <v>593</v>
      </c>
      <c r="J26" t="s">
        <v>444</v>
      </c>
      <c r="K26" t="s">
        <v>74</v>
      </c>
      <c r="L26" t="s">
        <v>74</v>
      </c>
      <c r="M26" t="s">
        <v>78</v>
      </c>
      <c r="N26" t="s">
        <v>79</v>
      </c>
      <c r="O26" t="s">
        <v>74</v>
      </c>
      <c r="P26" t="s">
        <v>74</v>
      </c>
      <c r="Q26" t="s">
        <v>74</v>
      </c>
      <c r="R26" t="s">
        <v>74</v>
      </c>
      <c r="S26" t="s">
        <v>74</v>
      </c>
      <c r="T26" t="s">
        <v>74</v>
      </c>
      <c r="U26" t="s">
        <v>594</v>
      </c>
      <c r="V26" t="s">
        <v>595</v>
      </c>
      <c r="W26" t="s">
        <v>596</v>
      </c>
      <c r="X26" t="s">
        <v>597</v>
      </c>
      <c r="Y26" t="s">
        <v>598</v>
      </c>
      <c r="Z26" t="s">
        <v>599</v>
      </c>
      <c r="AA26" t="s">
        <v>600</v>
      </c>
      <c r="AB26" t="s">
        <v>601</v>
      </c>
      <c r="AC26" t="s">
        <v>602</v>
      </c>
      <c r="AD26" t="s">
        <v>603</v>
      </c>
      <c r="AE26" t="s">
        <v>74</v>
      </c>
      <c r="AF26" t="s">
        <v>74</v>
      </c>
      <c r="AG26">
        <v>18</v>
      </c>
      <c r="AH26">
        <v>10</v>
      </c>
      <c r="AI26">
        <v>10</v>
      </c>
      <c r="AJ26">
        <v>0</v>
      </c>
      <c r="AK26">
        <v>20</v>
      </c>
      <c r="AL26" t="s">
        <v>118</v>
      </c>
      <c r="AM26" t="s">
        <v>119</v>
      </c>
      <c r="AN26" t="s">
        <v>120</v>
      </c>
      <c r="AO26" t="s">
        <v>454</v>
      </c>
      <c r="AP26" t="s">
        <v>455</v>
      </c>
      <c r="AQ26" t="s">
        <v>74</v>
      </c>
      <c r="AR26" t="s">
        <v>456</v>
      </c>
      <c r="AS26" t="s">
        <v>457</v>
      </c>
      <c r="AT26" t="s">
        <v>586</v>
      </c>
      <c r="AU26">
        <v>2012</v>
      </c>
      <c r="AV26">
        <v>39</v>
      </c>
      <c r="AW26" t="s">
        <v>74</v>
      </c>
      <c r="AX26" t="s">
        <v>74</v>
      </c>
      <c r="AY26" t="s">
        <v>74</v>
      </c>
      <c r="AZ26" t="s">
        <v>74</v>
      </c>
      <c r="BA26" t="s">
        <v>74</v>
      </c>
      <c r="BB26" t="s">
        <v>74</v>
      </c>
      <c r="BC26" t="s">
        <v>74</v>
      </c>
      <c r="BD26" t="s">
        <v>604</v>
      </c>
      <c r="BE26" t="s">
        <v>605</v>
      </c>
      <c r="BF26" t="str">
        <f>HYPERLINK("http://dx.doi.org/10.1029/2012GL053828","http://dx.doi.org/10.1029/2012GL053828")</f>
        <v>http://dx.doi.org/10.1029/2012GL053828</v>
      </c>
      <c r="BG26" t="s">
        <v>74</v>
      </c>
      <c r="BH26" t="s">
        <v>74</v>
      </c>
      <c r="BI26">
        <v>6</v>
      </c>
      <c r="BJ26" t="s">
        <v>461</v>
      </c>
      <c r="BK26" t="s">
        <v>98</v>
      </c>
      <c r="BL26" t="s">
        <v>462</v>
      </c>
      <c r="BM26" t="s">
        <v>606</v>
      </c>
      <c r="BN26" t="s">
        <v>74</v>
      </c>
      <c r="BO26" t="s">
        <v>607</v>
      </c>
      <c r="BP26" t="s">
        <v>74</v>
      </c>
      <c r="BQ26" t="s">
        <v>74</v>
      </c>
      <c r="BR26" t="s">
        <v>101</v>
      </c>
      <c r="BS26" t="s">
        <v>608</v>
      </c>
      <c r="BT26" t="str">
        <f>HYPERLINK("https%3A%2F%2Fwww.webofscience.com%2Fwos%2Fwoscc%2Ffull-record%2FWOS:000310963000004","View Full Record in Web of Science")</f>
        <v>View Full Record in Web of Science</v>
      </c>
    </row>
    <row r="27" spans="1:72" x14ac:dyDescent="0.15">
      <c r="A27" t="s">
        <v>72</v>
      </c>
      <c r="B27" t="s">
        <v>609</v>
      </c>
      <c r="C27" t="s">
        <v>74</v>
      </c>
      <c r="D27" t="s">
        <v>74</v>
      </c>
      <c r="E27" t="s">
        <v>74</v>
      </c>
      <c r="F27" t="s">
        <v>610</v>
      </c>
      <c r="G27" t="s">
        <v>74</v>
      </c>
      <c r="H27" t="s">
        <v>74</v>
      </c>
      <c r="I27" t="s">
        <v>611</v>
      </c>
      <c r="J27" t="s">
        <v>134</v>
      </c>
      <c r="K27" t="s">
        <v>74</v>
      </c>
      <c r="L27" t="s">
        <v>74</v>
      </c>
      <c r="M27" t="s">
        <v>78</v>
      </c>
      <c r="N27" t="s">
        <v>79</v>
      </c>
      <c r="O27" t="s">
        <v>74</v>
      </c>
      <c r="P27" t="s">
        <v>74</v>
      </c>
      <c r="Q27" t="s">
        <v>74</v>
      </c>
      <c r="R27" t="s">
        <v>74</v>
      </c>
      <c r="S27" t="s">
        <v>74</v>
      </c>
      <c r="T27" t="s">
        <v>74</v>
      </c>
      <c r="U27" t="s">
        <v>612</v>
      </c>
      <c r="V27" t="s">
        <v>613</v>
      </c>
      <c r="W27" t="s">
        <v>614</v>
      </c>
      <c r="X27" t="s">
        <v>615</v>
      </c>
      <c r="Y27" t="s">
        <v>616</v>
      </c>
      <c r="Z27" t="s">
        <v>617</v>
      </c>
      <c r="AA27" t="s">
        <v>618</v>
      </c>
      <c r="AB27" t="s">
        <v>619</v>
      </c>
      <c r="AC27" t="s">
        <v>620</v>
      </c>
      <c r="AD27" t="s">
        <v>621</v>
      </c>
      <c r="AE27" t="s">
        <v>622</v>
      </c>
      <c r="AF27" t="s">
        <v>74</v>
      </c>
      <c r="AG27">
        <v>84</v>
      </c>
      <c r="AH27">
        <v>17</v>
      </c>
      <c r="AI27">
        <v>20</v>
      </c>
      <c r="AJ27">
        <v>1</v>
      </c>
      <c r="AK27">
        <v>44</v>
      </c>
      <c r="AL27" t="s">
        <v>146</v>
      </c>
      <c r="AM27" t="s">
        <v>147</v>
      </c>
      <c r="AN27" t="s">
        <v>148</v>
      </c>
      <c r="AO27" t="s">
        <v>149</v>
      </c>
      <c r="AP27" t="s">
        <v>74</v>
      </c>
      <c r="AQ27" t="s">
        <v>74</v>
      </c>
      <c r="AR27" t="s">
        <v>134</v>
      </c>
      <c r="AS27" t="s">
        <v>150</v>
      </c>
      <c r="AT27" t="s">
        <v>586</v>
      </c>
      <c r="AU27">
        <v>2012</v>
      </c>
      <c r="AV27">
        <v>7</v>
      </c>
      <c r="AW27">
        <v>11</v>
      </c>
      <c r="AX27" t="s">
        <v>74</v>
      </c>
      <c r="AY27" t="s">
        <v>74</v>
      </c>
      <c r="AZ27" t="s">
        <v>74</v>
      </c>
      <c r="BA27" t="s">
        <v>74</v>
      </c>
      <c r="BB27" t="s">
        <v>74</v>
      </c>
      <c r="BC27" t="s">
        <v>74</v>
      </c>
      <c r="BD27" t="s">
        <v>623</v>
      </c>
      <c r="BE27" t="s">
        <v>624</v>
      </c>
      <c r="BF27" t="str">
        <f>HYPERLINK("http://dx.doi.org/10.1371/journal.pone.0049196","http://dx.doi.org/10.1371/journal.pone.0049196")</f>
        <v>http://dx.doi.org/10.1371/journal.pone.0049196</v>
      </c>
      <c r="BG27" t="s">
        <v>74</v>
      </c>
      <c r="BH27" t="s">
        <v>74</v>
      </c>
      <c r="BI27">
        <v>13</v>
      </c>
      <c r="BJ27" t="s">
        <v>153</v>
      </c>
      <c r="BK27" t="s">
        <v>98</v>
      </c>
      <c r="BL27" t="s">
        <v>154</v>
      </c>
      <c r="BM27" t="s">
        <v>625</v>
      </c>
      <c r="BN27">
        <v>23145122</v>
      </c>
      <c r="BO27" t="s">
        <v>626</v>
      </c>
      <c r="BP27" t="s">
        <v>74</v>
      </c>
      <c r="BQ27" t="s">
        <v>74</v>
      </c>
      <c r="BR27" t="s">
        <v>101</v>
      </c>
      <c r="BS27" t="s">
        <v>627</v>
      </c>
      <c r="BT27" t="str">
        <f>HYPERLINK("https%3A%2F%2Fwww.webofscience.com%2Fwos%2Fwoscc%2Ffull-record%2FWOS:000312269500088","View Full Record in Web of Science")</f>
        <v>View Full Record in Web of Science</v>
      </c>
    </row>
    <row r="28" spans="1:72" x14ac:dyDescent="0.15">
      <c r="A28" t="s">
        <v>72</v>
      </c>
      <c r="B28" t="s">
        <v>628</v>
      </c>
      <c r="C28" t="s">
        <v>74</v>
      </c>
      <c r="D28" t="s">
        <v>74</v>
      </c>
      <c r="E28" t="s">
        <v>74</v>
      </c>
      <c r="F28" t="s">
        <v>629</v>
      </c>
      <c r="G28" t="s">
        <v>74</v>
      </c>
      <c r="H28" t="s">
        <v>74</v>
      </c>
      <c r="I28" t="s">
        <v>630</v>
      </c>
      <c r="J28" t="s">
        <v>631</v>
      </c>
      <c r="K28" t="s">
        <v>74</v>
      </c>
      <c r="L28" t="s">
        <v>74</v>
      </c>
      <c r="M28" t="s">
        <v>78</v>
      </c>
      <c r="N28" t="s">
        <v>79</v>
      </c>
      <c r="O28" t="s">
        <v>74</v>
      </c>
      <c r="P28" t="s">
        <v>74</v>
      </c>
      <c r="Q28" t="s">
        <v>74</v>
      </c>
      <c r="R28" t="s">
        <v>74</v>
      </c>
      <c r="S28" t="s">
        <v>74</v>
      </c>
      <c r="T28" t="s">
        <v>632</v>
      </c>
      <c r="U28" t="s">
        <v>633</v>
      </c>
      <c r="V28" t="s">
        <v>634</v>
      </c>
      <c r="W28" t="s">
        <v>635</v>
      </c>
      <c r="X28" t="s">
        <v>636</v>
      </c>
      <c r="Y28" t="s">
        <v>637</v>
      </c>
      <c r="Z28" t="s">
        <v>638</v>
      </c>
      <c r="AA28" t="s">
        <v>639</v>
      </c>
      <c r="AB28" t="s">
        <v>640</v>
      </c>
      <c r="AC28" t="s">
        <v>641</v>
      </c>
      <c r="AD28" t="s">
        <v>642</v>
      </c>
      <c r="AE28" t="s">
        <v>643</v>
      </c>
      <c r="AF28" t="s">
        <v>74</v>
      </c>
      <c r="AG28">
        <v>57</v>
      </c>
      <c r="AH28">
        <v>25</v>
      </c>
      <c r="AI28">
        <v>25</v>
      </c>
      <c r="AJ28">
        <v>0</v>
      </c>
      <c r="AK28">
        <v>18</v>
      </c>
      <c r="AL28" t="s">
        <v>644</v>
      </c>
      <c r="AM28" t="s">
        <v>434</v>
      </c>
      <c r="AN28" t="s">
        <v>645</v>
      </c>
      <c r="AO28" t="s">
        <v>646</v>
      </c>
      <c r="AP28" t="s">
        <v>647</v>
      </c>
      <c r="AQ28" t="s">
        <v>74</v>
      </c>
      <c r="AR28" t="s">
        <v>648</v>
      </c>
      <c r="AS28" t="s">
        <v>649</v>
      </c>
      <c r="AT28" t="s">
        <v>586</v>
      </c>
      <c r="AU28">
        <v>2012</v>
      </c>
      <c r="AV28">
        <v>468</v>
      </c>
      <c r="AW28">
        <v>2147</v>
      </c>
      <c r="AX28" t="s">
        <v>74</v>
      </c>
      <c r="AY28" t="s">
        <v>74</v>
      </c>
      <c r="AZ28" t="s">
        <v>74</v>
      </c>
      <c r="BA28" t="s">
        <v>74</v>
      </c>
      <c r="BB28">
        <v>3285</v>
      </c>
      <c r="BC28">
        <v>3310</v>
      </c>
      <c r="BD28" t="s">
        <v>74</v>
      </c>
      <c r="BE28" t="s">
        <v>650</v>
      </c>
      <c r="BF28" t="str">
        <f>HYPERLINK("http://dx.doi.org/10.1098/rspa.2012.0180","http://dx.doi.org/10.1098/rspa.2012.0180")</f>
        <v>http://dx.doi.org/10.1098/rspa.2012.0180</v>
      </c>
      <c r="BG28" t="s">
        <v>74</v>
      </c>
      <c r="BH28" t="s">
        <v>74</v>
      </c>
      <c r="BI28">
        <v>26</v>
      </c>
      <c r="BJ28" t="s">
        <v>153</v>
      </c>
      <c r="BK28" t="s">
        <v>98</v>
      </c>
      <c r="BL28" t="s">
        <v>154</v>
      </c>
      <c r="BM28" t="s">
        <v>651</v>
      </c>
      <c r="BN28">
        <v>23197934</v>
      </c>
      <c r="BO28" t="s">
        <v>652</v>
      </c>
      <c r="BP28" t="s">
        <v>74</v>
      </c>
      <c r="BQ28" t="s">
        <v>74</v>
      </c>
      <c r="BR28" t="s">
        <v>101</v>
      </c>
      <c r="BS28" t="s">
        <v>653</v>
      </c>
      <c r="BT28" t="str">
        <f>HYPERLINK("https%3A%2F%2Fwww.webofscience.com%2Fwos%2Fwoscc%2Ffull-record%2FWOS:000309551900003","View Full Record in Web of Science")</f>
        <v>View Full Record in Web of Science</v>
      </c>
    </row>
    <row r="29" spans="1:72" x14ac:dyDescent="0.15">
      <c r="A29" t="s">
        <v>72</v>
      </c>
      <c r="B29" t="s">
        <v>654</v>
      </c>
      <c r="C29" t="s">
        <v>74</v>
      </c>
      <c r="D29" t="s">
        <v>74</v>
      </c>
      <c r="E29" t="s">
        <v>74</v>
      </c>
      <c r="F29" t="s">
        <v>655</v>
      </c>
      <c r="G29" t="s">
        <v>74</v>
      </c>
      <c r="H29" t="s">
        <v>74</v>
      </c>
      <c r="I29" t="s">
        <v>656</v>
      </c>
      <c r="J29" t="s">
        <v>657</v>
      </c>
      <c r="K29" t="s">
        <v>74</v>
      </c>
      <c r="L29" t="s">
        <v>74</v>
      </c>
      <c r="M29" t="s">
        <v>78</v>
      </c>
      <c r="N29" t="s">
        <v>79</v>
      </c>
      <c r="O29" t="s">
        <v>74</v>
      </c>
      <c r="P29" t="s">
        <v>74</v>
      </c>
      <c r="Q29" t="s">
        <v>74</v>
      </c>
      <c r="R29" t="s">
        <v>74</v>
      </c>
      <c r="S29" t="s">
        <v>74</v>
      </c>
      <c r="T29" t="s">
        <v>658</v>
      </c>
      <c r="U29" t="s">
        <v>659</v>
      </c>
      <c r="V29" t="s">
        <v>660</v>
      </c>
      <c r="W29" t="s">
        <v>661</v>
      </c>
      <c r="X29" t="s">
        <v>74</v>
      </c>
      <c r="Y29" t="s">
        <v>662</v>
      </c>
      <c r="Z29" t="s">
        <v>663</v>
      </c>
      <c r="AA29" t="s">
        <v>74</v>
      </c>
      <c r="AB29" t="s">
        <v>664</v>
      </c>
      <c r="AC29" t="s">
        <v>665</v>
      </c>
      <c r="AD29" t="s">
        <v>666</v>
      </c>
      <c r="AE29" t="s">
        <v>667</v>
      </c>
      <c r="AF29" t="s">
        <v>74</v>
      </c>
      <c r="AG29">
        <v>92</v>
      </c>
      <c r="AH29">
        <v>17</v>
      </c>
      <c r="AI29">
        <v>17</v>
      </c>
      <c r="AJ29">
        <v>1</v>
      </c>
      <c r="AK29">
        <v>14</v>
      </c>
      <c r="AL29" t="s">
        <v>668</v>
      </c>
      <c r="AM29" t="s">
        <v>669</v>
      </c>
      <c r="AN29" t="s">
        <v>670</v>
      </c>
      <c r="AO29" t="s">
        <v>671</v>
      </c>
      <c r="AP29" t="s">
        <v>672</v>
      </c>
      <c r="AQ29" t="s">
        <v>74</v>
      </c>
      <c r="AR29" t="s">
        <v>657</v>
      </c>
      <c r="AS29" t="s">
        <v>673</v>
      </c>
      <c r="AT29" t="s">
        <v>674</v>
      </c>
      <c r="AU29">
        <v>2012</v>
      </c>
      <c r="AV29" t="s">
        <v>74</v>
      </c>
      <c r="AW29">
        <v>3542</v>
      </c>
      <c r="AX29" t="s">
        <v>74</v>
      </c>
      <c r="AY29" t="s">
        <v>74</v>
      </c>
      <c r="AZ29" t="s">
        <v>74</v>
      </c>
      <c r="BA29" t="s">
        <v>74</v>
      </c>
      <c r="BB29">
        <v>1</v>
      </c>
      <c r="BC29">
        <v>48</v>
      </c>
      <c r="BD29" t="s">
        <v>74</v>
      </c>
      <c r="BE29" t="s">
        <v>74</v>
      </c>
      <c r="BF29" t="s">
        <v>74</v>
      </c>
      <c r="BG29" t="s">
        <v>74</v>
      </c>
      <c r="BH29" t="s">
        <v>74</v>
      </c>
      <c r="BI29">
        <v>48</v>
      </c>
      <c r="BJ29" t="s">
        <v>675</v>
      </c>
      <c r="BK29" t="s">
        <v>98</v>
      </c>
      <c r="BL29" t="s">
        <v>675</v>
      </c>
      <c r="BM29" t="s">
        <v>676</v>
      </c>
      <c r="BN29" t="s">
        <v>74</v>
      </c>
      <c r="BO29" t="s">
        <v>74</v>
      </c>
      <c r="BP29" t="s">
        <v>74</v>
      </c>
      <c r="BQ29" t="s">
        <v>74</v>
      </c>
      <c r="BR29" t="s">
        <v>101</v>
      </c>
      <c r="BS29" t="s">
        <v>677</v>
      </c>
      <c r="BT29" t="str">
        <f>HYPERLINK("https%3A%2F%2Fwww.webofscience.com%2Fwos%2Fwoscc%2Ffull-record%2FWOS:000311391200001","View Full Record in Web of Science")</f>
        <v>View Full Record in Web of Science</v>
      </c>
    </row>
    <row r="30" spans="1:72" x14ac:dyDescent="0.15">
      <c r="A30" t="s">
        <v>72</v>
      </c>
      <c r="B30" t="s">
        <v>678</v>
      </c>
      <c r="C30" t="s">
        <v>74</v>
      </c>
      <c r="D30" t="s">
        <v>74</v>
      </c>
      <c r="E30" t="s">
        <v>74</v>
      </c>
      <c r="F30" t="s">
        <v>679</v>
      </c>
      <c r="G30" t="s">
        <v>74</v>
      </c>
      <c r="H30" t="s">
        <v>74</v>
      </c>
      <c r="I30" t="s">
        <v>680</v>
      </c>
      <c r="J30" t="s">
        <v>134</v>
      </c>
      <c r="K30" t="s">
        <v>74</v>
      </c>
      <c r="L30" t="s">
        <v>74</v>
      </c>
      <c r="M30" t="s">
        <v>78</v>
      </c>
      <c r="N30" t="s">
        <v>79</v>
      </c>
      <c r="O30" t="s">
        <v>74</v>
      </c>
      <c r="P30" t="s">
        <v>74</v>
      </c>
      <c r="Q30" t="s">
        <v>74</v>
      </c>
      <c r="R30" t="s">
        <v>74</v>
      </c>
      <c r="S30" t="s">
        <v>74</v>
      </c>
      <c r="T30" t="s">
        <v>74</v>
      </c>
      <c r="U30" t="s">
        <v>681</v>
      </c>
      <c r="V30" t="s">
        <v>682</v>
      </c>
      <c r="W30" t="s">
        <v>683</v>
      </c>
      <c r="X30" t="s">
        <v>684</v>
      </c>
      <c r="Y30" t="s">
        <v>685</v>
      </c>
      <c r="Z30" t="s">
        <v>686</v>
      </c>
      <c r="AA30" t="s">
        <v>74</v>
      </c>
      <c r="AB30" t="s">
        <v>74</v>
      </c>
      <c r="AC30" t="s">
        <v>687</v>
      </c>
      <c r="AD30" t="s">
        <v>688</v>
      </c>
      <c r="AE30" t="s">
        <v>689</v>
      </c>
      <c r="AF30" t="s">
        <v>74</v>
      </c>
      <c r="AG30">
        <v>42</v>
      </c>
      <c r="AH30">
        <v>53</v>
      </c>
      <c r="AI30">
        <v>64</v>
      </c>
      <c r="AJ30">
        <v>1</v>
      </c>
      <c r="AK30">
        <v>31</v>
      </c>
      <c r="AL30" t="s">
        <v>146</v>
      </c>
      <c r="AM30" t="s">
        <v>147</v>
      </c>
      <c r="AN30" t="s">
        <v>148</v>
      </c>
      <c r="AO30" t="s">
        <v>149</v>
      </c>
      <c r="AP30" t="s">
        <v>74</v>
      </c>
      <c r="AQ30" t="s">
        <v>74</v>
      </c>
      <c r="AR30" t="s">
        <v>134</v>
      </c>
      <c r="AS30" t="s">
        <v>150</v>
      </c>
      <c r="AT30" t="s">
        <v>674</v>
      </c>
      <c r="AU30">
        <v>2012</v>
      </c>
      <c r="AV30">
        <v>7</v>
      </c>
      <c r="AW30">
        <v>11</v>
      </c>
      <c r="AX30" t="s">
        <v>74</v>
      </c>
      <c r="AY30" t="s">
        <v>74</v>
      </c>
      <c r="AZ30" t="s">
        <v>74</v>
      </c>
      <c r="BA30" t="s">
        <v>74</v>
      </c>
      <c r="BB30" t="s">
        <v>74</v>
      </c>
      <c r="BC30" t="s">
        <v>74</v>
      </c>
      <c r="BD30" t="s">
        <v>690</v>
      </c>
      <c r="BE30" t="s">
        <v>691</v>
      </c>
      <c r="BF30" t="str">
        <f>HYPERLINK("http://dx.doi.org/10.1371/journal.pone.0048805","http://dx.doi.org/10.1371/journal.pone.0048805")</f>
        <v>http://dx.doi.org/10.1371/journal.pone.0048805</v>
      </c>
      <c r="BG30" t="s">
        <v>74</v>
      </c>
      <c r="BH30" t="s">
        <v>74</v>
      </c>
      <c r="BI30">
        <v>10</v>
      </c>
      <c r="BJ30" t="s">
        <v>153</v>
      </c>
      <c r="BK30" t="s">
        <v>98</v>
      </c>
      <c r="BL30" t="s">
        <v>154</v>
      </c>
      <c r="BM30" t="s">
        <v>692</v>
      </c>
      <c r="BN30">
        <v>23144980</v>
      </c>
      <c r="BO30" t="s">
        <v>693</v>
      </c>
      <c r="BP30" t="s">
        <v>74</v>
      </c>
      <c r="BQ30" t="s">
        <v>74</v>
      </c>
      <c r="BR30" t="s">
        <v>101</v>
      </c>
      <c r="BS30" t="s">
        <v>694</v>
      </c>
      <c r="BT30" t="str">
        <f>HYPERLINK("https%3A%2F%2Fwww.webofscience.com%2Fwos%2Fwoscc%2Ffull-record%2FWOS:000311935800140","View Full Record in Web of Science")</f>
        <v>View Full Record in Web of Science</v>
      </c>
    </row>
    <row r="31" spans="1:72" x14ac:dyDescent="0.15">
      <c r="A31" t="s">
        <v>72</v>
      </c>
      <c r="B31" t="s">
        <v>695</v>
      </c>
      <c r="C31" t="s">
        <v>74</v>
      </c>
      <c r="D31" t="s">
        <v>74</v>
      </c>
      <c r="E31" t="s">
        <v>74</v>
      </c>
      <c r="F31" t="s">
        <v>696</v>
      </c>
      <c r="G31" t="s">
        <v>74</v>
      </c>
      <c r="H31" t="s">
        <v>74</v>
      </c>
      <c r="I31" t="s">
        <v>697</v>
      </c>
      <c r="J31" t="s">
        <v>134</v>
      </c>
      <c r="K31" t="s">
        <v>74</v>
      </c>
      <c r="L31" t="s">
        <v>74</v>
      </c>
      <c r="M31" t="s">
        <v>78</v>
      </c>
      <c r="N31" t="s">
        <v>79</v>
      </c>
      <c r="O31" t="s">
        <v>74</v>
      </c>
      <c r="P31" t="s">
        <v>74</v>
      </c>
      <c r="Q31" t="s">
        <v>74</v>
      </c>
      <c r="R31" t="s">
        <v>74</v>
      </c>
      <c r="S31" t="s">
        <v>74</v>
      </c>
      <c r="T31" t="s">
        <v>74</v>
      </c>
      <c r="U31" t="s">
        <v>698</v>
      </c>
      <c r="V31" t="s">
        <v>699</v>
      </c>
      <c r="W31" t="s">
        <v>700</v>
      </c>
      <c r="X31" t="s">
        <v>701</v>
      </c>
      <c r="Y31" t="s">
        <v>702</v>
      </c>
      <c r="Z31" t="s">
        <v>703</v>
      </c>
      <c r="AA31" t="s">
        <v>704</v>
      </c>
      <c r="AB31" t="s">
        <v>705</v>
      </c>
      <c r="AC31" t="s">
        <v>706</v>
      </c>
      <c r="AD31" t="s">
        <v>706</v>
      </c>
      <c r="AE31" t="s">
        <v>707</v>
      </c>
      <c r="AF31" t="s">
        <v>74</v>
      </c>
      <c r="AG31">
        <v>137</v>
      </c>
      <c r="AH31">
        <v>38</v>
      </c>
      <c r="AI31">
        <v>39</v>
      </c>
      <c r="AJ31">
        <v>0</v>
      </c>
      <c r="AK31">
        <v>21</v>
      </c>
      <c r="AL31" t="s">
        <v>146</v>
      </c>
      <c r="AM31" t="s">
        <v>147</v>
      </c>
      <c r="AN31" t="s">
        <v>148</v>
      </c>
      <c r="AO31" t="s">
        <v>149</v>
      </c>
      <c r="AP31" t="s">
        <v>74</v>
      </c>
      <c r="AQ31" t="s">
        <v>74</v>
      </c>
      <c r="AR31" t="s">
        <v>134</v>
      </c>
      <c r="AS31" t="s">
        <v>150</v>
      </c>
      <c r="AT31" t="s">
        <v>674</v>
      </c>
      <c r="AU31">
        <v>2012</v>
      </c>
      <c r="AV31">
        <v>7</v>
      </c>
      <c r="AW31">
        <v>11</v>
      </c>
      <c r="AX31" t="s">
        <v>74</v>
      </c>
      <c r="AY31" t="s">
        <v>74</v>
      </c>
      <c r="AZ31" t="s">
        <v>74</v>
      </c>
      <c r="BA31" t="s">
        <v>74</v>
      </c>
      <c r="BB31" t="s">
        <v>74</v>
      </c>
      <c r="BC31" t="s">
        <v>74</v>
      </c>
      <c r="BD31" t="s">
        <v>708</v>
      </c>
      <c r="BE31" t="s">
        <v>709</v>
      </c>
      <c r="BF31" t="str">
        <f>HYPERLINK("http://dx.doi.org/10.1371/journal.pone.0049354","http://dx.doi.org/10.1371/journal.pone.0049354")</f>
        <v>http://dx.doi.org/10.1371/journal.pone.0049354</v>
      </c>
      <c r="BG31" t="s">
        <v>74</v>
      </c>
      <c r="BH31" t="s">
        <v>74</v>
      </c>
      <c r="BI31">
        <v>24</v>
      </c>
      <c r="BJ31" t="s">
        <v>153</v>
      </c>
      <c r="BK31" t="s">
        <v>98</v>
      </c>
      <c r="BL31" t="s">
        <v>154</v>
      </c>
      <c r="BM31" t="s">
        <v>692</v>
      </c>
      <c r="BN31">
        <v>23145160</v>
      </c>
      <c r="BO31" t="s">
        <v>710</v>
      </c>
      <c r="BP31" t="s">
        <v>74</v>
      </c>
      <c r="BQ31" t="s">
        <v>74</v>
      </c>
      <c r="BR31" t="s">
        <v>101</v>
      </c>
      <c r="BS31" t="s">
        <v>711</v>
      </c>
      <c r="BT31" t="str">
        <f>HYPERLINK("https%3A%2F%2Fwww.webofscience.com%2Fwos%2Fwoscc%2Ffull-record%2FWOS:000311935800251","View Full Record in Web of Science")</f>
        <v>View Full Record in Web of Science</v>
      </c>
    </row>
    <row r="32" spans="1:72" x14ac:dyDescent="0.15">
      <c r="A32" t="s">
        <v>72</v>
      </c>
      <c r="B32" t="s">
        <v>712</v>
      </c>
      <c r="C32" t="s">
        <v>74</v>
      </c>
      <c r="D32" t="s">
        <v>74</v>
      </c>
      <c r="E32" t="s">
        <v>74</v>
      </c>
      <c r="F32" t="s">
        <v>713</v>
      </c>
      <c r="G32" t="s">
        <v>74</v>
      </c>
      <c r="H32" t="s">
        <v>74</v>
      </c>
      <c r="I32" t="s">
        <v>714</v>
      </c>
      <c r="J32" t="s">
        <v>657</v>
      </c>
      <c r="K32" t="s">
        <v>74</v>
      </c>
      <c r="L32" t="s">
        <v>74</v>
      </c>
      <c r="M32" t="s">
        <v>78</v>
      </c>
      <c r="N32" t="s">
        <v>79</v>
      </c>
      <c r="O32" t="s">
        <v>74</v>
      </c>
      <c r="P32" t="s">
        <v>74</v>
      </c>
      <c r="Q32" t="s">
        <v>74</v>
      </c>
      <c r="R32" t="s">
        <v>74</v>
      </c>
      <c r="S32" t="s">
        <v>74</v>
      </c>
      <c r="T32" t="s">
        <v>715</v>
      </c>
      <c r="U32" t="s">
        <v>716</v>
      </c>
      <c r="V32" t="s">
        <v>717</v>
      </c>
      <c r="W32" t="s">
        <v>718</v>
      </c>
      <c r="X32" t="s">
        <v>719</v>
      </c>
      <c r="Y32" t="s">
        <v>720</v>
      </c>
      <c r="Z32" t="s">
        <v>721</v>
      </c>
      <c r="AA32" t="s">
        <v>74</v>
      </c>
      <c r="AB32" t="s">
        <v>74</v>
      </c>
      <c r="AC32" t="s">
        <v>722</v>
      </c>
      <c r="AD32" t="s">
        <v>723</v>
      </c>
      <c r="AE32" t="s">
        <v>724</v>
      </c>
      <c r="AF32" t="s">
        <v>74</v>
      </c>
      <c r="AG32">
        <v>7</v>
      </c>
      <c r="AH32">
        <v>2</v>
      </c>
      <c r="AI32">
        <v>2</v>
      </c>
      <c r="AJ32">
        <v>0</v>
      </c>
      <c r="AK32">
        <v>0</v>
      </c>
      <c r="AL32" t="s">
        <v>668</v>
      </c>
      <c r="AM32" t="s">
        <v>669</v>
      </c>
      <c r="AN32" t="s">
        <v>670</v>
      </c>
      <c r="AO32" t="s">
        <v>671</v>
      </c>
      <c r="AP32" t="s">
        <v>672</v>
      </c>
      <c r="AQ32" t="s">
        <v>74</v>
      </c>
      <c r="AR32" t="s">
        <v>657</v>
      </c>
      <c r="AS32" t="s">
        <v>673</v>
      </c>
      <c r="AT32" t="s">
        <v>674</v>
      </c>
      <c r="AU32">
        <v>2012</v>
      </c>
      <c r="AV32" t="s">
        <v>74</v>
      </c>
      <c r="AW32">
        <v>3542</v>
      </c>
      <c r="AX32" t="s">
        <v>74</v>
      </c>
      <c r="AY32" t="s">
        <v>74</v>
      </c>
      <c r="AZ32" t="s">
        <v>74</v>
      </c>
      <c r="BA32" t="s">
        <v>74</v>
      </c>
      <c r="BB32">
        <v>69</v>
      </c>
      <c r="BC32">
        <v>79</v>
      </c>
      <c r="BD32" t="s">
        <v>74</v>
      </c>
      <c r="BE32" t="s">
        <v>74</v>
      </c>
      <c r="BF32" t="s">
        <v>74</v>
      </c>
      <c r="BG32" t="s">
        <v>74</v>
      </c>
      <c r="BH32" t="s">
        <v>74</v>
      </c>
      <c r="BI32">
        <v>11</v>
      </c>
      <c r="BJ32" t="s">
        <v>675</v>
      </c>
      <c r="BK32" t="s">
        <v>98</v>
      </c>
      <c r="BL32" t="s">
        <v>675</v>
      </c>
      <c r="BM32" t="s">
        <v>676</v>
      </c>
      <c r="BN32" t="s">
        <v>74</v>
      </c>
      <c r="BO32" t="s">
        <v>74</v>
      </c>
      <c r="BP32" t="s">
        <v>74</v>
      </c>
      <c r="BQ32" t="s">
        <v>74</v>
      </c>
      <c r="BR32" t="s">
        <v>101</v>
      </c>
      <c r="BS32" t="s">
        <v>725</v>
      </c>
      <c r="BT32" t="str">
        <f>HYPERLINK("https%3A%2F%2Fwww.webofscience.com%2Fwos%2Fwoscc%2Ffull-record%2FWOS:000311391200003","View Full Record in Web of Science")</f>
        <v>View Full Record in Web of Science</v>
      </c>
    </row>
    <row r="33" spans="1:72" x14ac:dyDescent="0.15">
      <c r="A33" t="s">
        <v>72</v>
      </c>
      <c r="B33" t="s">
        <v>726</v>
      </c>
      <c r="C33" t="s">
        <v>74</v>
      </c>
      <c r="D33" t="s">
        <v>74</v>
      </c>
      <c r="E33" t="s">
        <v>74</v>
      </c>
      <c r="F33" t="s">
        <v>727</v>
      </c>
      <c r="G33" t="s">
        <v>74</v>
      </c>
      <c r="H33" t="s">
        <v>74</v>
      </c>
      <c r="I33" t="s">
        <v>728</v>
      </c>
      <c r="J33" t="s">
        <v>729</v>
      </c>
      <c r="K33" t="s">
        <v>74</v>
      </c>
      <c r="L33" t="s">
        <v>74</v>
      </c>
      <c r="M33" t="s">
        <v>78</v>
      </c>
      <c r="N33" t="s">
        <v>79</v>
      </c>
      <c r="O33" t="s">
        <v>74</v>
      </c>
      <c r="P33" t="s">
        <v>74</v>
      </c>
      <c r="Q33" t="s">
        <v>74</v>
      </c>
      <c r="R33" t="s">
        <v>74</v>
      </c>
      <c r="S33" t="s">
        <v>74</v>
      </c>
      <c r="T33" t="s">
        <v>74</v>
      </c>
      <c r="U33" t="s">
        <v>730</v>
      </c>
      <c r="V33" t="s">
        <v>731</v>
      </c>
      <c r="W33" t="s">
        <v>732</v>
      </c>
      <c r="X33" t="s">
        <v>733</v>
      </c>
      <c r="Y33" t="s">
        <v>734</v>
      </c>
      <c r="Z33" t="s">
        <v>735</v>
      </c>
      <c r="AA33" t="s">
        <v>736</v>
      </c>
      <c r="AB33" t="s">
        <v>737</v>
      </c>
      <c r="AC33" t="s">
        <v>738</v>
      </c>
      <c r="AD33" t="s">
        <v>739</v>
      </c>
      <c r="AE33" t="s">
        <v>740</v>
      </c>
      <c r="AF33" t="s">
        <v>74</v>
      </c>
      <c r="AG33">
        <v>40</v>
      </c>
      <c r="AH33">
        <v>62</v>
      </c>
      <c r="AI33">
        <v>69</v>
      </c>
      <c r="AJ33">
        <v>2</v>
      </c>
      <c r="AK33">
        <v>83</v>
      </c>
      <c r="AL33" t="s">
        <v>741</v>
      </c>
      <c r="AM33" t="s">
        <v>119</v>
      </c>
      <c r="AN33" t="s">
        <v>742</v>
      </c>
      <c r="AO33" t="s">
        <v>743</v>
      </c>
      <c r="AP33" t="s">
        <v>744</v>
      </c>
      <c r="AQ33" t="s">
        <v>74</v>
      </c>
      <c r="AR33" t="s">
        <v>745</v>
      </c>
      <c r="AS33" t="s">
        <v>746</v>
      </c>
      <c r="AT33" t="s">
        <v>747</v>
      </c>
      <c r="AU33">
        <v>2012</v>
      </c>
      <c r="AV33">
        <v>46</v>
      </c>
      <c r="AW33">
        <v>21</v>
      </c>
      <c r="AX33" t="s">
        <v>74</v>
      </c>
      <c r="AY33" t="s">
        <v>74</v>
      </c>
      <c r="AZ33" t="s">
        <v>74</v>
      </c>
      <c r="BA33" t="s">
        <v>74</v>
      </c>
      <c r="BB33">
        <v>11550</v>
      </c>
      <c r="BC33">
        <v>11557</v>
      </c>
      <c r="BD33" t="s">
        <v>74</v>
      </c>
      <c r="BE33" t="s">
        <v>748</v>
      </c>
      <c r="BF33" t="str">
        <f>HYPERLINK("http://dx.doi.org/10.1021/es303086c","http://dx.doi.org/10.1021/es303086c")</f>
        <v>http://dx.doi.org/10.1021/es303086c</v>
      </c>
      <c r="BG33" t="s">
        <v>74</v>
      </c>
      <c r="BH33" t="s">
        <v>74</v>
      </c>
      <c r="BI33">
        <v>8</v>
      </c>
      <c r="BJ33" t="s">
        <v>749</v>
      </c>
      <c r="BK33" t="s">
        <v>98</v>
      </c>
      <c r="BL33" t="s">
        <v>750</v>
      </c>
      <c r="BM33" t="s">
        <v>751</v>
      </c>
      <c r="BN33">
        <v>23035878</v>
      </c>
      <c r="BO33" t="s">
        <v>74</v>
      </c>
      <c r="BP33" t="s">
        <v>74</v>
      </c>
      <c r="BQ33" t="s">
        <v>74</v>
      </c>
      <c r="BR33" t="s">
        <v>101</v>
      </c>
      <c r="BS33" t="s">
        <v>752</v>
      </c>
      <c r="BT33" t="str">
        <f>HYPERLINK("https%3A%2F%2Fwww.webofscience.com%2Fwos%2Fwoscc%2Ffull-record%2FWOS:000310665000009","View Full Record in Web of Science")</f>
        <v>View Full Record in Web of Science</v>
      </c>
    </row>
    <row r="34" spans="1:72" x14ac:dyDescent="0.15">
      <c r="A34" t="s">
        <v>72</v>
      </c>
      <c r="B34" t="s">
        <v>753</v>
      </c>
      <c r="C34" t="s">
        <v>74</v>
      </c>
      <c r="D34" t="s">
        <v>74</v>
      </c>
      <c r="E34" t="s">
        <v>74</v>
      </c>
      <c r="F34" t="s">
        <v>754</v>
      </c>
      <c r="G34" t="s">
        <v>74</v>
      </c>
      <c r="H34" t="s">
        <v>74</v>
      </c>
      <c r="I34" t="s">
        <v>755</v>
      </c>
      <c r="J34" t="s">
        <v>756</v>
      </c>
      <c r="K34" t="s">
        <v>74</v>
      </c>
      <c r="L34" t="s">
        <v>74</v>
      </c>
      <c r="M34" t="s">
        <v>78</v>
      </c>
      <c r="N34" t="s">
        <v>79</v>
      </c>
      <c r="O34" t="s">
        <v>74</v>
      </c>
      <c r="P34" t="s">
        <v>74</v>
      </c>
      <c r="Q34" t="s">
        <v>74</v>
      </c>
      <c r="R34" t="s">
        <v>74</v>
      </c>
      <c r="S34" t="s">
        <v>74</v>
      </c>
      <c r="T34" t="s">
        <v>757</v>
      </c>
      <c r="U34" t="s">
        <v>758</v>
      </c>
      <c r="V34" t="s">
        <v>759</v>
      </c>
      <c r="W34" t="s">
        <v>760</v>
      </c>
      <c r="X34" t="s">
        <v>761</v>
      </c>
      <c r="Y34" t="s">
        <v>762</v>
      </c>
      <c r="Z34" t="s">
        <v>763</v>
      </c>
      <c r="AA34" t="s">
        <v>764</v>
      </c>
      <c r="AB34" t="s">
        <v>765</v>
      </c>
      <c r="AC34" t="s">
        <v>766</v>
      </c>
      <c r="AD34" t="s">
        <v>767</v>
      </c>
      <c r="AE34" t="s">
        <v>768</v>
      </c>
      <c r="AF34" t="s">
        <v>74</v>
      </c>
      <c r="AG34">
        <v>53</v>
      </c>
      <c r="AH34">
        <v>98</v>
      </c>
      <c r="AI34">
        <v>109</v>
      </c>
      <c r="AJ34">
        <v>1</v>
      </c>
      <c r="AK34">
        <v>49</v>
      </c>
      <c r="AL34" t="s">
        <v>769</v>
      </c>
      <c r="AM34" t="s">
        <v>434</v>
      </c>
      <c r="AN34" t="s">
        <v>770</v>
      </c>
      <c r="AO34" t="s">
        <v>771</v>
      </c>
      <c r="AP34" t="s">
        <v>74</v>
      </c>
      <c r="AQ34" t="s">
        <v>74</v>
      </c>
      <c r="AR34" t="s">
        <v>772</v>
      </c>
      <c r="AS34" t="s">
        <v>773</v>
      </c>
      <c r="AT34" t="s">
        <v>747</v>
      </c>
      <c r="AU34">
        <v>2012</v>
      </c>
      <c r="AV34">
        <v>12</v>
      </c>
      <c r="AW34" t="s">
        <v>74</v>
      </c>
      <c r="AX34" t="s">
        <v>74</v>
      </c>
      <c r="AY34" t="s">
        <v>74</v>
      </c>
      <c r="AZ34" t="s">
        <v>74</v>
      </c>
      <c r="BA34" t="s">
        <v>74</v>
      </c>
      <c r="BB34" t="s">
        <v>74</v>
      </c>
      <c r="BC34" t="s">
        <v>74</v>
      </c>
      <c r="BD34">
        <v>251</v>
      </c>
      <c r="BE34" t="s">
        <v>774</v>
      </c>
      <c r="BF34" t="str">
        <f>HYPERLINK("http://dx.doi.org/10.1186/1471-2180-12-251","http://dx.doi.org/10.1186/1471-2180-12-251")</f>
        <v>http://dx.doi.org/10.1186/1471-2180-12-251</v>
      </c>
      <c r="BG34" t="s">
        <v>74</v>
      </c>
      <c r="BH34" t="s">
        <v>74</v>
      </c>
      <c r="BI34">
        <v>9</v>
      </c>
      <c r="BJ34" t="s">
        <v>775</v>
      </c>
      <c r="BK34" t="s">
        <v>98</v>
      </c>
      <c r="BL34" t="s">
        <v>775</v>
      </c>
      <c r="BM34" t="s">
        <v>776</v>
      </c>
      <c r="BN34">
        <v>23131126</v>
      </c>
      <c r="BO34" t="s">
        <v>777</v>
      </c>
      <c r="BP34" t="s">
        <v>74</v>
      </c>
      <c r="BQ34" t="s">
        <v>74</v>
      </c>
      <c r="BR34" t="s">
        <v>101</v>
      </c>
      <c r="BS34" t="s">
        <v>778</v>
      </c>
      <c r="BT34" t="str">
        <f>HYPERLINK("https%3A%2F%2Fwww.webofscience.com%2Fwos%2Fwoscc%2Ffull-record%2FWOS:000311161200001","View Full Record in Web of Science")</f>
        <v>View Full Record in Web of Science</v>
      </c>
    </row>
    <row r="35" spans="1:72" x14ac:dyDescent="0.15">
      <c r="A35" t="s">
        <v>72</v>
      </c>
      <c r="B35" t="s">
        <v>779</v>
      </c>
      <c r="C35" t="s">
        <v>74</v>
      </c>
      <c r="D35" t="s">
        <v>74</v>
      </c>
      <c r="E35" t="s">
        <v>74</v>
      </c>
      <c r="F35" t="s">
        <v>780</v>
      </c>
      <c r="G35" t="s">
        <v>74</v>
      </c>
      <c r="H35" t="s">
        <v>74</v>
      </c>
      <c r="I35" t="s">
        <v>781</v>
      </c>
      <c r="J35" t="s">
        <v>782</v>
      </c>
      <c r="K35" t="s">
        <v>74</v>
      </c>
      <c r="L35" t="s">
        <v>74</v>
      </c>
      <c r="M35" t="s">
        <v>78</v>
      </c>
      <c r="N35" t="s">
        <v>79</v>
      </c>
      <c r="O35" t="s">
        <v>74</v>
      </c>
      <c r="P35" t="s">
        <v>74</v>
      </c>
      <c r="Q35" t="s">
        <v>74</v>
      </c>
      <c r="R35" t="s">
        <v>74</v>
      </c>
      <c r="S35" t="s">
        <v>74</v>
      </c>
      <c r="T35" t="s">
        <v>783</v>
      </c>
      <c r="U35" t="s">
        <v>784</v>
      </c>
      <c r="V35" t="s">
        <v>785</v>
      </c>
      <c r="W35" t="s">
        <v>786</v>
      </c>
      <c r="X35" t="s">
        <v>787</v>
      </c>
      <c r="Y35" t="s">
        <v>788</v>
      </c>
      <c r="Z35" t="s">
        <v>789</v>
      </c>
      <c r="AA35" t="s">
        <v>790</v>
      </c>
      <c r="AB35" t="s">
        <v>791</v>
      </c>
      <c r="AC35" t="s">
        <v>792</v>
      </c>
      <c r="AD35" t="s">
        <v>793</v>
      </c>
      <c r="AE35" t="s">
        <v>794</v>
      </c>
      <c r="AF35" t="s">
        <v>74</v>
      </c>
      <c r="AG35">
        <v>31</v>
      </c>
      <c r="AH35">
        <v>23</v>
      </c>
      <c r="AI35">
        <v>24</v>
      </c>
      <c r="AJ35">
        <v>0</v>
      </c>
      <c r="AK35">
        <v>21</v>
      </c>
      <c r="AL35" t="s">
        <v>89</v>
      </c>
      <c r="AM35" t="s">
        <v>90</v>
      </c>
      <c r="AN35" t="s">
        <v>91</v>
      </c>
      <c r="AO35" t="s">
        <v>795</v>
      </c>
      <c r="AP35" t="s">
        <v>74</v>
      </c>
      <c r="AQ35" t="s">
        <v>74</v>
      </c>
      <c r="AR35" t="s">
        <v>782</v>
      </c>
      <c r="AS35" t="s">
        <v>796</v>
      </c>
      <c r="AT35" t="s">
        <v>797</v>
      </c>
      <c r="AU35">
        <v>2012</v>
      </c>
      <c r="AV35">
        <v>68</v>
      </c>
      <c r="AW35">
        <v>44</v>
      </c>
      <c r="AX35" t="s">
        <v>74</v>
      </c>
      <c r="AY35" t="s">
        <v>74</v>
      </c>
      <c r="AZ35" t="s">
        <v>74</v>
      </c>
      <c r="BA35" t="s">
        <v>74</v>
      </c>
      <c r="BB35">
        <v>9095</v>
      </c>
      <c r="BC35">
        <v>9104</v>
      </c>
      <c r="BD35" t="s">
        <v>74</v>
      </c>
      <c r="BE35" t="s">
        <v>798</v>
      </c>
      <c r="BF35" t="str">
        <f>HYPERLINK("http://dx.doi.org/10.1016/j.tet.2012.08.045","http://dx.doi.org/10.1016/j.tet.2012.08.045")</f>
        <v>http://dx.doi.org/10.1016/j.tet.2012.08.045</v>
      </c>
      <c r="BG35" t="s">
        <v>74</v>
      </c>
      <c r="BH35" t="s">
        <v>74</v>
      </c>
      <c r="BI35">
        <v>10</v>
      </c>
      <c r="BJ35" t="s">
        <v>799</v>
      </c>
      <c r="BK35" t="s">
        <v>800</v>
      </c>
      <c r="BL35" t="s">
        <v>801</v>
      </c>
      <c r="BM35" t="s">
        <v>802</v>
      </c>
      <c r="BN35" t="s">
        <v>74</v>
      </c>
      <c r="BO35" t="s">
        <v>74</v>
      </c>
      <c r="BP35" t="s">
        <v>74</v>
      </c>
      <c r="BQ35" t="s">
        <v>74</v>
      </c>
      <c r="BR35" t="s">
        <v>101</v>
      </c>
      <c r="BS35" t="s">
        <v>803</v>
      </c>
      <c r="BT35" t="str">
        <f>HYPERLINK("https%3A%2F%2Fwww.webofscience.com%2Fwos%2Fwoscc%2Ffull-record%2FWOS:000309618200017","View Full Record in Web of Science")</f>
        <v>View Full Record in Web of Science</v>
      </c>
    </row>
    <row r="36" spans="1:72" x14ac:dyDescent="0.15">
      <c r="A36" t="s">
        <v>72</v>
      </c>
      <c r="B36" t="s">
        <v>804</v>
      </c>
      <c r="C36" t="s">
        <v>74</v>
      </c>
      <c r="D36" t="s">
        <v>74</v>
      </c>
      <c r="E36" t="s">
        <v>74</v>
      </c>
      <c r="F36" t="s">
        <v>805</v>
      </c>
      <c r="G36" t="s">
        <v>74</v>
      </c>
      <c r="H36" t="s">
        <v>74</v>
      </c>
      <c r="I36" t="s">
        <v>806</v>
      </c>
      <c r="J36" t="s">
        <v>539</v>
      </c>
      <c r="K36" t="s">
        <v>74</v>
      </c>
      <c r="L36" t="s">
        <v>74</v>
      </c>
      <c r="M36" t="s">
        <v>78</v>
      </c>
      <c r="N36" t="s">
        <v>807</v>
      </c>
      <c r="O36" t="s">
        <v>74</v>
      </c>
      <c r="P36" t="s">
        <v>74</v>
      </c>
      <c r="Q36" t="s">
        <v>74</v>
      </c>
      <c r="R36" t="s">
        <v>74</v>
      </c>
      <c r="S36" t="s">
        <v>74</v>
      </c>
      <c r="T36" t="s">
        <v>74</v>
      </c>
      <c r="U36" t="s">
        <v>74</v>
      </c>
      <c r="V36" t="s">
        <v>74</v>
      </c>
      <c r="W36" t="s">
        <v>808</v>
      </c>
      <c r="X36" t="s">
        <v>809</v>
      </c>
      <c r="Y36" t="s">
        <v>810</v>
      </c>
      <c r="Z36" t="s">
        <v>811</v>
      </c>
      <c r="AA36" t="s">
        <v>812</v>
      </c>
      <c r="AB36" t="s">
        <v>813</v>
      </c>
      <c r="AC36" t="s">
        <v>74</v>
      </c>
      <c r="AD36" t="s">
        <v>74</v>
      </c>
      <c r="AE36" t="s">
        <v>74</v>
      </c>
      <c r="AF36" t="s">
        <v>74</v>
      </c>
      <c r="AG36">
        <v>3</v>
      </c>
      <c r="AH36">
        <v>7</v>
      </c>
      <c r="AI36">
        <v>7</v>
      </c>
      <c r="AJ36">
        <v>0</v>
      </c>
      <c r="AK36">
        <v>27</v>
      </c>
      <c r="AL36" t="s">
        <v>541</v>
      </c>
      <c r="AM36" t="s">
        <v>119</v>
      </c>
      <c r="AN36" t="s">
        <v>542</v>
      </c>
      <c r="AO36" t="s">
        <v>543</v>
      </c>
      <c r="AP36" t="s">
        <v>74</v>
      </c>
      <c r="AQ36" t="s">
        <v>74</v>
      </c>
      <c r="AR36" t="s">
        <v>539</v>
      </c>
      <c r="AS36" t="s">
        <v>544</v>
      </c>
      <c r="AT36" t="s">
        <v>814</v>
      </c>
      <c r="AU36">
        <v>2012</v>
      </c>
      <c r="AV36">
        <v>338</v>
      </c>
      <c r="AW36">
        <v>6107</v>
      </c>
      <c r="AX36" t="s">
        <v>74</v>
      </c>
      <c r="AY36" t="s">
        <v>74</v>
      </c>
      <c r="AZ36" t="s">
        <v>74</v>
      </c>
      <c r="BA36" t="s">
        <v>74</v>
      </c>
      <c r="BB36">
        <v>603</v>
      </c>
      <c r="BC36">
        <v>603</v>
      </c>
      <c r="BD36" t="s">
        <v>74</v>
      </c>
      <c r="BE36" t="s">
        <v>815</v>
      </c>
      <c r="BF36" t="str">
        <f>HYPERLINK("http://dx.doi.org/10.1126/science.338.6107.603","http://dx.doi.org/10.1126/science.338.6107.603")</f>
        <v>http://dx.doi.org/10.1126/science.338.6107.603</v>
      </c>
      <c r="BG36" t="s">
        <v>74</v>
      </c>
      <c r="BH36" t="s">
        <v>74</v>
      </c>
      <c r="BI36">
        <v>1</v>
      </c>
      <c r="BJ36" t="s">
        <v>153</v>
      </c>
      <c r="BK36" t="s">
        <v>98</v>
      </c>
      <c r="BL36" t="s">
        <v>154</v>
      </c>
      <c r="BM36" t="s">
        <v>816</v>
      </c>
      <c r="BN36">
        <v>23118165</v>
      </c>
      <c r="BO36" t="s">
        <v>74</v>
      </c>
      <c r="BP36" t="s">
        <v>74</v>
      </c>
      <c r="BQ36" t="s">
        <v>74</v>
      </c>
      <c r="BR36" t="s">
        <v>101</v>
      </c>
      <c r="BS36" t="s">
        <v>817</v>
      </c>
      <c r="BT36" t="str">
        <f>HYPERLINK("https%3A%2F%2Fwww.webofscience.com%2Fwos%2Fwoscc%2Ffull-record%2FWOS:000310516000018","View Full Record in Web of Science")</f>
        <v>View Full Record in Web of Science</v>
      </c>
    </row>
    <row r="37" spans="1:72" x14ac:dyDescent="0.15">
      <c r="A37" t="s">
        <v>72</v>
      </c>
      <c r="B37" t="s">
        <v>818</v>
      </c>
      <c r="C37" t="s">
        <v>74</v>
      </c>
      <c r="D37" t="s">
        <v>74</v>
      </c>
      <c r="E37" t="s">
        <v>74</v>
      </c>
      <c r="F37" t="s">
        <v>819</v>
      </c>
      <c r="G37" t="s">
        <v>74</v>
      </c>
      <c r="H37" t="s">
        <v>74</v>
      </c>
      <c r="I37" t="s">
        <v>820</v>
      </c>
      <c r="J37" t="s">
        <v>444</v>
      </c>
      <c r="K37" t="s">
        <v>74</v>
      </c>
      <c r="L37" t="s">
        <v>74</v>
      </c>
      <c r="M37" t="s">
        <v>78</v>
      </c>
      <c r="N37" t="s">
        <v>79</v>
      </c>
      <c r="O37" t="s">
        <v>74</v>
      </c>
      <c r="P37" t="s">
        <v>74</v>
      </c>
      <c r="Q37" t="s">
        <v>74</v>
      </c>
      <c r="R37" t="s">
        <v>74</v>
      </c>
      <c r="S37" t="s">
        <v>74</v>
      </c>
      <c r="T37" t="s">
        <v>74</v>
      </c>
      <c r="U37" t="s">
        <v>821</v>
      </c>
      <c r="V37" t="s">
        <v>822</v>
      </c>
      <c r="W37" t="s">
        <v>823</v>
      </c>
      <c r="X37" t="s">
        <v>824</v>
      </c>
      <c r="Y37" t="s">
        <v>825</v>
      </c>
      <c r="Z37" t="s">
        <v>826</v>
      </c>
      <c r="AA37" t="s">
        <v>827</v>
      </c>
      <c r="AB37" t="s">
        <v>828</v>
      </c>
      <c r="AC37" t="s">
        <v>829</v>
      </c>
      <c r="AD37" t="s">
        <v>830</v>
      </c>
      <c r="AE37" t="s">
        <v>831</v>
      </c>
      <c r="AF37" t="s">
        <v>74</v>
      </c>
      <c r="AG37">
        <v>31</v>
      </c>
      <c r="AH37">
        <v>125</v>
      </c>
      <c r="AI37">
        <v>133</v>
      </c>
      <c r="AJ37">
        <v>2</v>
      </c>
      <c r="AK37">
        <v>64</v>
      </c>
      <c r="AL37" t="s">
        <v>118</v>
      </c>
      <c r="AM37" t="s">
        <v>119</v>
      </c>
      <c r="AN37" t="s">
        <v>120</v>
      </c>
      <c r="AO37" t="s">
        <v>454</v>
      </c>
      <c r="AP37" t="s">
        <v>455</v>
      </c>
      <c r="AQ37" t="s">
        <v>74</v>
      </c>
      <c r="AR37" t="s">
        <v>456</v>
      </c>
      <c r="AS37" t="s">
        <v>457</v>
      </c>
      <c r="AT37" t="s">
        <v>814</v>
      </c>
      <c r="AU37">
        <v>2012</v>
      </c>
      <c r="AV37">
        <v>39</v>
      </c>
      <c r="AW37" t="s">
        <v>74</v>
      </c>
      <c r="AX37" t="s">
        <v>74</v>
      </c>
      <c r="AY37" t="s">
        <v>74</v>
      </c>
      <c r="AZ37" t="s">
        <v>74</v>
      </c>
      <c r="BA37" t="s">
        <v>74</v>
      </c>
      <c r="BB37" t="s">
        <v>74</v>
      </c>
      <c r="BC37" t="s">
        <v>74</v>
      </c>
      <c r="BD37" t="s">
        <v>832</v>
      </c>
      <c r="BE37" t="s">
        <v>833</v>
      </c>
      <c r="BF37" t="str">
        <f>HYPERLINK("http://dx.doi.org/10.1029/2012GL053316","http://dx.doi.org/10.1029/2012GL053316")</f>
        <v>http://dx.doi.org/10.1029/2012GL053316</v>
      </c>
      <c r="BG37" t="s">
        <v>74</v>
      </c>
      <c r="BH37" t="s">
        <v>74</v>
      </c>
      <c r="BI37">
        <v>5</v>
      </c>
      <c r="BJ37" t="s">
        <v>461</v>
      </c>
      <c r="BK37" t="s">
        <v>98</v>
      </c>
      <c r="BL37" t="s">
        <v>462</v>
      </c>
      <c r="BM37" t="s">
        <v>834</v>
      </c>
      <c r="BN37" t="s">
        <v>74</v>
      </c>
      <c r="BO37" t="s">
        <v>607</v>
      </c>
      <c r="BP37" t="s">
        <v>74</v>
      </c>
      <c r="BQ37" t="s">
        <v>74</v>
      </c>
      <c r="BR37" t="s">
        <v>101</v>
      </c>
      <c r="BS37" t="s">
        <v>835</v>
      </c>
      <c r="BT37" t="str">
        <f>HYPERLINK("https%3A%2F%2Fwww.webofscience.com%2Fwos%2Fwoscc%2Ffull-record%2FWOS:000310691000001","View Full Record in Web of Science")</f>
        <v>View Full Record in Web of Science</v>
      </c>
    </row>
    <row r="38" spans="1:72" x14ac:dyDescent="0.15">
      <c r="A38" t="s">
        <v>72</v>
      </c>
      <c r="B38" t="s">
        <v>836</v>
      </c>
      <c r="C38" t="s">
        <v>74</v>
      </c>
      <c r="D38" t="s">
        <v>74</v>
      </c>
      <c r="E38" t="s">
        <v>74</v>
      </c>
      <c r="F38" t="s">
        <v>837</v>
      </c>
      <c r="G38" t="s">
        <v>74</v>
      </c>
      <c r="H38" t="s">
        <v>74</v>
      </c>
      <c r="I38" t="s">
        <v>838</v>
      </c>
      <c r="J38" t="s">
        <v>134</v>
      </c>
      <c r="K38" t="s">
        <v>74</v>
      </c>
      <c r="L38" t="s">
        <v>74</v>
      </c>
      <c r="M38" t="s">
        <v>78</v>
      </c>
      <c r="N38" t="s">
        <v>79</v>
      </c>
      <c r="O38" t="s">
        <v>74</v>
      </c>
      <c r="P38" t="s">
        <v>74</v>
      </c>
      <c r="Q38" t="s">
        <v>74</v>
      </c>
      <c r="R38" t="s">
        <v>74</v>
      </c>
      <c r="S38" t="s">
        <v>74</v>
      </c>
      <c r="T38" t="s">
        <v>74</v>
      </c>
      <c r="U38" t="s">
        <v>839</v>
      </c>
      <c r="V38" t="s">
        <v>840</v>
      </c>
      <c r="W38" t="s">
        <v>841</v>
      </c>
      <c r="X38" t="s">
        <v>842</v>
      </c>
      <c r="Y38" t="s">
        <v>843</v>
      </c>
      <c r="Z38" t="s">
        <v>844</v>
      </c>
      <c r="AA38" t="s">
        <v>74</v>
      </c>
      <c r="AB38" t="s">
        <v>845</v>
      </c>
      <c r="AC38" t="s">
        <v>74</v>
      </c>
      <c r="AD38" t="s">
        <v>74</v>
      </c>
      <c r="AE38" t="s">
        <v>74</v>
      </c>
      <c r="AF38" t="s">
        <v>74</v>
      </c>
      <c r="AG38">
        <v>31</v>
      </c>
      <c r="AH38">
        <v>93</v>
      </c>
      <c r="AI38">
        <v>107</v>
      </c>
      <c r="AJ38">
        <v>6</v>
      </c>
      <c r="AK38">
        <v>127</v>
      </c>
      <c r="AL38" t="s">
        <v>146</v>
      </c>
      <c r="AM38" t="s">
        <v>147</v>
      </c>
      <c r="AN38" t="s">
        <v>148</v>
      </c>
      <c r="AO38" t="s">
        <v>149</v>
      </c>
      <c r="AP38" t="s">
        <v>74</v>
      </c>
      <c r="AQ38" t="s">
        <v>74</v>
      </c>
      <c r="AR38" t="s">
        <v>134</v>
      </c>
      <c r="AS38" t="s">
        <v>150</v>
      </c>
      <c r="AT38" t="s">
        <v>814</v>
      </c>
      <c r="AU38">
        <v>2012</v>
      </c>
      <c r="AV38">
        <v>7</v>
      </c>
      <c r="AW38">
        <v>11</v>
      </c>
      <c r="AX38" t="s">
        <v>74</v>
      </c>
      <c r="AY38" t="s">
        <v>74</v>
      </c>
      <c r="AZ38" t="s">
        <v>74</v>
      </c>
      <c r="BA38" t="s">
        <v>74</v>
      </c>
      <c r="BB38" t="s">
        <v>74</v>
      </c>
      <c r="BC38" t="s">
        <v>74</v>
      </c>
      <c r="BD38" t="s">
        <v>846</v>
      </c>
      <c r="BE38" t="s">
        <v>847</v>
      </c>
      <c r="BF38" t="str">
        <f>HYPERLINK("http://dx.doi.org/10.1371/journal.pone.0048325","http://dx.doi.org/10.1371/journal.pone.0048325")</f>
        <v>http://dx.doi.org/10.1371/journal.pone.0048325</v>
      </c>
      <c r="BG38" t="s">
        <v>74</v>
      </c>
      <c r="BH38" t="s">
        <v>74</v>
      </c>
      <c r="BI38">
        <v>12</v>
      </c>
      <c r="BJ38" t="s">
        <v>153</v>
      </c>
      <c r="BK38" t="s">
        <v>98</v>
      </c>
      <c r="BL38" t="s">
        <v>154</v>
      </c>
      <c r="BM38" t="s">
        <v>848</v>
      </c>
      <c r="BN38">
        <v>23133629</v>
      </c>
      <c r="BO38" t="s">
        <v>710</v>
      </c>
      <c r="BP38" t="s">
        <v>74</v>
      </c>
      <c r="BQ38" t="s">
        <v>74</v>
      </c>
      <c r="BR38" t="s">
        <v>101</v>
      </c>
      <c r="BS38" t="s">
        <v>849</v>
      </c>
      <c r="BT38" t="str">
        <f>HYPERLINK("https%3A%2F%2Fwww.webofscience.com%2Fwos%2Fwoscc%2Ffull-record%2FWOS:000310702400032","View Full Record in Web of Science")</f>
        <v>View Full Record in Web of Science</v>
      </c>
    </row>
    <row r="39" spans="1:72" x14ac:dyDescent="0.15">
      <c r="A39" t="s">
        <v>72</v>
      </c>
      <c r="B39" t="s">
        <v>850</v>
      </c>
      <c r="C39" t="s">
        <v>74</v>
      </c>
      <c r="D39" t="s">
        <v>74</v>
      </c>
      <c r="E39" t="s">
        <v>74</v>
      </c>
      <c r="F39" t="s">
        <v>851</v>
      </c>
      <c r="G39" t="s">
        <v>74</v>
      </c>
      <c r="H39" t="s">
        <v>74</v>
      </c>
      <c r="I39" t="s">
        <v>852</v>
      </c>
      <c r="J39" t="s">
        <v>853</v>
      </c>
      <c r="K39" t="s">
        <v>74</v>
      </c>
      <c r="L39" t="s">
        <v>74</v>
      </c>
      <c r="M39" t="s">
        <v>78</v>
      </c>
      <c r="N39" t="s">
        <v>79</v>
      </c>
      <c r="O39" t="s">
        <v>74</v>
      </c>
      <c r="P39" t="s">
        <v>74</v>
      </c>
      <c r="Q39" t="s">
        <v>74</v>
      </c>
      <c r="R39" t="s">
        <v>74</v>
      </c>
      <c r="S39" t="s">
        <v>74</v>
      </c>
      <c r="T39" t="s">
        <v>74</v>
      </c>
      <c r="U39" t="s">
        <v>74</v>
      </c>
      <c r="V39" t="s">
        <v>854</v>
      </c>
      <c r="W39" t="s">
        <v>855</v>
      </c>
      <c r="X39" t="s">
        <v>856</v>
      </c>
      <c r="Y39" t="s">
        <v>857</v>
      </c>
      <c r="Z39" t="s">
        <v>74</v>
      </c>
      <c r="AA39" t="s">
        <v>858</v>
      </c>
      <c r="AB39" t="s">
        <v>859</v>
      </c>
      <c r="AC39" t="s">
        <v>74</v>
      </c>
      <c r="AD39" t="s">
        <v>74</v>
      </c>
      <c r="AE39" t="s">
        <v>74</v>
      </c>
      <c r="AF39" t="s">
        <v>74</v>
      </c>
      <c r="AG39">
        <v>17</v>
      </c>
      <c r="AH39">
        <v>1</v>
      </c>
      <c r="AI39">
        <v>1</v>
      </c>
      <c r="AJ39">
        <v>0</v>
      </c>
      <c r="AK39">
        <v>1</v>
      </c>
      <c r="AL39" t="s">
        <v>860</v>
      </c>
      <c r="AM39" t="s">
        <v>861</v>
      </c>
      <c r="AN39" t="s">
        <v>862</v>
      </c>
      <c r="AO39" t="s">
        <v>863</v>
      </c>
      <c r="AP39" t="s">
        <v>864</v>
      </c>
      <c r="AQ39" t="s">
        <v>74</v>
      </c>
      <c r="AR39" t="s">
        <v>865</v>
      </c>
      <c r="AS39" t="s">
        <v>866</v>
      </c>
      <c r="AT39" t="s">
        <v>867</v>
      </c>
      <c r="AU39">
        <v>2012</v>
      </c>
      <c r="AV39">
        <v>37</v>
      </c>
      <c r="AW39" t="s">
        <v>868</v>
      </c>
      <c r="AX39" t="s">
        <v>74</v>
      </c>
      <c r="AY39" t="s">
        <v>74</v>
      </c>
      <c r="AZ39" t="s">
        <v>74</v>
      </c>
      <c r="BA39" t="s">
        <v>74</v>
      </c>
      <c r="BB39">
        <v>689</v>
      </c>
      <c r="BC39">
        <v>695</v>
      </c>
      <c r="BD39" t="s">
        <v>74</v>
      </c>
      <c r="BE39" t="s">
        <v>869</v>
      </c>
      <c r="BF39" t="str">
        <f>HYPERLINK("http://dx.doi.org/10.3103/S1068373912110015","http://dx.doi.org/10.3103/S1068373912110015")</f>
        <v>http://dx.doi.org/10.3103/S1068373912110015</v>
      </c>
      <c r="BG39" t="s">
        <v>74</v>
      </c>
      <c r="BH39" t="s">
        <v>74</v>
      </c>
      <c r="BI39">
        <v>7</v>
      </c>
      <c r="BJ39" t="s">
        <v>378</v>
      </c>
      <c r="BK39" t="s">
        <v>98</v>
      </c>
      <c r="BL39" t="s">
        <v>378</v>
      </c>
      <c r="BM39" t="s">
        <v>870</v>
      </c>
      <c r="BN39" t="s">
        <v>74</v>
      </c>
      <c r="BO39" t="s">
        <v>74</v>
      </c>
      <c r="BP39" t="s">
        <v>74</v>
      </c>
      <c r="BQ39" t="s">
        <v>74</v>
      </c>
      <c r="BR39" t="s">
        <v>101</v>
      </c>
      <c r="BS39" t="s">
        <v>871</v>
      </c>
      <c r="BT39" t="str">
        <f>HYPERLINK("https%3A%2F%2Fwww.webofscience.com%2Fwos%2Fwoscc%2Ffull-record%2FWOS:000314685300001","View Full Record in Web of Science")</f>
        <v>View Full Record in Web of Science</v>
      </c>
    </row>
    <row r="40" spans="1:72" x14ac:dyDescent="0.15">
      <c r="A40" t="s">
        <v>72</v>
      </c>
      <c r="B40" t="s">
        <v>872</v>
      </c>
      <c r="C40" t="s">
        <v>74</v>
      </c>
      <c r="D40" t="s">
        <v>74</v>
      </c>
      <c r="E40" t="s">
        <v>74</v>
      </c>
      <c r="F40" t="s">
        <v>873</v>
      </c>
      <c r="G40" t="s">
        <v>74</v>
      </c>
      <c r="H40" t="s">
        <v>74</v>
      </c>
      <c r="I40" t="s">
        <v>874</v>
      </c>
      <c r="J40" t="s">
        <v>853</v>
      </c>
      <c r="K40" t="s">
        <v>74</v>
      </c>
      <c r="L40" t="s">
        <v>74</v>
      </c>
      <c r="M40" t="s">
        <v>78</v>
      </c>
      <c r="N40" t="s">
        <v>79</v>
      </c>
      <c r="O40" t="s">
        <v>74</v>
      </c>
      <c r="P40" t="s">
        <v>74</v>
      </c>
      <c r="Q40" t="s">
        <v>74</v>
      </c>
      <c r="R40" t="s">
        <v>74</v>
      </c>
      <c r="S40" t="s">
        <v>74</v>
      </c>
      <c r="T40" t="s">
        <v>74</v>
      </c>
      <c r="U40" t="s">
        <v>74</v>
      </c>
      <c r="V40" t="s">
        <v>875</v>
      </c>
      <c r="W40" t="s">
        <v>876</v>
      </c>
      <c r="X40" t="s">
        <v>856</v>
      </c>
      <c r="Y40" t="s">
        <v>877</v>
      </c>
      <c r="Z40" t="s">
        <v>74</v>
      </c>
      <c r="AA40" t="s">
        <v>74</v>
      </c>
      <c r="AB40" t="s">
        <v>74</v>
      </c>
      <c r="AC40" t="s">
        <v>878</v>
      </c>
      <c r="AD40" t="s">
        <v>879</v>
      </c>
      <c r="AE40" t="s">
        <v>880</v>
      </c>
      <c r="AF40" t="s">
        <v>74</v>
      </c>
      <c r="AG40">
        <v>22</v>
      </c>
      <c r="AH40">
        <v>4</v>
      </c>
      <c r="AI40">
        <v>4</v>
      </c>
      <c r="AJ40">
        <v>0</v>
      </c>
      <c r="AK40">
        <v>1</v>
      </c>
      <c r="AL40" t="s">
        <v>860</v>
      </c>
      <c r="AM40" t="s">
        <v>861</v>
      </c>
      <c r="AN40" t="s">
        <v>862</v>
      </c>
      <c r="AO40" t="s">
        <v>863</v>
      </c>
      <c r="AP40" t="s">
        <v>864</v>
      </c>
      <c r="AQ40" t="s">
        <v>74</v>
      </c>
      <c r="AR40" t="s">
        <v>865</v>
      </c>
      <c r="AS40" t="s">
        <v>866</v>
      </c>
      <c r="AT40" t="s">
        <v>867</v>
      </c>
      <c r="AU40">
        <v>2012</v>
      </c>
      <c r="AV40">
        <v>37</v>
      </c>
      <c r="AW40" t="s">
        <v>868</v>
      </c>
      <c r="AX40" t="s">
        <v>74</v>
      </c>
      <c r="AY40" t="s">
        <v>74</v>
      </c>
      <c r="AZ40" t="s">
        <v>74</v>
      </c>
      <c r="BA40" t="s">
        <v>74</v>
      </c>
      <c r="BB40">
        <v>752</v>
      </c>
      <c r="BC40">
        <v>761</v>
      </c>
      <c r="BD40" t="s">
        <v>74</v>
      </c>
      <c r="BE40" t="s">
        <v>881</v>
      </c>
      <c r="BF40" t="str">
        <f>HYPERLINK("http://dx.doi.org/10.3103/S106837391211009X","http://dx.doi.org/10.3103/S106837391211009X")</f>
        <v>http://dx.doi.org/10.3103/S106837391211009X</v>
      </c>
      <c r="BG40" t="s">
        <v>74</v>
      </c>
      <c r="BH40" t="s">
        <v>74</v>
      </c>
      <c r="BI40">
        <v>10</v>
      </c>
      <c r="BJ40" t="s">
        <v>378</v>
      </c>
      <c r="BK40" t="s">
        <v>98</v>
      </c>
      <c r="BL40" t="s">
        <v>378</v>
      </c>
      <c r="BM40" t="s">
        <v>870</v>
      </c>
      <c r="BN40" t="s">
        <v>74</v>
      </c>
      <c r="BO40" t="s">
        <v>74</v>
      </c>
      <c r="BP40" t="s">
        <v>74</v>
      </c>
      <c r="BQ40" t="s">
        <v>74</v>
      </c>
      <c r="BR40" t="s">
        <v>101</v>
      </c>
      <c r="BS40" t="s">
        <v>882</v>
      </c>
      <c r="BT40" t="str">
        <f>HYPERLINK("https%3A%2F%2Fwww.webofscience.com%2Fwos%2Fwoscc%2Ffull-record%2FWOS:000314685300009","View Full Record in Web of Science")</f>
        <v>View Full Record in Web of Science</v>
      </c>
    </row>
    <row r="41" spans="1:72" x14ac:dyDescent="0.15">
      <c r="A41" t="s">
        <v>72</v>
      </c>
      <c r="B41" t="s">
        <v>883</v>
      </c>
      <c r="C41" t="s">
        <v>74</v>
      </c>
      <c r="D41" t="s">
        <v>74</v>
      </c>
      <c r="E41" t="s">
        <v>74</v>
      </c>
      <c r="F41" t="s">
        <v>884</v>
      </c>
      <c r="G41" t="s">
        <v>74</v>
      </c>
      <c r="H41" t="s">
        <v>74</v>
      </c>
      <c r="I41" t="s">
        <v>885</v>
      </c>
      <c r="J41" t="s">
        <v>886</v>
      </c>
      <c r="K41" t="s">
        <v>74</v>
      </c>
      <c r="L41" t="s">
        <v>74</v>
      </c>
      <c r="M41" t="s">
        <v>78</v>
      </c>
      <c r="N41" t="s">
        <v>79</v>
      </c>
      <c r="O41" t="s">
        <v>74</v>
      </c>
      <c r="P41" t="s">
        <v>74</v>
      </c>
      <c r="Q41" t="s">
        <v>74</v>
      </c>
      <c r="R41" t="s">
        <v>74</v>
      </c>
      <c r="S41" t="s">
        <v>74</v>
      </c>
      <c r="T41" t="s">
        <v>74</v>
      </c>
      <c r="U41" t="s">
        <v>887</v>
      </c>
      <c r="V41" t="s">
        <v>888</v>
      </c>
      <c r="W41" t="s">
        <v>889</v>
      </c>
      <c r="X41" t="s">
        <v>890</v>
      </c>
      <c r="Y41" t="s">
        <v>891</v>
      </c>
      <c r="Z41" t="s">
        <v>892</v>
      </c>
      <c r="AA41" t="s">
        <v>893</v>
      </c>
      <c r="AB41" t="s">
        <v>894</v>
      </c>
      <c r="AC41" t="s">
        <v>895</v>
      </c>
      <c r="AD41" t="s">
        <v>896</v>
      </c>
      <c r="AE41" t="s">
        <v>897</v>
      </c>
      <c r="AF41" t="s">
        <v>74</v>
      </c>
      <c r="AG41">
        <v>34</v>
      </c>
      <c r="AH41">
        <v>4</v>
      </c>
      <c r="AI41">
        <v>4</v>
      </c>
      <c r="AJ41">
        <v>0</v>
      </c>
      <c r="AK41">
        <v>8</v>
      </c>
      <c r="AL41" t="s">
        <v>898</v>
      </c>
      <c r="AM41" t="s">
        <v>899</v>
      </c>
      <c r="AN41" t="s">
        <v>900</v>
      </c>
      <c r="AO41" t="s">
        <v>901</v>
      </c>
      <c r="AP41" t="s">
        <v>902</v>
      </c>
      <c r="AQ41" t="s">
        <v>74</v>
      </c>
      <c r="AR41" t="s">
        <v>903</v>
      </c>
      <c r="AS41" t="s">
        <v>904</v>
      </c>
      <c r="AT41" t="s">
        <v>867</v>
      </c>
      <c r="AU41">
        <v>2012</v>
      </c>
      <c r="AV41">
        <v>47</v>
      </c>
      <c r="AW41">
        <v>11</v>
      </c>
      <c r="AX41" t="s">
        <v>74</v>
      </c>
      <c r="AY41" t="s">
        <v>74</v>
      </c>
      <c r="AZ41" t="s">
        <v>74</v>
      </c>
      <c r="BA41" t="s">
        <v>74</v>
      </c>
      <c r="BB41">
        <v>1738</v>
      </c>
      <c r="BC41">
        <v>1747</v>
      </c>
      <c r="BD41" t="s">
        <v>74</v>
      </c>
      <c r="BE41" t="s">
        <v>905</v>
      </c>
      <c r="BF41" t="str">
        <f>HYPERLINK("http://dx.doi.org/10.1111/maps.12011","http://dx.doi.org/10.1111/maps.12011")</f>
        <v>http://dx.doi.org/10.1111/maps.12011</v>
      </c>
      <c r="BG41" t="s">
        <v>74</v>
      </c>
      <c r="BH41" t="s">
        <v>74</v>
      </c>
      <c r="BI41">
        <v>10</v>
      </c>
      <c r="BJ41" t="s">
        <v>241</v>
      </c>
      <c r="BK41" t="s">
        <v>98</v>
      </c>
      <c r="BL41" t="s">
        <v>241</v>
      </c>
      <c r="BM41" t="s">
        <v>906</v>
      </c>
      <c r="BN41" t="s">
        <v>74</v>
      </c>
      <c r="BO41" t="s">
        <v>74</v>
      </c>
      <c r="BP41" t="s">
        <v>74</v>
      </c>
      <c r="BQ41" t="s">
        <v>74</v>
      </c>
      <c r="BR41" t="s">
        <v>101</v>
      </c>
      <c r="BS41" t="s">
        <v>907</v>
      </c>
      <c r="BT41" t="str">
        <f>HYPERLINK("https%3A%2F%2Fwww.webofscience.com%2Fwos%2Fwoscc%2Ffull-record%2FWOS:000313985100005","View Full Record in Web of Science")</f>
        <v>View Full Record in Web of Science</v>
      </c>
    </row>
    <row r="42" spans="1:72" x14ac:dyDescent="0.15">
      <c r="A42" t="s">
        <v>72</v>
      </c>
      <c r="B42" t="s">
        <v>908</v>
      </c>
      <c r="C42" t="s">
        <v>74</v>
      </c>
      <c r="D42" t="s">
        <v>74</v>
      </c>
      <c r="E42" t="s">
        <v>74</v>
      </c>
      <c r="F42" t="s">
        <v>909</v>
      </c>
      <c r="G42" t="s">
        <v>74</v>
      </c>
      <c r="H42" t="s">
        <v>74</v>
      </c>
      <c r="I42" t="s">
        <v>910</v>
      </c>
      <c r="J42" t="s">
        <v>886</v>
      </c>
      <c r="K42" t="s">
        <v>74</v>
      </c>
      <c r="L42" t="s">
        <v>74</v>
      </c>
      <c r="M42" t="s">
        <v>78</v>
      </c>
      <c r="N42" t="s">
        <v>79</v>
      </c>
      <c r="O42" t="s">
        <v>74</v>
      </c>
      <c r="P42" t="s">
        <v>74</v>
      </c>
      <c r="Q42" t="s">
        <v>74</v>
      </c>
      <c r="R42" t="s">
        <v>74</v>
      </c>
      <c r="S42" t="s">
        <v>74</v>
      </c>
      <c r="T42" t="s">
        <v>74</v>
      </c>
      <c r="U42" t="s">
        <v>911</v>
      </c>
      <c r="V42" t="s">
        <v>912</v>
      </c>
      <c r="W42" t="s">
        <v>913</v>
      </c>
      <c r="X42" t="s">
        <v>914</v>
      </c>
      <c r="Y42" t="s">
        <v>915</v>
      </c>
      <c r="Z42" t="s">
        <v>74</v>
      </c>
      <c r="AA42" t="s">
        <v>74</v>
      </c>
      <c r="AB42" t="s">
        <v>74</v>
      </c>
      <c r="AC42" t="s">
        <v>74</v>
      </c>
      <c r="AD42" t="s">
        <v>74</v>
      </c>
      <c r="AE42" t="s">
        <v>74</v>
      </c>
      <c r="AF42" t="s">
        <v>74</v>
      </c>
      <c r="AG42">
        <v>4</v>
      </c>
      <c r="AH42">
        <v>18</v>
      </c>
      <c r="AI42">
        <v>19</v>
      </c>
      <c r="AJ42">
        <v>0</v>
      </c>
      <c r="AK42">
        <v>5</v>
      </c>
      <c r="AL42" t="s">
        <v>916</v>
      </c>
      <c r="AM42" t="s">
        <v>899</v>
      </c>
      <c r="AN42" t="s">
        <v>900</v>
      </c>
      <c r="AO42" t="s">
        <v>901</v>
      </c>
      <c r="AP42" t="s">
        <v>74</v>
      </c>
      <c r="AQ42" t="s">
        <v>74</v>
      </c>
      <c r="AR42" t="s">
        <v>903</v>
      </c>
      <c r="AS42" t="s">
        <v>904</v>
      </c>
      <c r="AT42" t="s">
        <v>867</v>
      </c>
      <c r="AU42">
        <v>2012</v>
      </c>
      <c r="AV42">
        <v>47</v>
      </c>
      <c r="AW42">
        <v>11</v>
      </c>
      <c r="AX42" t="s">
        <v>74</v>
      </c>
      <c r="AY42" t="s">
        <v>74</v>
      </c>
      <c r="AZ42" t="s">
        <v>74</v>
      </c>
      <c r="BA42" t="s">
        <v>74</v>
      </c>
      <c r="BB42" t="s">
        <v>917</v>
      </c>
      <c r="BC42" t="s">
        <v>918</v>
      </c>
      <c r="BD42" t="s">
        <v>74</v>
      </c>
      <c r="BE42" t="s">
        <v>919</v>
      </c>
      <c r="BF42" t="str">
        <f>HYPERLINK("http://dx.doi.org/10.1111/maps.12026","http://dx.doi.org/10.1111/maps.12026")</f>
        <v>http://dx.doi.org/10.1111/maps.12026</v>
      </c>
      <c r="BG42" t="s">
        <v>74</v>
      </c>
      <c r="BH42" t="s">
        <v>74</v>
      </c>
      <c r="BI42">
        <v>52</v>
      </c>
      <c r="BJ42" t="s">
        <v>241</v>
      </c>
      <c r="BK42" t="s">
        <v>98</v>
      </c>
      <c r="BL42" t="s">
        <v>241</v>
      </c>
      <c r="BM42" t="s">
        <v>906</v>
      </c>
      <c r="BN42" t="s">
        <v>74</v>
      </c>
      <c r="BO42" t="s">
        <v>74</v>
      </c>
      <c r="BP42" t="s">
        <v>74</v>
      </c>
      <c r="BQ42" t="s">
        <v>74</v>
      </c>
      <c r="BR42" t="s">
        <v>101</v>
      </c>
      <c r="BS42" t="s">
        <v>920</v>
      </c>
      <c r="BT42" t="str">
        <f>HYPERLINK("https%3A%2F%2Fwww.webofscience.com%2Fwos%2Fwoscc%2Ffull-record%2FWOS:000313985100001","View Full Record in Web of Science")</f>
        <v>View Full Record in Web of Science</v>
      </c>
    </row>
    <row r="43" spans="1:72" x14ac:dyDescent="0.15">
      <c r="A43" t="s">
        <v>72</v>
      </c>
      <c r="B43" t="s">
        <v>921</v>
      </c>
      <c r="C43" t="s">
        <v>74</v>
      </c>
      <c r="D43" t="s">
        <v>74</v>
      </c>
      <c r="E43" t="s">
        <v>74</v>
      </c>
      <c r="F43" t="s">
        <v>922</v>
      </c>
      <c r="G43" t="s">
        <v>74</v>
      </c>
      <c r="H43" t="s">
        <v>74</v>
      </c>
      <c r="I43" t="s">
        <v>923</v>
      </c>
      <c r="J43" t="s">
        <v>924</v>
      </c>
      <c r="K43" t="s">
        <v>74</v>
      </c>
      <c r="L43" t="s">
        <v>74</v>
      </c>
      <c r="M43" t="s">
        <v>78</v>
      </c>
      <c r="N43" t="s">
        <v>79</v>
      </c>
      <c r="O43" t="s">
        <v>74</v>
      </c>
      <c r="P43" t="s">
        <v>74</v>
      </c>
      <c r="Q43" t="s">
        <v>74</v>
      </c>
      <c r="R43" t="s">
        <v>74</v>
      </c>
      <c r="S43" t="s">
        <v>74</v>
      </c>
      <c r="T43" t="s">
        <v>925</v>
      </c>
      <c r="U43" t="s">
        <v>926</v>
      </c>
      <c r="V43" t="s">
        <v>927</v>
      </c>
      <c r="W43" t="s">
        <v>928</v>
      </c>
      <c r="X43" t="s">
        <v>929</v>
      </c>
      <c r="Y43" t="s">
        <v>930</v>
      </c>
      <c r="Z43" t="s">
        <v>931</v>
      </c>
      <c r="AA43" t="s">
        <v>74</v>
      </c>
      <c r="AB43" t="s">
        <v>74</v>
      </c>
      <c r="AC43" t="s">
        <v>932</v>
      </c>
      <c r="AD43" t="s">
        <v>933</v>
      </c>
      <c r="AE43" t="s">
        <v>934</v>
      </c>
      <c r="AF43" t="s">
        <v>74</v>
      </c>
      <c r="AG43">
        <v>25</v>
      </c>
      <c r="AH43">
        <v>3</v>
      </c>
      <c r="AI43">
        <v>3</v>
      </c>
      <c r="AJ43">
        <v>0</v>
      </c>
      <c r="AK43">
        <v>23</v>
      </c>
      <c r="AL43" t="s">
        <v>935</v>
      </c>
      <c r="AM43" t="s">
        <v>371</v>
      </c>
      <c r="AN43" t="s">
        <v>936</v>
      </c>
      <c r="AO43" t="s">
        <v>937</v>
      </c>
      <c r="AP43" t="s">
        <v>74</v>
      </c>
      <c r="AQ43" t="s">
        <v>74</v>
      </c>
      <c r="AR43" t="s">
        <v>938</v>
      </c>
      <c r="AS43" t="s">
        <v>939</v>
      </c>
      <c r="AT43" t="s">
        <v>867</v>
      </c>
      <c r="AU43">
        <v>2012</v>
      </c>
      <c r="AV43">
        <v>31</v>
      </c>
      <c r="AW43">
        <v>6</v>
      </c>
      <c r="AX43" t="s">
        <v>74</v>
      </c>
      <c r="AY43" t="s">
        <v>74</v>
      </c>
      <c r="AZ43" t="s">
        <v>74</v>
      </c>
      <c r="BA43" t="s">
        <v>74</v>
      </c>
      <c r="BB43">
        <v>1</v>
      </c>
      <c r="BC43">
        <v>11</v>
      </c>
      <c r="BD43" t="s">
        <v>74</v>
      </c>
      <c r="BE43" t="s">
        <v>940</v>
      </c>
      <c r="BF43" t="str">
        <f>HYPERLINK("http://dx.doi.org/10.1007/s13131-012-0248-2","http://dx.doi.org/10.1007/s13131-012-0248-2")</f>
        <v>http://dx.doi.org/10.1007/s13131-012-0248-2</v>
      </c>
      <c r="BG43" t="s">
        <v>74</v>
      </c>
      <c r="BH43" t="s">
        <v>74</v>
      </c>
      <c r="BI43">
        <v>11</v>
      </c>
      <c r="BJ43" t="s">
        <v>941</v>
      </c>
      <c r="BK43" t="s">
        <v>98</v>
      </c>
      <c r="BL43" t="s">
        <v>941</v>
      </c>
      <c r="BM43" t="s">
        <v>942</v>
      </c>
      <c r="BN43" t="s">
        <v>74</v>
      </c>
      <c r="BO43" t="s">
        <v>74</v>
      </c>
      <c r="BP43" t="s">
        <v>74</v>
      </c>
      <c r="BQ43" t="s">
        <v>74</v>
      </c>
      <c r="BR43" t="s">
        <v>101</v>
      </c>
      <c r="BS43" t="s">
        <v>943</v>
      </c>
      <c r="BT43" t="str">
        <f>HYPERLINK("https%3A%2F%2Fwww.webofscience.com%2Fwos%2Fwoscc%2Ffull-record%2FWOS:000312494000001","View Full Record in Web of Science")</f>
        <v>View Full Record in Web of Science</v>
      </c>
    </row>
    <row r="44" spans="1:72" x14ac:dyDescent="0.15">
      <c r="A44" t="s">
        <v>72</v>
      </c>
      <c r="B44" t="s">
        <v>944</v>
      </c>
      <c r="C44" t="s">
        <v>74</v>
      </c>
      <c r="D44" t="s">
        <v>74</v>
      </c>
      <c r="E44" t="s">
        <v>74</v>
      </c>
      <c r="F44" t="s">
        <v>945</v>
      </c>
      <c r="G44" t="s">
        <v>74</v>
      </c>
      <c r="H44" t="s">
        <v>74</v>
      </c>
      <c r="I44" t="s">
        <v>946</v>
      </c>
      <c r="J44" t="s">
        <v>947</v>
      </c>
      <c r="K44" t="s">
        <v>74</v>
      </c>
      <c r="L44" t="s">
        <v>74</v>
      </c>
      <c r="M44" t="s">
        <v>78</v>
      </c>
      <c r="N44" t="s">
        <v>79</v>
      </c>
      <c r="O44" t="s">
        <v>74</v>
      </c>
      <c r="P44" t="s">
        <v>74</v>
      </c>
      <c r="Q44" t="s">
        <v>74</v>
      </c>
      <c r="R44" t="s">
        <v>74</v>
      </c>
      <c r="S44" t="s">
        <v>74</v>
      </c>
      <c r="T44" t="s">
        <v>948</v>
      </c>
      <c r="U44" t="s">
        <v>949</v>
      </c>
      <c r="V44" t="s">
        <v>950</v>
      </c>
      <c r="W44" t="s">
        <v>951</v>
      </c>
      <c r="X44" t="s">
        <v>952</v>
      </c>
      <c r="Y44" t="s">
        <v>953</v>
      </c>
      <c r="Z44" t="s">
        <v>954</v>
      </c>
      <c r="AA44" t="s">
        <v>955</v>
      </c>
      <c r="AB44" t="s">
        <v>956</v>
      </c>
      <c r="AC44" t="s">
        <v>957</v>
      </c>
      <c r="AD44" t="s">
        <v>958</v>
      </c>
      <c r="AE44" t="s">
        <v>959</v>
      </c>
      <c r="AF44" t="s">
        <v>74</v>
      </c>
      <c r="AG44">
        <v>82</v>
      </c>
      <c r="AH44">
        <v>41</v>
      </c>
      <c r="AI44">
        <v>45</v>
      </c>
      <c r="AJ44">
        <v>0</v>
      </c>
      <c r="AK44">
        <v>33</v>
      </c>
      <c r="AL44" t="s">
        <v>188</v>
      </c>
      <c r="AM44" t="s">
        <v>189</v>
      </c>
      <c r="AN44" t="s">
        <v>190</v>
      </c>
      <c r="AO44" t="s">
        <v>960</v>
      </c>
      <c r="AP44" t="s">
        <v>961</v>
      </c>
      <c r="AQ44" t="s">
        <v>74</v>
      </c>
      <c r="AR44" t="s">
        <v>962</v>
      </c>
      <c r="AS44" t="s">
        <v>963</v>
      </c>
      <c r="AT44" t="s">
        <v>964</v>
      </c>
      <c r="AU44">
        <v>2012</v>
      </c>
      <c r="AV44">
        <v>329</v>
      </c>
      <c r="AW44" t="s">
        <v>74</v>
      </c>
      <c r="AX44" t="s">
        <v>74</v>
      </c>
      <c r="AY44" t="s">
        <v>74</v>
      </c>
      <c r="AZ44" t="s">
        <v>74</v>
      </c>
      <c r="BA44" t="s">
        <v>74</v>
      </c>
      <c r="BB44">
        <v>113</v>
      </c>
      <c r="BC44">
        <v>125</v>
      </c>
      <c r="BD44" t="s">
        <v>74</v>
      </c>
      <c r="BE44" t="s">
        <v>965</v>
      </c>
      <c r="BF44" t="str">
        <f>HYPERLINK("http://dx.doi.org/10.1016/j.margeo.2012.09.009","http://dx.doi.org/10.1016/j.margeo.2012.09.009")</f>
        <v>http://dx.doi.org/10.1016/j.margeo.2012.09.009</v>
      </c>
      <c r="BG44" t="s">
        <v>74</v>
      </c>
      <c r="BH44" t="s">
        <v>74</v>
      </c>
      <c r="BI44">
        <v>13</v>
      </c>
      <c r="BJ44" t="s">
        <v>966</v>
      </c>
      <c r="BK44" t="s">
        <v>98</v>
      </c>
      <c r="BL44" t="s">
        <v>967</v>
      </c>
      <c r="BM44" t="s">
        <v>968</v>
      </c>
      <c r="BN44" t="s">
        <v>74</v>
      </c>
      <c r="BO44" t="s">
        <v>74</v>
      </c>
      <c r="BP44" t="s">
        <v>74</v>
      </c>
      <c r="BQ44" t="s">
        <v>74</v>
      </c>
      <c r="BR44" t="s">
        <v>101</v>
      </c>
      <c r="BS44" t="s">
        <v>969</v>
      </c>
      <c r="BT44" t="str">
        <f>HYPERLINK("https%3A%2F%2Fwww.webofscience.com%2Fwos%2Fwoscc%2Ffull-record%2FWOS:000312506300010","View Full Record in Web of Science")</f>
        <v>View Full Record in Web of Science</v>
      </c>
    </row>
    <row r="45" spans="1:72" x14ac:dyDescent="0.15">
      <c r="A45" t="s">
        <v>72</v>
      </c>
      <c r="B45" t="s">
        <v>970</v>
      </c>
      <c r="C45" t="s">
        <v>74</v>
      </c>
      <c r="D45" t="s">
        <v>74</v>
      </c>
      <c r="E45" t="s">
        <v>74</v>
      </c>
      <c r="F45" t="s">
        <v>971</v>
      </c>
      <c r="G45" t="s">
        <v>74</v>
      </c>
      <c r="H45" t="s">
        <v>74</v>
      </c>
      <c r="I45" t="s">
        <v>972</v>
      </c>
      <c r="J45" t="s">
        <v>973</v>
      </c>
      <c r="K45" t="s">
        <v>74</v>
      </c>
      <c r="L45" t="s">
        <v>74</v>
      </c>
      <c r="M45" t="s">
        <v>78</v>
      </c>
      <c r="N45" t="s">
        <v>974</v>
      </c>
      <c r="O45" t="s">
        <v>74</v>
      </c>
      <c r="P45" t="s">
        <v>74</v>
      </c>
      <c r="Q45" t="s">
        <v>74</v>
      </c>
      <c r="R45" t="s">
        <v>74</v>
      </c>
      <c r="S45" t="s">
        <v>74</v>
      </c>
      <c r="T45" t="s">
        <v>975</v>
      </c>
      <c r="U45" t="s">
        <v>976</v>
      </c>
      <c r="V45" t="s">
        <v>977</v>
      </c>
      <c r="W45" t="s">
        <v>978</v>
      </c>
      <c r="X45" t="s">
        <v>979</v>
      </c>
      <c r="Y45" t="s">
        <v>980</v>
      </c>
      <c r="Z45" t="s">
        <v>981</v>
      </c>
      <c r="AA45" t="s">
        <v>982</v>
      </c>
      <c r="AB45" t="s">
        <v>983</v>
      </c>
      <c r="AC45" t="s">
        <v>984</v>
      </c>
      <c r="AD45" t="s">
        <v>985</v>
      </c>
      <c r="AE45" t="s">
        <v>986</v>
      </c>
      <c r="AF45" t="s">
        <v>74</v>
      </c>
      <c r="AG45">
        <v>141</v>
      </c>
      <c r="AH45">
        <v>4</v>
      </c>
      <c r="AI45">
        <v>5</v>
      </c>
      <c r="AJ45">
        <v>1</v>
      </c>
      <c r="AK45">
        <v>35</v>
      </c>
      <c r="AL45" t="s">
        <v>987</v>
      </c>
      <c r="AM45" t="s">
        <v>988</v>
      </c>
      <c r="AN45" t="s">
        <v>989</v>
      </c>
      <c r="AO45" t="s">
        <v>990</v>
      </c>
      <c r="AP45" t="s">
        <v>991</v>
      </c>
      <c r="AQ45" t="s">
        <v>74</v>
      </c>
      <c r="AR45" t="s">
        <v>992</v>
      </c>
      <c r="AS45" t="s">
        <v>993</v>
      </c>
      <c r="AT45" t="s">
        <v>867</v>
      </c>
      <c r="AU45">
        <v>2012</v>
      </c>
      <c r="AV45">
        <v>32</v>
      </c>
      <c r="AW45">
        <v>4</v>
      </c>
      <c r="AX45" t="s">
        <v>74</v>
      </c>
      <c r="AY45" t="s">
        <v>74</v>
      </c>
      <c r="AZ45" t="s">
        <v>74</v>
      </c>
      <c r="BA45" t="s">
        <v>74</v>
      </c>
      <c r="BB45">
        <v>431</v>
      </c>
      <c r="BC45">
        <v>445</v>
      </c>
      <c r="BD45" t="s">
        <v>74</v>
      </c>
      <c r="BE45" t="s">
        <v>994</v>
      </c>
      <c r="BF45" t="str">
        <f>HYPERLINK("http://dx.doi.org/10.1659/MRD-JOURNAL-D-12-00062.1","http://dx.doi.org/10.1659/MRD-JOURNAL-D-12-00062.1")</f>
        <v>http://dx.doi.org/10.1659/MRD-JOURNAL-D-12-00062.1</v>
      </c>
      <c r="BG45" t="s">
        <v>74</v>
      </c>
      <c r="BH45" t="s">
        <v>74</v>
      </c>
      <c r="BI45">
        <v>15</v>
      </c>
      <c r="BJ45" t="s">
        <v>995</v>
      </c>
      <c r="BK45" t="s">
        <v>98</v>
      </c>
      <c r="BL45" t="s">
        <v>996</v>
      </c>
      <c r="BM45" t="s">
        <v>997</v>
      </c>
      <c r="BN45" t="s">
        <v>74</v>
      </c>
      <c r="BO45" t="s">
        <v>998</v>
      </c>
      <c r="BP45" t="s">
        <v>74</v>
      </c>
      <c r="BQ45" t="s">
        <v>74</v>
      </c>
      <c r="BR45" t="s">
        <v>101</v>
      </c>
      <c r="BS45" t="s">
        <v>999</v>
      </c>
      <c r="BT45" t="str">
        <f>HYPERLINK("https%3A%2F%2Fwww.webofscience.com%2Fwos%2Fwoscc%2Ffull-record%2FWOS:000312839500006","View Full Record in Web of Science")</f>
        <v>View Full Record in Web of Science</v>
      </c>
    </row>
    <row r="46" spans="1:72" x14ac:dyDescent="0.15">
      <c r="A46" t="s">
        <v>72</v>
      </c>
      <c r="B46" t="s">
        <v>1000</v>
      </c>
      <c r="C46" t="s">
        <v>74</v>
      </c>
      <c r="D46" t="s">
        <v>74</v>
      </c>
      <c r="E46" t="s">
        <v>74</v>
      </c>
      <c r="F46" t="s">
        <v>1001</v>
      </c>
      <c r="G46" t="s">
        <v>74</v>
      </c>
      <c r="H46" t="s">
        <v>74</v>
      </c>
      <c r="I46" t="s">
        <v>1002</v>
      </c>
      <c r="J46" t="s">
        <v>1003</v>
      </c>
      <c r="K46" t="s">
        <v>74</v>
      </c>
      <c r="L46" t="s">
        <v>74</v>
      </c>
      <c r="M46" t="s">
        <v>78</v>
      </c>
      <c r="N46" t="s">
        <v>79</v>
      </c>
      <c r="O46" t="s">
        <v>74</v>
      </c>
      <c r="P46" t="s">
        <v>74</v>
      </c>
      <c r="Q46" t="s">
        <v>74</v>
      </c>
      <c r="R46" t="s">
        <v>74</v>
      </c>
      <c r="S46" t="s">
        <v>74</v>
      </c>
      <c r="T46" t="s">
        <v>1004</v>
      </c>
      <c r="U46" t="s">
        <v>1005</v>
      </c>
      <c r="V46" t="s">
        <v>1006</v>
      </c>
      <c r="W46" t="s">
        <v>1007</v>
      </c>
      <c r="X46" t="s">
        <v>1008</v>
      </c>
      <c r="Y46" t="s">
        <v>1009</v>
      </c>
      <c r="Z46" t="s">
        <v>1010</v>
      </c>
      <c r="AA46" t="s">
        <v>1011</v>
      </c>
      <c r="AB46" t="s">
        <v>1012</v>
      </c>
      <c r="AC46" t="s">
        <v>1013</v>
      </c>
      <c r="AD46" t="s">
        <v>1014</v>
      </c>
      <c r="AE46" t="s">
        <v>1015</v>
      </c>
      <c r="AF46" t="s">
        <v>74</v>
      </c>
      <c r="AG46">
        <v>22</v>
      </c>
      <c r="AH46">
        <v>10</v>
      </c>
      <c r="AI46">
        <v>11</v>
      </c>
      <c r="AJ46">
        <v>0</v>
      </c>
      <c r="AK46">
        <v>28</v>
      </c>
      <c r="AL46" t="s">
        <v>89</v>
      </c>
      <c r="AM46" t="s">
        <v>90</v>
      </c>
      <c r="AN46" t="s">
        <v>91</v>
      </c>
      <c r="AO46" t="s">
        <v>1016</v>
      </c>
      <c r="AP46" t="s">
        <v>74</v>
      </c>
      <c r="AQ46" t="s">
        <v>74</v>
      </c>
      <c r="AR46" t="s">
        <v>1017</v>
      </c>
      <c r="AS46" t="s">
        <v>1018</v>
      </c>
      <c r="AT46" t="s">
        <v>867</v>
      </c>
      <c r="AU46">
        <v>2012</v>
      </c>
      <c r="AV46">
        <v>72</v>
      </c>
      <c r="AW46">
        <v>1</v>
      </c>
      <c r="AX46" t="s">
        <v>74</v>
      </c>
      <c r="AY46" t="s">
        <v>74</v>
      </c>
      <c r="AZ46" t="s">
        <v>1019</v>
      </c>
      <c r="BA46" t="s">
        <v>74</v>
      </c>
      <c r="BB46">
        <v>138</v>
      </c>
      <c r="BC46">
        <v>145</v>
      </c>
      <c r="BD46" t="s">
        <v>74</v>
      </c>
      <c r="BE46" t="s">
        <v>1020</v>
      </c>
      <c r="BF46" t="str">
        <f>HYPERLINK("http://dx.doi.org/10.1016/j.pss.2012.08.009","http://dx.doi.org/10.1016/j.pss.2012.08.009")</f>
        <v>http://dx.doi.org/10.1016/j.pss.2012.08.009</v>
      </c>
      <c r="BG46" t="s">
        <v>74</v>
      </c>
      <c r="BH46" t="s">
        <v>74</v>
      </c>
      <c r="BI46">
        <v>8</v>
      </c>
      <c r="BJ46" t="s">
        <v>127</v>
      </c>
      <c r="BK46" t="s">
        <v>98</v>
      </c>
      <c r="BL46" t="s">
        <v>127</v>
      </c>
      <c r="BM46" t="s">
        <v>1021</v>
      </c>
      <c r="BN46" t="s">
        <v>74</v>
      </c>
      <c r="BO46" t="s">
        <v>74</v>
      </c>
      <c r="BP46" t="s">
        <v>74</v>
      </c>
      <c r="BQ46" t="s">
        <v>74</v>
      </c>
      <c r="BR46" t="s">
        <v>101</v>
      </c>
      <c r="BS46" t="s">
        <v>1022</v>
      </c>
      <c r="BT46" t="str">
        <f>HYPERLINK("https%3A%2F%2Fwww.webofscience.com%2Fwos%2Fwoscc%2Ffull-record%2FWOS:000312615600015","View Full Record in Web of Science")</f>
        <v>View Full Record in Web of Science</v>
      </c>
    </row>
    <row r="47" spans="1:72" x14ac:dyDescent="0.15">
      <c r="A47" t="s">
        <v>72</v>
      </c>
      <c r="B47" t="s">
        <v>1023</v>
      </c>
      <c r="C47" t="s">
        <v>74</v>
      </c>
      <c r="D47" t="s">
        <v>74</v>
      </c>
      <c r="E47" t="s">
        <v>74</v>
      </c>
      <c r="F47" t="s">
        <v>1024</v>
      </c>
      <c r="G47" t="s">
        <v>74</v>
      </c>
      <c r="H47" t="s">
        <v>74</v>
      </c>
      <c r="I47" t="s">
        <v>1025</v>
      </c>
      <c r="J47" t="s">
        <v>1026</v>
      </c>
      <c r="K47" t="s">
        <v>74</v>
      </c>
      <c r="L47" t="s">
        <v>74</v>
      </c>
      <c r="M47" t="s">
        <v>78</v>
      </c>
      <c r="N47" t="s">
        <v>79</v>
      </c>
      <c r="O47" t="s">
        <v>74</v>
      </c>
      <c r="P47" t="s">
        <v>74</v>
      </c>
      <c r="Q47" t="s">
        <v>74</v>
      </c>
      <c r="R47" t="s">
        <v>74</v>
      </c>
      <c r="S47" t="s">
        <v>74</v>
      </c>
      <c r="T47" t="s">
        <v>74</v>
      </c>
      <c r="U47" t="s">
        <v>1027</v>
      </c>
      <c r="V47" t="s">
        <v>1028</v>
      </c>
      <c r="W47" t="s">
        <v>1029</v>
      </c>
      <c r="X47" t="s">
        <v>1030</v>
      </c>
      <c r="Y47" t="s">
        <v>1031</v>
      </c>
      <c r="Z47" t="s">
        <v>1032</v>
      </c>
      <c r="AA47" t="s">
        <v>74</v>
      </c>
      <c r="AB47" t="s">
        <v>1033</v>
      </c>
      <c r="AC47" t="s">
        <v>74</v>
      </c>
      <c r="AD47" t="s">
        <v>74</v>
      </c>
      <c r="AE47" t="s">
        <v>74</v>
      </c>
      <c r="AF47" t="s">
        <v>74</v>
      </c>
      <c r="AG47">
        <v>55</v>
      </c>
      <c r="AH47">
        <v>14</v>
      </c>
      <c r="AI47">
        <v>17</v>
      </c>
      <c r="AJ47">
        <v>3</v>
      </c>
      <c r="AK47">
        <v>16</v>
      </c>
      <c r="AL47" t="s">
        <v>1034</v>
      </c>
      <c r="AM47" t="s">
        <v>90</v>
      </c>
      <c r="AN47" t="s">
        <v>1035</v>
      </c>
      <c r="AO47" t="s">
        <v>1036</v>
      </c>
      <c r="AP47" t="s">
        <v>1037</v>
      </c>
      <c r="AQ47" t="s">
        <v>74</v>
      </c>
      <c r="AR47" t="s">
        <v>1026</v>
      </c>
      <c r="AS47" t="s">
        <v>1038</v>
      </c>
      <c r="AT47" t="s">
        <v>867</v>
      </c>
      <c r="AU47">
        <v>2012</v>
      </c>
      <c r="AV47">
        <v>28</v>
      </c>
      <c r="AW47">
        <v>4</v>
      </c>
      <c r="AX47" t="s">
        <v>74</v>
      </c>
      <c r="AY47" t="s">
        <v>74</v>
      </c>
      <c r="AZ47" t="s">
        <v>74</v>
      </c>
      <c r="BA47" t="s">
        <v>74</v>
      </c>
      <c r="BB47">
        <v>234</v>
      </c>
      <c r="BC47">
        <v>243</v>
      </c>
      <c r="BD47" t="s">
        <v>74</v>
      </c>
      <c r="BE47" t="s">
        <v>1039</v>
      </c>
      <c r="BF47" t="str">
        <f>HYPERLINK("http://dx.doi.org/10.1016/j.spacepol.2012.04.001","http://dx.doi.org/10.1016/j.spacepol.2012.04.001")</f>
        <v>http://dx.doi.org/10.1016/j.spacepol.2012.04.001</v>
      </c>
      <c r="BG47" t="s">
        <v>74</v>
      </c>
      <c r="BH47" t="s">
        <v>74</v>
      </c>
      <c r="BI47">
        <v>10</v>
      </c>
      <c r="BJ47" t="s">
        <v>1040</v>
      </c>
      <c r="BK47" t="s">
        <v>1041</v>
      </c>
      <c r="BL47" t="s">
        <v>1042</v>
      </c>
      <c r="BM47" t="s">
        <v>1043</v>
      </c>
      <c r="BN47" t="s">
        <v>74</v>
      </c>
      <c r="BO47" t="s">
        <v>494</v>
      </c>
      <c r="BP47" t="s">
        <v>74</v>
      </c>
      <c r="BQ47" t="s">
        <v>74</v>
      </c>
      <c r="BR47" t="s">
        <v>101</v>
      </c>
      <c r="BS47" t="s">
        <v>1044</v>
      </c>
      <c r="BT47" t="str">
        <f>HYPERLINK("https%3A%2F%2Fwww.webofscience.com%2Fwos%2Fwoscc%2Ffull-record%2FWOS:000313133500005","View Full Record in Web of Science")</f>
        <v>View Full Record in Web of Science</v>
      </c>
    </row>
    <row r="48" spans="1:72" x14ac:dyDescent="0.15">
      <c r="A48" t="s">
        <v>72</v>
      </c>
      <c r="B48" t="s">
        <v>1045</v>
      </c>
      <c r="C48" t="s">
        <v>74</v>
      </c>
      <c r="D48" t="s">
        <v>74</v>
      </c>
      <c r="E48" t="s">
        <v>74</v>
      </c>
      <c r="F48" t="s">
        <v>1046</v>
      </c>
      <c r="G48" t="s">
        <v>74</v>
      </c>
      <c r="H48" t="s">
        <v>74</v>
      </c>
      <c r="I48" t="s">
        <v>1047</v>
      </c>
      <c r="J48" t="s">
        <v>1048</v>
      </c>
      <c r="K48" t="s">
        <v>74</v>
      </c>
      <c r="L48" t="s">
        <v>74</v>
      </c>
      <c r="M48" t="s">
        <v>78</v>
      </c>
      <c r="N48" t="s">
        <v>79</v>
      </c>
      <c r="O48" t="s">
        <v>74</v>
      </c>
      <c r="P48" t="s">
        <v>74</v>
      </c>
      <c r="Q48" t="s">
        <v>74</v>
      </c>
      <c r="R48" t="s">
        <v>74</v>
      </c>
      <c r="S48" t="s">
        <v>74</v>
      </c>
      <c r="T48" t="s">
        <v>1049</v>
      </c>
      <c r="U48" t="s">
        <v>1050</v>
      </c>
      <c r="V48" t="s">
        <v>1051</v>
      </c>
      <c r="W48" t="s">
        <v>1052</v>
      </c>
      <c r="X48" t="s">
        <v>1053</v>
      </c>
      <c r="Y48" t="s">
        <v>1054</v>
      </c>
      <c r="Z48" t="s">
        <v>1055</v>
      </c>
      <c r="AA48" t="s">
        <v>74</v>
      </c>
      <c r="AB48" t="s">
        <v>74</v>
      </c>
      <c r="AC48" t="s">
        <v>74</v>
      </c>
      <c r="AD48" t="s">
        <v>74</v>
      </c>
      <c r="AE48" t="s">
        <v>74</v>
      </c>
      <c r="AF48" t="s">
        <v>74</v>
      </c>
      <c r="AG48">
        <v>34</v>
      </c>
      <c r="AH48">
        <v>7</v>
      </c>
      <c r="AI48">
        <v>7</v>
      </c>
      <c r="AJ48">
        <v>0</v>
      </c>
      <c r="AK48">
        <v>10</v>
      </c>
      <c r="AL48" t="s">
        <v>1056</v>
      </c>
      <c r="AM48" t="s">
        <v>1057</v>
      </c>
      <c r="AN48" t="s">
        <v>1058</v>
      </c>
      <c r="AO48" t="s">
        <v>1059</v>
      </c>
      <c r="AP48" t="s">
        <v>1060</v>
      </c>
      <c r="AQ48" t="s">
        <v>74</v>
      </c>
      <c r="AR48" t="s">
        <v>1061</v>
      </c>
      <c r="AS48" t="s">
        <v>1062</v>
      </c>
      <c r="AT48" t="s">
        <v>867</v>
      </c>
      <c r="AU48">
        <v>2012</v>
      </c>
      <c r="AV48">
        <v>51</v>
      </c>
      <c r="AW48">
        <v>6</v>
      </c>
      <c r="AX48" t="s">
        <v>74</v>
      </c>
      <c r="AY48" t="s">
        <v>74</v>
      </c>
      <c r="AZ48" t="s">
        <v>74</v>
      </c>
      <c r="BA48" t="s">
        <v>74</v>
      </c>
      <c r="BB48">
        <v>881</v>
      </c>
      <c r="BC48">
        <v>892</v>
      </c>
      <c r="BD48" t="s">
        <v>74</v>
      </c>
      <c r="BE48" t="s">
        <v>74</v>
      </c>
      <c r="BF48" t="s">
        <v>74</v>
      </c>
      <c r="BG48" t="s">
        <v>74</v>
      </c>
      <c r="BH48" t="s">
        <v>74</v>
      </c>
      <c r="BI48">
        <v>12</v>
      </c>
      <c r="BJ48" t="s">
        <v>675</v>
      </c>
      <c r="BK48" t="s">
        <v>98</v>
      </c>
      <c r="BL48" t="s">
        <v>675</v>
      </c>
      <c r="BM48" t="s">
        <v>1063</v>
      </c>
      <c r="BN48" t="s">
        <v>74</v>
      </c>
      <c r="BO48" t="s">
        <v>74</v>
      </c>
      <c r="BP48" t="s">
        <v>74</v>
      </c>
      <c r="BQ48" t="s">
        <v>74</v>
      </c>
      <c r="BR48" t="s">
        <v>101</v>
      </c>
      <c r="BS48" t="s">
        <v>1064</v>
      </c>
      <c r="BT48" t="str">
        <f>HYPERLINK("https%3A%2F%2Fwww.webofscience.com%2Fwos%2Fwoscc%2Ffull-record%2FWOS:000312750200013","View Full Record in Web of Science")</f>
        <v>View Full Record in Web of Science</v>
      </c>
    </row>
    <row r="49" spans="1:72" x14ac:dyDescent="0.15">
      <c r="A49" t="s">
        <v>72</v>
      </c>
      <c r="B49" t="s">
        <v>1065</v>
      </c>
      <c r="C49" t="s">
        <v>74</v>
      </c>
      <c r="D49" t="s">
        <v>74</v>
      </c>
      <c r="E49" t="s">
        <v>74</v>
      </c>
      <c r="F49" t="s">
        <v>1066</v>
      </c>
      <c r="G49" t="s">
        <v>74</v>
      </c>
      <c r="H49" t="s">
        <v>74</v>
      </c>
      <c r="I49" t="s">
        <v>1067</v>
      </c>
      <c r="J49" t="s">
        <v>1068</v>
      </c>
      <c r="K49" t="s">
        <v>74</v>
      </c>
      <c r="L49" t="s">
        <v>74</v>
      </c>
      <c r="M49" t="s">
        <v>78</v>
      </c>
      <c r="N49" t="s">
        <v>79</v>
      </c>
      <c r="O49" t="s">
        <v>74</v>
      </c>
      <c r="P49" t="s">
        <v>74</v>
      </c>
      <c r="Q49" t="s">
        <v>74</v>
      </c>
      <c r="R49" t="s">
        <v>74</v>
      </c>
      <c r="S49" t="s">
        <v>74</v>
      </c>
      <c r="T49" t="s">
        <v>1069</v>
      </c>
      <c r="U49" t="s">
        <v>1070</v>
      </c>
      <c r="V49" t="s">
        <v>1071</v>
      </c>
      <c r="W49" t="s">
        <v>1072</v>
      </c>
      <c r="X49" t="s">
        <v>1073</v>
      </c>
      <c r="Y49" t="s">
        <v>1074</v>
      </c>
      <c r="Z49" t="s">
        <v>1075</v>
      </c>
      <c r="AA49" t="s">
        <v>1076</v>
      </c>
      <c r="AB49" t="s">
        <v>1077</v>
      </c>
      <c r="AC49" t="s">
        <v>1078</v>
      </c>
      <c r="AD49" t="s">
        <v>1079</v>
      </c>
      <c r="AE49" t="s">
        <v>1080</v>
      </c>
      <c r="AF49" t="s">
        <v>74</v>
      </c>
      <c r="AG49">
        <v>92</v>
      </c>
      <c r="AH49">
        <v>29</v>
      </c>
      <c r="AI49">
        <v>29</v>
      </c>
      <c r="AJ49">
        <v>1</v>
      </c>
      <c r="AK49">
        <v>11</v>
      </c>
      <c r="AL49" t="s">
        <v>1081</v>
      </c>
      <c r="AM49" t="s">
        <v>1082</v>
      </c>
      <c r="AN49" t="s">
        <v>1083</v>
      </c>
      <c r="AO49" t="s">
        <v>1084</v>
      </c>
      <c r="AP49" t="s">
        <v>1085</v>
      </c>
      <c r="AQ49" t="s">
        <v>74</v>
      </c>
      <c r="AR49" t="s">
        <v>1068</v>
      </c>
      <c r="AS49" t="s">
        <v>1086</v>
      </c>
      <c r="AT49" t="s">
        <v>1087</v>
      </c>
      <c r="AU49">
        <v>2012</v>
      </c>
      <c r="AV49">
        <v>221</v>
      </c>
      <c r="AW49">
        <v>2</v>
      </c>
      <c r="AX49" t="s">
        <v>74</v>
      </c>
      <c r="AY49" t="s">
        <v>74</v>
      </c>
      <c r="AZ49" t="s">
        <v>74</v>
      </c>
      <c r="BA49" t="s">
        <v>74</v>
      </c>
      <c r="BB49">
        <v>911</v>
      </c>
      <c r="BC49">
        <v>924</v>
      </c>
      <c r="BD49" t="s">
        <v>74</v>
      </c>
      <c r="BE49" t="s">
        <v>1088</v>
      </c>
      <c r="BF49" t="str">
        <f>HYPERLINK("http://dx.doi.org/10.1016/j.icarus.2012.09.017","http://dx.doi.org/10.1016/j.icarus.2012.09.017")</f>
        <v>http://dx.doi.org/10.1016/j.icarus.2012.09.017</v>
      </c>
      <c r="BG49" t="s">
        <v>74</v>
      </c>
      <c r="BH49" t="s">
        <v>74</v>
      </c>
      <c r="BI49">
        <v>14</v>
      </c>
      <c r="BJ49" t="s">
        <v>127</v>
      </c>
      <c r="BK49" t="s">
        <v>98</v>
      </c>
      <c r="BL49" t="s">
        <v>127</v>
      </c>
      <c r="BM49" t="s">
        <v>1089</v>
      </c>
      <c r="BN49" t="s">
        <v>74</v>
      </c>
      <c r="BO49" t="s">
        <v>74</v>
      </c>
      <c r="BP49" t="s">
        <v>74</v>
      </c>
      <c r="BQ49" t="s">
        <v>74</v>
      </c>
      <c r="BR49" t="s">
        <v>101</v>
      </c>
      <c r="BS49" t="s">
        <v>1090</v>
      </c>
      <c r="BT49" t="str">
        <f>HYPERLINK("https%3A%2F%2Fwww.webofscience.com%2Fwos%2Fwoscc%2Ffull-record%2FWOS:000312434300038","View Full Record in Web of Science")</f>
        <v>View Full Record in Web of Science</v>
      </c>
    </row>
    <row r="50" spans="1:72" x14ac:dyDescent="0.15">
      <c r="A50" t="s">
        <v>72</v>
      </c>
      <c r="B50" t="s">
        <v>1091</v>
      </c>
      <c r="C50" t="s">
        <v>74</v>
      </c>
      <c r="D50" t="s">
        <v>74</v>
      </c>
      <c r="E50" t="s">
        <v>74</v>
      </c>
      <c r="F50" t="s">
        <v>1092</v>
      </c>
      <c r="G50" t="s">
        <v>74</v>
      </c>
      <c r="H50" t="s">
        <v>74</v>
      </c>
      <c r="I50" t="s">
        <v>1093</v>
      </c>
      <c r="J50" t="s">
        <v>1068</v>
      </c>
      <c r="K50" t="s">
        <v>74</v>
      </c>
      <c r="L50" t="s">
        <v>74</v>
      </c>
      <c r="M50" t="s">
        <v>78</v>
      </c>
      <c r="N50" t="s">
        <v>79</v>
      </c>
      <c r="O50" t="s">
        <v>74</v>
      </c>
      <c r="P50" t="s">
        <v>74</v>
      </c>
      <c r="Q50" t="s">
        <v>74</v>
      </c>
      <c r="R50" t="s">
        <v>74</v>
      </c>
      <c r="S50" t="s">
        <v>74</v>
      </c>
      <c r="T50" t="s">
        <v>1094</v>
      </c>
      <c r="U50" t="s">
        <v>1095</v>
      </c>
      <c r="V50" t="s">
        <v>1096</v>
      </c>
      <c r="W50" t="s">
        <v>1097</v>
      </c>
      <c r="X50" t="s">
        <v>1098</v>
      </c>
      <c r="Y50" t="s">
        <v>1099</v>
      </c>
      <c r="Z50" t="s">
        <v>1100</v>
      </c>
      <c r="AA50" t="s">
        <v>1101</v>
      </c>
      <c r="AB50" t="s">
        <v>1102</v>
      </c>
      <c r="AC50" t="s">
        <v>1103</v>
      </c>
      <c r="AD50" t="s">
        <v>1104</v>
      </c>
      <c r="AE50" t="s">
        <v>1105</v>
      </c>
      <c r="AF50" t="s">
        <v>74</v>
      </c>
      <c r="AG50">
        <v>49</v>
      </c>
      <c r="AH50">
        <v>51</v>
      </c>
      <c r="AI50">
        <v>54</v>
      </c>
      <c r="AJ50">
        <v>0</v>
      </c>
      <c r="AK50">
        <v>13</v>
      </c>
      <c r="AL50" t="s">
        <v>1081</v>
      </c>
      <c r="AM50" t="s">
        <v>1082</v>
      </c>
      <c r="AN50" t="s">
        <v>1083</v>
      </c>
      <c r="AO50" t="s">
        <v>1084</v>
      </c>
      <c r="AP50" t="s">
        <v>1085</v>
      </c>
      <c r="AQ50" t="s">
        <v>74</v>
      </c>
      <c r="AR50" t="s">
        <v>1068</v>
      </c>
      <c r="AS50" t="s">
        <v>1086</v>
      </c>
      <c r="AT50" t="s">
        <v>1087</v>
      </c>
      <c r="AU50">
        <v>2012</v>
      </c>
      <c r="AV50">
        <v>221</v>
      </c>
      <c r="AW50">
        <v>2</v>
      </c>
      <c r="AX50" t="s">
        <v>74</v>
      </c>
      <c r="AY50" t="s">
        <v>74</v>
      </c>
      <c r="AZ50" t="s">
        <v>74</v>
      </c>
      <c r="BA50" t="s">
        <v>74</v>
      </c>
      <c r="BB50">
        <v>925</v>
      </c>
      <c r="BC50">
        <v>939</v>
      </c>
      <c r="BD50" t="s">
        <v>74</v>
      </c>
      <c r="BE50" t="s">
        <v>1106</v>
      </c>
      <c r="BF50" t="str">
        <f>HYPERLINK("http://dx.doi.org/10.1016/j.icarus.2012.09.023","http://dx.doi.org/10.1016/j.icarus.2012.09.023")</f>
        <v>http://dx.doi.org/10.1016/j.icarus.2012.09.023</v>
      </c>
      <c r="BG50" t="s">
        <v>74</v>
      </c>
      <c r="BH50" t="s">
        <v>74</v>
      </c>
      <c r="BI50">
        <v>15</v>
      </c>
      <c r="BJ50" t="s">
        <v>127</v>
      </c>
      <c r="BK50" t="s">
        <v>98</v>
      </c>
      <c r="BL50" t="s">
        <v>127</v>
      </c>
      <c r="BM50" t="s">
        <v>1089</v>
      </c>
      <c r="BN50" t="s">
        <v>74</v>
      </c>
      <c r="BO50" t="s">
        <v>74</v>
      </c>
      <c r="BP50" t="s">
        <v>74</v>
      </c>
      <c r="BQ50" t="s">
        <v>74</v>
      </c>
      <c r="BR50" t="s">
        <v>101</v>
      </c>
      <c r="BS50" t="s">
        <v>1107</v>
      </c>
      <c r="BT50" t="str">
        <f>HYPERLINK("https%3A%2F%2Fwww.webofscience.com%2Fwos%2Fwoscc%2Ffull-record%2FWOS:000312434300039","View Full Record in Web of Science")</f>
        <v>View Full Record in Web of Science</v>
      </c>
    </row>
    <row r="51" spans="1:72" x14ac:dyDescent="0.15">
      <c r="A51" t="s">
        <v>72</v>
      </c>
      <c r="B51" t="s">
        <v>1108</v>
      </c>
      <c r="C51" t="s">
        <v>74</v>
      </c>
      <c r="D51" t="s">
        <v>74</v>
      </c>
      <c r="E51" t="s">
        <v>74</v>
      </c>
      <c r="F51" t="s">
        <v>1109</v>
      </c>
      <c r="G51" t="s">
        <v>74</v>
      </c>
      <c r="H51" t="s">
        <v>74</v>
      </c>
      <c r="I51" t="s">
        <v>1110</v>
      </c>
      <c r="J51" t="s">
        <v>1068</v>
      </c>
      <c r="K51" t="s">
        <v>74</v>
      </c>
      <c r="L51" t="s">
        <v>74</v>
      </c>
      <c r="M51" t="s">
        <v>78</v>
      </c>
      <c r="N51" t="s">
        <v>79</v>
      </c>
      <c r="O51" t="s">
        <v>74</v>
      </c>
      <c r="P51" t="s">
        <v>74</v>
      </c>
      <c r="Q51" t="s">
        <v>74</v>
      </c>
      <c r="R51" t="s">
        <v>74</v>
      </c>
      <c r="S51" t="s">
        <v>74</v>
      </c>
      <c r="T51" t="s">
        <v>1111</v>
      </c>
      <c r="U51" t="s">
        <v>1112</v>
      </c>
      <c r="V51" t="s">
        <v>1113</v>
      </c>
      <c r="W51" t="s">
        <v>1114</v>
      </c>
      <c r="X51" t="s">
        <v>1073</v>
      </c>
      <c r="Y51" t="s">
        <v>1074</v>
      </c>
      <c r="Z51" t="s">
        <v>1075</v>
      </c>
      <c r="AA51" t="s">
        <v>1076</v>
      </c>
      <c r="AB51" t="s">
        <v>1077</v>
      </c>
      <c r="AC51" t="s">
        <v>1078</v>
      </c>
      <c r="AD51" t="s">
        <v>1079</v>
      </c>
      <c r="AE51" t="s">
        <v>1115</v>
      </c>
      <c r="AF51" t="s">
        <v>74</v>
      </c>
      <c r="AG51">
        <v>127</v>
      </c>
      <c r="AH51">
        <v>37</v>
      </c>
      <c r="AI51">
        <v>41</v>
      </c>
      <c r="AJ51">
        <v>1</v>
      </c>
      <c r="AK51">
        <v>11</v>
      </c>
      <c r="AL51" t="s">
        <v>1081</v>
      </c>
      <c r="AM51" t="s">
        <v>1082</v>
      </c>
      <c r="AN51" t="s">
        <v>1083</v>
      </c>
      <c r="AO51" t="s">
        <v>1084</v>
      </c>
      <c r="AP51" t="s">
        <v>1085</v>
      </c>
      <c r="AQ51" t="s">
        <v>74</v>
      </c>
      <c r="AR51" t="s">
        <v>1068</v>
      </c>
      <c r="AS51" t="s">
        <v>1086</v>
      </c>
      <c r="AT51" t="s">
        <v>1087</v>
      </c>
      <c r="AU51">
        <v>2012</v>
      </c>
      <c r="AV51">
        <v>221</v>
      </c>
      <c r="AW51">
        <v>2</v>
      </c>
      <c r="AX51" t="s">
        <v>74</v>
      </c>
      <c r="AY51" t="s">
        <v>74</v>
      </c>
      <c r="AZ51" t="s">
        <v>74</v>
      </c>
      <c r="BA51" t="s">
        <v>74</v>
      </c>
      <c r="BB51">
        <v>984</v>
      </c>
      <c r="BC51">
        <v>1001</v>
      </c>
      <c r="BD51" t="s">
        <v>74</v>
      </c>
      <c r="BE51" t="s">
        <v>1116</v>
      </c>
      <c r="BF51" t="str">
        <f>HYPERLINK("http://dx.doi.org/10.1016/j.icarus.2012.10.008","http://dx.doi.org/10.1016/j.icarus.2012.10.008")</f>
        <v>http://dx.doi.org/10.1016/j.icarus.2012.10.008</v>
      </c>
      <c r="BG51" t="s">
        <v>74</v>
      </c>
      <c r="BH51" t="s">
        <v>74</v>
      </c>
      <c r="BI51">
        <v>18</v>
      </c>
      <c r="BJ51" t="s">
        <v>127</v>
      </c>
      <c r="BK51" t="s">
        <v>98</v>
      </c>
      <c r="BL51" t="s">
        <v>127</v>
      </c>
      <c r="BM51" t="s">
        <v>1089</v>
      </c>
      <c r="BN51" t="s">
        <v>74</v>
      </c>
      <c r="BO51" t="s">
        <v>74</v>
      </c>
      <c r="BP51" t="s">
        <v>74</v>
      </c>
      <c r="BQ51" t="s">
        <v>74</v>
      </c>
      <c r="BR51" t="s">
        <v>101</v>
      </c>
      <c r="BS51" t="s">
        <v>1117</v>
      </c>
      <c r="BT51" t="str">
        <f>HYPERLINK("https%3A%2F%2Fwww.webofscience.com%2Fwos%2Fwoscc%2Ffull-record%2FWOS:000312434300044","View Full Record in Web of Science")</f>
        <v>View Full Record in Web of Science</v>
      </c>
    </row>
    <row r="52" spans="1:72" x14ac:dyDescent="0.15">
      <c r="A52" t="s">
        <v>72</v>
      </c>
      <c r="B52" t="s">
        <v>1118</v>
      </c>
      <c r="C52" t="s">
        <v>74</v>
      </c>
      <c r="D52" t="s">
        <v>74</v>
      </c>
      <c r="E52" t="s">
        <v>74</v>
      </c>
      <c r="F52" t="s">
        <v>1119</v>
      </c>
      <c r="G52" t="s">
        <v>74</v>
      </c>
      <c r="H52" t="s">
        <v>74</v>
      </c>
      <c r="I52" t="s">
        <v>1120</v>
      </c>
      <c r="J52" t="s">
        <v>1121</v>
      </c>
      <c r="K52" t="s">
        <v>74</v>
      </c>
      <c r="L52" t="s">
        <v>74</v>
      </c>
      <c r="M52" t="s">
        <v>78</v>
      </c>
      <c r="N52" t="s">
        <v>79</v>
      </c>
      <c r="O52" t="s">
        <v>74</v>
      </c>
      <c r="P52" t="s">
        <v>74</v>
      </c>
      <c r="Q52" t="s">
        <v>74</v>
      </c>
      <c r="R52" t="s">
        <v>74</v>
      </c>
      <c r="S52" t="s">
        <v>74</v>
      </c>
      <c r="T52" t="s">
        <v>74</v>
      </c>
      <c r="U52" t="s">
        <v>1122</v>
      </c>
      <c r="V52" t="s">
        <v>1123</v>
      </c>
      <c r="W52" t="s">
        <v>1124</v>
      </c>
      <c r="X52" t="s">
        <v>1125</v>
      </c>
      <c r="Y52" t="s">
        <v>1126</v>
      </c>
      <c r="Z52" t="s">
        <v>1127</v>
      </c>
      <c r="AA52" t="s">
        <v>1128</v>
      </c>
      <c r="AB52" t="s">
        <v>1129</v>
      </c>
      <c r="AC52" t="s">
        <v>74</v>
      </c>
      <c r="AD52" t="s">
        <v>74</v>
      </c>
      <c r="AE52" t="s">
        <v>74</v>
      </c>
      <c r="AF52" t="s">
        <v>74</v>
      </c>
      <c r="AG52">
        <v>25</v>
      </c>
      <c r="AH52">
        <v>8</v>
      </c>
      <c r="AI52">
        <v>8</v>
      </c>
      <c r="AJ52">
        <v>1</v>
      </c>
      <c r="AK52">
        <v>23</v>
      </c>
      <c r="AL52" t="s">
        <v>1130</v>
      </c>
      <c r="AM52" t="s">
        <v>371</v>
      </c>
      <c r="AN52" t="s">
        <v>1131</v>
      </c>
      <c r="AO52" t="s">
        <v>1132</v>
      </c>
      <c r="AP52" t="s">
        <v>74</v>
      </c>
      <c r="AQ52" t="s">
        <v>74</v>
      </c>
      <c r="AR52" t="s">
        <v>1133</v>
      </c>
      <c r="AS52" t="s">
        <v>1134</v>
      </c>
      <c r="AT52" t="s">
        <v>867</v>
      </c>
      <c r="AU52">
        <v>2012</v>
      </c>
      <c r="AV52">
        <v>52</v>
      </c>
      <c r="AW52">
        <v>6</v>
      </c>
      <c r="AX52" t="s">
        <v>74</v>
      </c>
      <c r="AY52" t="s">
        <v>74</v>
      </c>
      <c r="AZ52" t="s">
        <v>74</v>
      </c>
      <c r="BA52" t="s">
        <v>74</v>
      </c>
      <c r="BB52">
        <v>754</v>
      </c>
      <c r="BC52">
        <v>759</v>
      </c>
      <c r="BD52" t="s">
        <v>74</v>
      </c>
      <c r="BE52" t="s">
        <v>1135</v>
      </c>
      <c r="BF52" t="str">
        <f>HYPERLINK("http://dx.doi.org/10.1134/S0001437012060136","http://dx.doi.org/10.1134/S0001437012060136")</f>
        <v>http://dx.doi.org/10.1134/S0001437012060136</v>
      </c>
      <c r="BG52" t="s">
        <v>74</v>
      </c>
      <c r="BH52" t="s">
        <v>74</v>
      </c>
      <c r="BI52">
        <v>6</v>
      </c>
      <c r="BJ52" t="s">
        <v>941</v>
      </c>
      <c r="BK52" t="s">
        <v>98</v>
      </c>
      <c r="BL52" t="s">
        <v>941</v>
      </c>
      <c r="BM52" t="s">
        <v>1136</v>
      </c>
      <c r="BN52" t="s">
        <v>74</v>
      </c>
      <c r="BO52" t="s">
        <v>74</v>
      </c>
      <c r="BP52" t="s">
        <v>74</v>
      </c>
      <c r="BQ52" t="s">
        <v>74</v>
      </c>
      <c r="BR52" t="s">
        <v>101</v>
      </c>
      <c r="BS52" t="s">
        <v>1137</v>
      </c>
      <c r="BT52" t="str">
        <f>HYPERLINK("https%3A%2F%2Fwww.webofscience.com%2Fwos%2Fwoscc%2Ffull-record%2FWOS:000312563700006","View Full Record in Web of Science")</f>
        <v>View Full Record in Web of Science</v>
      </c>
    </row>
    <row r="53" spans="1:72" x14ac:dyDescent="0.15">
      <c r="A53" t="s">
        <v>72</v>
      </c>
      <c r="B53" t="s">
        <v>1138</v>
      </c>
      <c r="C53" t="s">
        <v>74</v>
      </c>
      <c r="D53" t="s">
        <v>74</v>
      </c>
      <c r="E53" t="s">
        <v>74</v>
      </c>
      <c r="F53" t="s">
        <v>1139</v>
      </c>
      <c r="G53" t="s">
        <v>74</v>
      </c>
      <c r="H53" t="s">
        <v>74</v>
      </c>
      <c r="I53" t="s">
        <v>1140</v>
      </c>
      <c r="J53" t="s">
        <v>1141</v>
      </c>
      <c r="K53" t="s">
        <v>74</v>
      </c>
      <c r="L53" t="s">
        <v>74</v>
      </c>
      <c r="M53" t="s">
        <v>78</v>
      </c>
      <c r="N53" t="s">
        <v>79</v>
      </c>
      <c r="O53" t="s">
        <v>74</v>
      </c>
      <c r="P53" t="s">
        <v>74</v>
      </c>
      <c r="Q53" t="s">
        <v>74</v>
      </c>
      <c r="R53" t="s">
        <v>74</v>
      </c>
      <c r="S53" t="s">
        <v>74</v>
      </c>
      <c r="T53" t="s">
        <v>74</v>
      </c>
      <c r="U53" t="s">
        <v>1142</v>
      </c>
      <c r="V53" t="s">
        <v>1143</v>
      </c>
      <c r="W53" t="s">
        <v>1144</v>
      </c>
      <c r="X53" t="s">
        <v>1145</v>
      </c>
      <c r="Y53" t="s">
        <v>1146</v>
      </c>
      <c r="Z53" t="s">
        <v>1147</v>
      </c>
      <c r="AA53" t="s">
        <v>1148</v>
      </c>
      <c r="AB53" t="s">
        <v>1149</v>
      </c>
      <c r="AC53" t="s">
        <v>1150</v>
      </c>
      <c r="AD53" t="s">
        <v>1151</v>
      </c>
      <c r="AE53" t="s">
        <v>1152</v>
      </c>
      <c r="AF53" t="s">
        <v>74</v>
      </c>
      <c r="AG53">
        <v>30</v>
      </c>
      <c r="AH53">
        <v>3</v>
      </c>
      <c r="AI53">
        <v>3</v>
      </c>
      <c r="AJ53">
        <v>0</v>
      </c>
      <c r="AK53">
        <v>14</v>
      </c>
      <c r="AL53" t="s">
        <v>1153</v>
      </c>
      <c r="AM53" t="s">
        <v>1154</v>
      </c>
      <c r="AN53" t="s">
        <v>1155</v>
      </c>
      <c r="AO53" t="s">
        <v>1156</v>
      </c>
      <c r="AP53" t="s">
        <v>74</v>
      </c>
      <c r="AQ53" t="s">
        <v>74</v>
      </c>
      <c r="AR53" t="s">
        <v>1157</v>
      </c>
      <c r="AS53" t="s">
        <v>1158</v>
      </c>
      <c r="AT53" t="s">
        <v>867</v>
      </c>
      <c r="AU53">
        <v>2012</v>
      </c>
      <c r="AV53">
        <v>10</v>
      </c>
      <c r="AW53" t="s">
        <v>74</v>
      </c>
      <c r="AX53" t="s">
        <v>74</v>
      </c>
      <c r="AY53" t="s">
        <v>74</v>
      </c>
      <c r="AZ53" t="s">
        <v>74</v>
      </c>
      <c r="BA53" t="s">
        <v>74</v>
      </c>
      <c r="BB53">
        <v>832</v>
      </c>
      <c r="BC53">
        <v>839</v>
      </c>
      <c r="BD53" t="s">
        <v>74</v>
      </c>
      <c r="BE53" t="s">
        <v>1159</v>
      </c>
      <c r="BF53" t="str">
        <f>HYPERLINK("http://dx.doi.org/10.4319/lom.2012.10.832","http://dx.doi.org/10.4319/lom.2012.10.832")</f>
        <v>http://dx.doi.org/10.4319/lom.2012.10.832</v>
      </c>
      <c r="BG53" t="s">
        <v>74</v>
      </c>
      <c r="BH53" t="s">
        <v>74</v>
      </c>
      <c r="BI53">
        <v>8</v>
      </c>
      <c r="BJ53" t="s">
        <v>1160</v>
      </c>
      <c r="BK53" t="s">
        <v>98</v>
      </c>
      <c r="BL53" t="s">
        <v>1161</v>
      </c>
      <c r="BM53" t="s">
        <v>1162</v>
      </c>
      <c r="BN53" t="s">
        <v>74</v>
      </c>
      <c r="BO53" t="s">
        <v>607</v>
      </c>
      <c r="BP53" t="s">
        <v>74</v>
      </c>
      <c r="BQ53" t="s">
        <v>74</v>
      </c>
      <c r="BR53" t="s">
        <v>101</v>
      </c>
      <c r="BS53" t="s">
        <v>1163</v>
      </c>
      <c r="BT53" t="str">
        <f>HYPERLINK("https%3A%2F%2Fwww.webofscience.com%2Fwos%2Fwoscc%2Ffull-record%2FWOS:000312067700002","View Full Record in Web of Science")</f>
        <v>View Full Record in Web of Science</v>
      </c>
    </row>
    <row r="54" spans="1:72" x14ac:dyDescent="0.15">
      <c r="A54" t="s">
        <v>72</v>
      </c>
      <c r="B54" t="s">
        <v>1164</v>
      </c>
      <c r="C54" t="s">
        <v>74</v>
      </c>
      <c r="D54" t="s">
        <v>74</v>
      </c>
      <c r="E54" t="s">
        <v>74</v>
      </c>
      <c r="F54" t="s">
        <v>1165</v>
      </c>
      <c r="G54" t="s">
        <v>74</v>
      </c>
      <c r="H54" t="s">
        <v>74</v>
      </c>
      <c r="I54" t="s">
        <v>1166</v>
      </c>
      <c r="J54" t="s">
        <v>1167</v>
      </c>
      <c r="K54" t="s">
        <v>74</v>
      </c>
      <c r="L54" t="s">
        <v>74</v>
      </c>
      <c r="M54" t="s">
        <v>78</v>
      </c>
      <c r="N54" t="s">
        <v>79</v>
      </c>
      <c r="O54" t="s">
        <v>74</v>
      </c>
      <c r="P54" t="s">
        <v>74</v>
      </c>
      <c r="Q54" t="s">
        <v>74</v>
      </c>
      <c r="R54" t="s">
        <v>74</v>
      </c>
      <c r="S54" t="s">
        <v>74</v>
      </c>
      <c r="T54" t="s">
        <v>74</v>
      </c>
      <c r="U54" t="s">
        <v>74</v>
      </c>
      <c r="V54" t="s">
        <v>1168</v>
      </c>
      <c r="W54" t="s">
        <v>74</v>
      </c>
      <c r="X54" t="s">
        <v>74</v>
      </c>
      <c r="Y54" t="s">
        <v>1169</v>
      </c>
      <c r="Z54" t="s">
        <v>1170</v>
      </c>
      <c r="AA54" t="s">
        <v>74</v>
      </c>
      <c r="AB54" t="s">
        <v>74</v>
      </c>
      <c r="AC54" t="s">
        <v>74</v>
      </c>
      <c r="AD54" t="s">
        <v>74</v>
      </c>
      <c r="AE54" t="s">
        <v>74</v>
      </c>
      <c r="AF54" t="s">
        <v>74</v>
      </c>
      <c r="AG54">
        <v>7</v>
      </c>
      <c r="AH54">
        <v>1</v>
      </c>
      <c r="AI54">
        <v>1</v>
      </c>
      <c r="AJ54">
        <v>0</v>
      </c>
      <c r="AK54">
        <v>2</v>
      </c>
      <c r="AL54" t="s">
        <v>1171</v>
      </c>
      <c r="AM54" t="s">
        <v>434</v>
      </c>
      <c r="AN54" t="s">
        <v>1172</v>
      </c>
      <c r="AO54" t="s">
        <v>1173</v>
      </c>
      <c r="AP54" t="s">
        <v>74</v>
      </c>
      <c r="AQ54" t="s">
        <v>74</v>
      </c>
      <c r="AR54" t="s">
        <v>1174</v>
      </c>
      <c r="AS54" t="s">
        <v>1175</v>
      </c>
      <c r="AT54" t="s">
        <v>867</v>
      </c>
      <c r="AU54">
        <v>2012</v>
      </c>
      <c r="AV54">
        <v>20</v>
      </c>
      <c r="AW54">
        <v>4</v>
      </c>
      <c r="AX54" t="s">
        <v>74</v>
      </c>
      <c r="AY54" t="s">
        <v>74</v>
      </c>
      <c r="AZ54" t="s">
        <v>74</v>
      </c>
      <c r="BA54" t="s">
        <v>74</v>
      </c>
      <c r="BB54">
        <v>164</v>
      </c>
      <c r="BC54">
        <v>168</v>
      </c>
      <c r="BD54" t="s">
        <v>74</v>
      </c>
      <c r="BE54" t="s">
        <v>1176</v>
      </c>
      <c r="BF54" t="str">
        <f>HYPERLINK("http://dx.doi.org/10.1258/jmb.2011.011040","http://dx.doi.org/10.1258/jmb.2011.011040")</f>
        <v>http://dx.doi.org/10.1258/jmb.2011.011040</v>
      </c>
      <c r="BG54" t="s">
        <v>74</v>
      </c>
      <c r="BH54" t="s">
        <v>74</v>
      </c>
      <c r="BI54">
        <v>5</v>
      </c>
      <c r="BJ54" t="s">
        <v>1177</v>
      </c>
      <c r="BK54" t="s">
        <v>1178</v>
      </c>
      <c r="BL54" t="s">
        <v>1179</v>
      </c>
      <c r="BM54" t="s">
        <v>1180</v>
      </c>
      <c r="BN54">
        <v>23143320</v>
      </c>
      <c r="BO54" t="s">
        <v>74</v>
      </c>
      <c r="BP54" t="s">
        <v>74</v>
      </c>
      <c r="BQ54" t="s">
        <v>74</v>
      </c>
      <c r="BR54" t="s">
        <v>101</v>
      </c>
      <c r="BS54" t="s">
        <v>1181</v>
      </c>
      <c r="BT54" t="str">
        <f>HYPERLINK("https%3A%2F%2Fwww.webofscience.com%2Fwos%2Fwoscc%2Ffull-record%2FWOS:000311469600007","View Full Record in Web of Science")</f>
        <v>View Full Record in Web of Science</v>
      </c>
    </row>
    <row r="55" spans="1:72" x14ac:dyDescent="0.15">
      <c r="A55" t="s">
        <v>72</v>
      </c>
      <c r="B55" t="s">
        <v>1182</v>
      </c>
      <c r="C55" t="s">
        <v>74</v>
      </c>
      <c r="D55" t="s">
        <v>74</v>
      </c>
      <c r="E55" t="s">
        <v>74</v>
      </c>
      <c r="F55" t="s">
        <v>1183</v>
      </c>
      <c r="G55" t="s">
        <v>74</v>
      </c>
      <c r="H55" t="s">
        <v>74</v>
      </c>
      <c r="I55" t="s">
        <v>1184</v>
      </c>
      <c r="J55" t="s">
        <v>1167</v>
      </c>
      <c r="K55" t="s">
        <v>74</v>
      </c>
      <c r="L55" t="s">
        <v>74</v>
      </c>
      <c r="M55" t="s">
        <v>78</v>
      </c>
      <c r="N55" t="s">
        <v>1185</v>
      </c>
      <c r="O55" t="s">
        <v>74</v>
      </c>
      <c r="P55" t="s">
        <v>74</v>
      </c>
      <c r="Q55" t="s">
        <v>74</v>
      </c>
      <c r="R55" t="s">
        <v>74</v>
      </c>
      <c r="S55" t="s">
        <v>74</v>
      </c>
      <c r="T55" t="s">
        <v>74</v>
      </c>
      <c r="U55" t="s">
        <v>74</v>
      </c>
      <c r="V55" t="s">
        <v>1186</v>
      </c>
      <c r="W55" t="s">
        <v>1187</v>
      </c>
      <c r="X55" t="s">
        <v>74</v>
      </c>
      <c r="Y55" t="s">
        <v>1188</v>
      </c>
      <c r="Z55" t="s">
        <v>1189</v>
      </c>
      <c r="AA55" t="s">
        <v>74</v>
      </c>
      <c r="AB55" t="s">
        <v>74</v>
      </c>
      <c r="AC55" t="s">
        <v>74</v>
      </c>
      <c r="AD55" t="s">
        <v>74</v>
      </c>
      <c r="AE55" t="s">
        <v>74</v>
      </c>
      <c r="AF55" t="s">
        <v>74</v>
      </c>
      <c r="AG55">
        <v>0</v>
      </c>
      <c r="AH55">
        <v>1</v>
      </c>
      <c r="AI55">
        <v>2</v>
      </c>
      <c r="AJ55">
        <v>0</v>
      </c>
      <c r="AK55">
        <v>4</v>
      </c>
      <c r="AL55" t="s">
        <v>1171</v>
      </c>
      <c r="AM55" t="s">
        <v>434</v>
      </c>
      <c r="AN55" t="s">
        <v>1172</v>
      </c>
      <c r="AO55" t="s">
        <v>1173</v>
      </c>
      <c r="AP55" t="s">
        <v>74</v>
      </c>
      <c r="AQ55" t="s">
        <v>74</v>
      </c>
      <c r="AR55" t="s">
        <v>1174</v>
      </c>
      <c r="AS55" t="s">
        <v>1175</v>
      </c>
      <c r="AT55" t="s">
        <v>867</v>
      </c>
      <c r="AU55">
        <v>2012</v>
      </c>
      <c r="AV55">
        <v>20</v>
      </c>
      <c r="AW55">
        <v>4</v>
      </c>
      <c r="AX55" t="s">
        <v>74</v>
      </c>
      <c r="AY55" t="s">
        <v>74</v>
      </c>
      <c r="AZ55" t="s">
        <v>74</v>
      </c>
      <c r="BA55" t="s">
        <v>74</v>
      </c>
      <c r="BB55">
        <v>169</v>
      </c>
      <c r="BC55">
        <v>172</v>
      </c>
      <c r="BD55" t="s">
        <v>74</v>
      </c>
      <c r="BE55" t="s">
        <v>1190</v>
      </c>
      <c r="BF55" t="str">
        <f>HYPERLINK("http://dx.doi.org/10.1258/jmb.2012.012061","http://dx.doi.org/10.1258/jmb.2012.012061")</f>
        <v>http://dx.doi.org/10.1258/jmb.2012.012061</v>
      </c>
      <c r="BG55" t="s">
        <v>74</v>
      </c>
      <c r="BH55" t="s">
        <v>74</v>
      </c>
      <c r="BI55">
        <v>4</v>
      </c>
      <c r="BJ55" t="s">
        <v>1177</v>
      </c>
      <c r="BK55" t="s">
        <v>1178</v>
      </c>
      <c r="BL55" t="s">
        <v>1179</v>
      </c>
      <c r="BM55" t="s">
        <v>1180</v>
      </c>
      <c r="BN55">
        <v>23143321</v>
      </c>
      <c r="BO55" t="s">
        <v>74</v>
      </c>
      <c r="BP55" t="s">
        <v>74</v>
      </c>
      <c r="BQ55" t="s">
        <v>74</v>
      </c>
      <c r="BR55" t="s">
        <v>101</v>
      </c>
      <c r="BS55" t="s">
        <v>1191</v>
      </c>
      <c r="BT55" t="str">
        <f>HYPERLINK("https%3A%2F%2Fwww.webofscience.com%2Fwos%2Fwoscc%2Ffull-record%2FWOS:000311469600008","View Full Record in Web of Science")</f>
        <v>View Full Record in Web of Science</v>
      </c>
    </row>
    <row r="56" spans="1:72" x14ac:dyDescent="0.15">
      <c r="A56" t="s">
        <v>72</v>
      </c>
      <c r="B56" t="s">
        <v>1192</v>
      </c>
      <c r="C56" t="s">
        <v>74</v>
      </c>
      <c r="D56" t="s">
        <v>74</v>
      </c>
      <c r="E56" t="s">
        <v>74</v>
      </c>
      <c r="F56" t="s">
        <v>1193</v>
      </c>
      <c r="G56" t="s">
        <v>74</v>
      </c>
      <c r="H56" t="s">
        <v>74</v>
      </c>
      <c r="I56" t="s">
        <v>1194</v>
      </c>
      <c r="J56" t="s">
        <v>1167</v>
      </c>
      <c r="K56" t="s">
        <v>74</v>
      </c>
      <c r="L56" t="s">
        <v>74</v>
      </c>
      <c r="M56" t="s">
        <v>78</v>
      </c>
      <c r="N56" t="s">
        <v>79</v>
      </c>
      <c r="O56" t="s">
        <v>74</v>
      </c>
      <c r="P56" t="s">
        <v>74</v>
      </c>
      <c r="Q56" t="s">
        <v>74</v>
      </c>
      <c r="R56" t="s">
        <v>74</v>
      </c>
      <c r="S56" t="s">
        <v>74</v>
      </c>
      <c r="T56" t="s">
        <v>74</v>
      </c>
      <c r="U56" t="s">
        <v>74</v>
      </c>
      <c r="V56" t="s">
        <v>1195</v>
      </c>
      <c r="W56" t="s">
        <v>1196</v>
      </c>
      <c r="X56" t="s">
        <v>1197</v>
      </c>
      <c r="Y56" t="s">
        <v>1198</v>
      </c>
      <c r="Z56" t="s">
        <v>1199</v>
      </c>
      <c r="AA56" t="s">
        <v>74</v>
      </c>
      <c r="AB56" t="s">
        <v>1200</v>
      </c>
      <c r="AC56" t="s">
        <v>74</v>
      </c>
      <c r="AD56" t="s">
        <v>74</v>
      </c>
      <c r="AE56" t="s">
        <v>74</v>
      </c>
      <c r="AF56" t="s">
        <v>74</v>
      </c>
      <c r="AG56">
        <v>13</v>
      </c>
      <c r="AH56">
        <v>1</v>
      </c>
      <c r="AI56">
        <v>1</v>
      </c>
      <c r="AJ56">
        <v>0</v>
      </c>
      <c r="AK56">
        <v>5</v>
      </c>
      <c r="AL56" t="s">
        <v>1171</v>
      </c>
      <c r="AM56" t="s">
        <v>434</v>
      </c>
      <c r="AN56" t="s">
        <v>1172</v>
      </c>
      <c r="AO56" t="s">
        <v>1173</v>
      </c>
      <c r="AP56" t="s">
        <v>74</v>
      </c>
      <c r="AQ56" t="s">
        <v>74</v>
      </c>
      <c r="AR56" t="s">
        <v>1174</v>
      </c>
      <c r="AS56" t="s">
        <v>1175</v>
      </c>
      <c r="AT56" t="s">
        <v>867</v>
      </c>
      <c r="AU56">
        <v>2012</v>
      </c>
      <c r="AV56">
        <v>20</v>
      </c>
      <c r="AW56">
        <v>4</v>
      </c>
      <c r="AX56" t="s">
        <v>74</v>
      </c>
      <c r="AY56" t="s">
        <v>74</v>
      </c>
      <c r="AZ56" t="s">
        <v>74</v>
      </c>
      <c r="BA56" t="s">
        <v>74</v>
      </c>
      <c r="BB56">
        <v>173</v>
      </c>
      <c r="BC56">
        <v>181</v>
      </c>
      <c r="BD56" t="s">
        <v>74</v>
      </c>
      <c r="BE56" t="s">
        <v>1201</v>
      </c>
      <c r="BF56" t="str">
        <f>HYPERLINK("http://dx.doi.org/10.1258/jmb.2012.012060","http://dx.doi.org/10.1258/jmb.2012.012060")</f>
        <v>http://dx.doi.org/10.1258/jmb.2012.012060</v>
      </c>
      <c r="BG56" t="s">
        <v>74</v>
      </c>
      <c r="BH56" t="s">
        <v>74</v>
      </c>
      <c r="BI56">
        <v>9</v>
      </c>
      <c r="BJ56" t="s">
        <v>1177</v>
      </c>
      <c r="BK56" t="s">
        <v>1178</v>
      </c>
      <c r="BL56" t="s">
        <v>1179</v>
      </c>
      <c r="BM56" t="s">
        <v>1180</v>
      </c>
      <c r="BN56">
        <v>23143322</v>
      </c>
      <c r="BO56" t="s">
        <v>74</v>
      </c>
      <c r="BP56" t="s">
        <v>74</v>
      </c>
      <c r="BQ56" t="s">
        <v>74</v>
      </c>
      <c r="BR56" t="s">
        <v>101</v>
      </c>
      <c r="BS56" t="s">
        <v>1202</v>
      </c>
      <c r="BT56" t="str">
        <f>HYPERLINK("https%3A%2F%2Fwww.webofscience.com%2Fwos%2Fwoscc%2Ffull-record%2FWOS:000311469600009","View Full Record in Web of Science")</f>
        <v>View Full Record in Web of Science</v>
      </c>
    </row>
    <row r="57" spans="1:72" x14ac:dyDescent="0.15">
      <c r="A57" t="s">
        <v>72</v>
      </c>
      <c r="B57" t="s">
        <v>1203</v>
      </c>
      <c r="C57" t="s">
        <v>74</v>
      </c>
      <c r="D57" t="s">
        <v>74</v>
      </c>
      <c r="E57" t="s">
        <v>74</v>
      </c>
      <c r="F57" t="s">
        <v>1204</v>
      </c>
      <c r="G57" t="s">
        <v>74</v>
      </c>
      <c r="H57" t="s">
        <v>74</v>
      </c>
      <c r="I57" t="s">
        <v>1205</v>
      </c>
      <c r="J57" t="s">
        <v>1206</v>
      </c>
      <c r="K57" t="s">
        <v>74</v>
      </c>
      <c r="L57" t="s">
        <v>74</v>
      </c>
      <c r="M57" t="s">
        <v>78</v>
      </c>
      <c r="N57" t="s">
        <v>79</v>
      </c>
      <c r="O57" t="s">
        <v>74</v>
      </c>
      <c r="P57" t="s">
        <v>74</v>
      </c>
      <c r="Q57" t="s">
        <v>74</v>
      </c>
      <c r="R57" t="s">
        <v>74</v>
      </c>
      <c r="S57" t="s">
        <v>74</v>
      </c>
      <c r="T57" t="s">
        <v>1207</v>
      </c>
      <c r="U57" t="s">
        <v>1208</v>
      </c>
      <c r="V57" t="s">
        <v>1209</v>
      </c>
      <c r="W57" t="s">
        <v>1210</v>
      </c>
      <c r="X57" t="s">
        <v>1211</v>
      </c>
      <c r="Y57" t="s">
        <v>1212</v>
      </c>
      <c r="Z57" t="s">
        <v>1213</v>
      </c>
      <c r="AA57" t="s">
        <v>1214</v>
      </c>
      <c r="AB57" t="s">
        <v>1215</v>
      </c>
      <c r="AC57" t="s">
        <v>1216</v>
      </c>
      <c r="AD57" t="s">
        <v>1217</v>
      </c>
      <c r="AE57" t="s">
        <v>1218</v>
      </c>
      <c r="AF57" t="s">
        <v>74</v>
      </c>
      <c r="AG57">
        <v>40</v>
      </c>
      <c r="AH57">
        <v>4</v>
      </c>
      <c r="AI57">
        <v>5</v>
      </c>
      <c r="AJ57">
        <v>0</v>
      </c>
      <c r="AK57">
        <v>14</v>
      </c>
      <c r="AL57" t="s">
        <v>1219</v>
      </c>
      <c r="AM57" t="s">
        <v>1220</v>
      </c>
      <c r="AN57" t="s">
        <v>1221</v>
      </c>
      <c r="AO57" t="s">
        <v>1222</v>
      </c>
      <c r="AP57" t="s">
        <v>1223</v>
      </c>
      <c r="AQ57" t="s">
        <v>74</v>
      </c>
      <c r="AR57" t="s">
        <v>1224</v>
      </c>
      <c r="AS57" t="s">
        <v>1225</v>
      </c>
      <c r="AT57" t="s">
        <v>867</v>
      </c>
      <c r="AU57">
        <v>2012</v>
      </c>
      <c r="AV57">
        <v>118</v>
      </c>
      <c r="AW57">
        <v>3</v>
      </c>
      <c r="AX57" t="s">
        <v>74</v>
      </c>
      <c r="AY57" t="s">
        <v>74</v>
      </c>
      <c r="AZ57" t="s">
        <v>74</v>
      </c>
      <c r="BA57" t="s">
        <v>74</v>
      </c>
      <c r="BB57">
        <v>493</v>
      </c>
      <c r="BC57">
        <v>501</v>
      </c>
      <c r="BD57" t="s">
        <v>74</v>
      </c>
      <c r="BE57" t="s">
        <v>1226</v>
      </c>
      <c r="BF57" t="str">
        <f>HYPERLINK("http://dx.doi.org/10.13130/2039-4942/6016","http://dx.doi.org/10.13130/2039-4942/6016")</f>
        <v>http://dx.doi.org/10.13130/2039-4942/6016</v>
      </c>
      <c r="BG57" t="s">
        <v>74</v>
      </c>
      <c r="BH57" t="s">
        <v>74</v>
      </c>
      <c r="BI57">
        <v>9</v>
      </c>
      <c r="BJ57" t="s">
        <v>1227</v>
      </c>
      <c r="BK57" t="s">
        <v>98</v>
      </c>
      <c r="BL57" t="s">
        <v>1227</v>
      </c>
      <c r="BM57" t="s">
        <v>1228</v>
      </c>
      <c r="BN57" t="s">
        <v>74</v>
      </c>
      <c r="BO57" t="s">
        <v>74</v>
      </c>
      <c r="BP57" t="s">
        <v>74</v>
      </c>
      <c r="BQ57" t="s">
        <v>74</v>
      </c>
      <c r="BR57" t="s">
        <v>101</v>
      </c>
      <c r="BS57" t="s">
        <v>1229</v>
      </c>
      <c r="BT57" t="str">
        <f>HYPERLINK("https%3A%2F%2Fwww.webofscience.com%2Fwos%2Fwoscc%2Ffull-record%2FWOS:000311883500006","View Full Record in Web of Science")</f>
        <v>View Full Record in Web of Science</v>
      </c>
    </row>
    <row r="58" spans="1:72" x14ac:dyDescent="0.15">
      <c r="A58" t="s">
        <v>72</v>
      </c>
      <c r="B58" t="s">
        <v>1230</v>
      </c>
      <c r="C58" t="s">
        <v>74</v>
      </c>
      <c r="D58" t="s">
        <v>74</v>
      </c>
      <c r="E58" t="s">
        <v>74</v>
      </c>
      <c r="F58" t="s">
        <v>1231</v>
      </c>
      <c r="G58" t="s">
        <v>74</v>
      </c>
      <c r="H58" t="s">
        <v>74</v>
      </c>
      <c r="I58" t="s">
        <v>1232</v>
      </c>
      <c r="J58" t="s">
        <v>1233</v>
      </c>
      <c r="K58" t="s">
        <v>74</v>
      </c>
      <c r="L58" t="s">
        <v>74</v>
      </c>
      <c r="M58" t="s">
        <v>78</v>
      </c>
      <c r="N58" t="s">
        <v>79</v>
      </c>
      <c r="O58" t="s">
        <v>74</v>
      </c>
      <c r="P58" t="s">
        <v>74</v>
      </c>
      <c r="Q58" t="s">
        <v>74</v>
      </c>
      <c r="R58" t="s">
        <v>74</v>
      </c>
      <c r="S58" t="s">
        <v>74</v>
      </c>
      <c r="T58" t="s">
        <v>74</v>
      </c>
      <c r="U58" t="s">
        <v>1234</v>
      </c>
      <c r="V58" t="s">
        <v>1235</v>
      </c>
      <c r="W58" t="s">
        <v>1236</v>
      </c>
      <c r="X58" t="s">
        <v>1237</v>
      </c>
      <c r="Y58" t="s">
        <v>1238</v>
      </c>
      <c r="Z58" t="s">
        <v>1239</v>
      </c>
      <c r="AA58" t="s">
        <v>1240</v>
      </c>
      <c r="AB58" t="s">
        <v>1241</v>
      </c>
      <c r="AC58" t="s">
        <v>1242</v>
      </c>
      <c r="AD58" t="s">
        <v>1243</v>
      </c>
      <c r="AE58" t="s">
        <v>1244</v>
      </c>
      <c r="AF58" t="s">
        <v>74</v>
      </c>
      <c r="AG58">
        <v>64</v>
      </c>
      <c r="AH58">
        <v>36</v>
      </c>
      <c r="AI58">
        <v>39</v>
      </c>
      <c r="AJ58">
        <v>2</v>
      </c>
      <c r="AK58">
        <v>74</v>
      </c>
      <c r="AL58" t="s">
        <v>1245</v>
      </c>
      <c r="AM58" t="s">
        <v>1246</v>
      </c>
      <c r="AN58" t="s">
        <v>1247</v>
      </c>
      <c r="AO58" t="s">
        <v>1248</v>
      </c>
      <c r="AP58" t="s">
        <v>1249</v>
      </c>
      <c r="AQ58" t="s">
        <v>74</v>
      </c>
      <c r="AR58" t="s">
        <v>1250</v>
      </c>
      <c r="AS58" t="s">
        <v>1251</v>
      </c>
      <c r="AT58" t="s">
        <v>867</v>
      </c>
      <c r="AU58">
        <v>2012</v>
      </c>
      <c r="AV58">
        <v>44</v>
      </c>
      <c r="AW58">
        <v>4</v>
      </c>
      <c r="AX58" t="s">
        <v>74</v>
      </c>
      <c r="AY58" t="s">
        <v>74</v>
      </c>
      <c r="AZ58" t="s">
        <v>74</v>
      </c>
      <c r="BA58" t="s">
        <v>74</v>
      </c>
      <c r="BB58">
        <v>385</v>
      </c>
      <c r="BC58">
        <v>398</v>
      </c>
      <c r="BD58" t="s">
        <v>74</v>
      </c>
      <c r="BE58" t="s">
        <v>1252</v>
      </c>
      <c r="BF58" t="str">
        <f>HYPERLINK("http://dx.doi.org/10.1657/1938-4246-44.4.385","http://dx.doi.org/10.1657/1938-4246-44.4.385")</f>
        <v>http://dx.doi.org/10.1657/1938-4246-44.4.385</v>
      </c>
      <c r="BG58" t="s">
        <v>74</v>
      </c>
      <c r="BH58" t="s">
        <v>74</v>
      </c>
      <c r="BI58">
        <v>14</v>
      </c>
      <c r="BJ58" t="s">
        <v>995</v>
      </c>
      <c r="BK58" t="s">
        <v>98</v>
      </c>
      <c r="BL58" t="s">
        <v>996</v>
      </c>
      <c r="BM58" t="s">
        <v>1253</v>
      </c>
      <c r="BN58" t="s">
        <v>74</v>
      </c>
      <c r="BO58" t="s">
        <v>1254</v>
      </c>
      <c r="BP58" t="s">
        <v>74</v>
      </c>
      <c r="BQ58" t="s">
        <v>74</v>
      </c>
      <c r="BR58" t="s">
        <v>101</v>
      </c>
      <c r="BS58" t="s">
        <v>1255</v>
      </c>
      <c r="BT58" t="str">
        <f>HYPERLINK("https%3A%2F%2Fwww.webofscience.com%2Fwos%2Fwoscc%2Ffull-record%2FWOS:000311010700001","View Full Record in Web of Science")</f>
        <v>View Full Record in Web of Science</v>
      </c>
    </row>
    <row r="59" spans="1:72" x14ac:dyDescent="0.15">
      <c r="A59" t="s">
        <v>72</v>
      </c>
      <c r="B59" t="s">
        <v>1256</v>
      </c>
      <c r="C59" t="s">
        <v>74</v>
      </c>
      <c r="D59" t="s">
        <v>74</v>
      </c>
      <c r="E59" t="s">
        <v>74</v>
      </c>
      <c r="F59" t="s">
        <v>1257</v>
      </c>
      <c r="G59" t="s">
        <v>74</v>
      </c>
      <c r="H59" t="s">
        <v>74</v>
      </c>
      <c r="I59" t="s">
        <v>1258</v>
      </c>
      <c r="J59" t="s">
        <v>1233</v>
      </c>
      <c r="K59" t="s">
        <v>74</v>
      </c>
      <c r="L59" t="s">
        <v>74</v>
      </c>
      <c r="M59" t="s">
        <v>78</v>
      </c>
      <c r="N59" t="s">
        <v>79</v>
      </c>
      <c r="O59" t="s">
        <v>74</v>
      </c>
      <c r="P59" t="s">
        <v>74</v>
      </c>
      <c r="Q59" t="s">
        <v>74</v>
      </c>
      <c r="R59" t="s">
        <v>74</v>
      </c>
      <c r="S59" t="s">
        <v>74</v>
      </c>
      <c r="T59" t="s">
        <v>74</v>
      </c>
      <c r="U59" t="s">
        <v>1259</v>
      </c>
      <c r="V59" t="s">
        <v>1260</v>
      </c>
      <c r="W59" t="s">
        <v>1261</v>
      </c>
      <c r="X59" t="s">
        <v>1262</v>
      </c>
      <c r="Y59" t="s">
        <v>1263</v>
      </c>
      <c r="Z59" t="s">
        <v>1264</v>
      </c>
      <c r="AA59" t="s">
        <v>74</v>
      </c>
      <c r="AB59" t="s">
        <v>74</v>
      </c>
      <c r="AC59" t="s">
        <v>1265</v>
      </c>
      <c r="AD59" t="s">
        <v>1265</v>
      </c>
      <c r="AE59" t="s">
        <v>1266</v>
      </c>
      <c r="AF59" t="s">
        <v>74</v>
      </c>
      <c r="AG59">
        <v>59</v>
      </c>
      <c r="AH59">
        <v>14</v>
      </c>
      <c r="AI59">
        <v>17</v>
      </c>
      <c r="AJ59">
        <v>4</v>
      </c>
      <c r="AK59">
        <v>71</v>
      </c>
      <c r="AL59" t="s">
        <v>1267</v>
      </c>
      <c r="AM59" t="s">
        <v>1268</v>
      </c>
      <c r="AN59" t="s">
        <v>1269</v>
      </c>
      <c r="AO59" t="s">
        <v>1248</v>
      </c>
      <c r="AP59" t="s">
        <v>1249</v>
      </c>
      <c r="AQ59" t="s">
        <v>74</v>
      </c>
      <c r="AR59" t="s">
        <v>1250</v>
      </c>
      <c r="AS59" t="s">
        <v>1251</v>
      </c>
      <c r="AT59" t="s">
        <v>867</v>
      </c>
      <c r="AU59">
        <v>2012</v>
      </c>
      <c r="AV59">
        <v>44</v>
      </c>
      <c r="AW59">
        <v>4</v>
      </c>
      <c r="AX59" t="s">
        <v>74</v>
      </c>
      <c r="AY59" t="s">
        <v>74</v>
      </c>
      <c r="AZ59" t="s">
        <v>74</v>
      </c>
      <c r="BA59" t="s">
        <v>74</v>
      </c>
      <c r="BB59">
        <v>399</v>
      </c>
      <c r="BC59">
        <v>411</v>
      </c>
      <c r="BD59" t="s">
        <v>74</v>
      </c>
      <c r="BE59" t="s">
        <v>1270</v>
      </c>
      <c r="BF59" t="str">
        <f>HYPERLINK("http://dx.doi.org/10.1657/1938-4246-44.4.399","http://dx.doi.org/10.1657/1938-4246-44.4.399")</f>
        <v>http://dx.doi.org/10.1657/1938-4246-44.4.399</v>
      </c>
      <c r="BG59" t="s">
        <v>74</v>
      </c>
      <c r="BH59" t="s">
        <v>74</v>
      </c>
      <c r="BI59">
        <v>13</v>
      </c>
      <c r="BJ59" t="s">
        <v>995</v>
      </c>
      <c r="BK59" t="s">
        <v>98</v>
      </c>
      <c r="BL59" t="s">
        <v>996</v>
      </c>
      <c r="BM59" t="s">
        <v>1253</v>
      </c>
      <c r="BN59" t="s">
        <v>74</v>
      </c>
      <c r="BO59" t="s">
        <v>74</v>
      </c>
      <c r="BP59" t="s">
        <v>74</v>
      </c>
      <c r="BQ59" t="s">
        <v>74</v>
      </c>
      <c r="BR59" t="s">
        <v>101</v>
      </c>
      <c r="BS59" t="s">
        <v>1271</v>
      </c>
      <c r="BT59" t="str">
        <f>HYPERLINK("https%3A%2F%2Fwww.webofscience.com%2Fwos%2Fwoscc%2Ffull-record%2FWOS:000311010700002","View Full Record in Web of Science")</f>
        <v>View Full Record in Web of Science</v>
      </c>
    </row>
    <row r="60" spans="1:72" x14ac:dyDescent="0.15">
      <c r="A60" t="s">
        <v>72</v>
      </c>
      <c r="B60" t="s">
        <v>1272</v>
      </c>
      <c r="C60" t="s">
        <v>74</v>
      </c>
      <c r="D60" t="s">
        <v>74</v>
      </c>
      <c r="E60" t="s">
        <v>74</v>
      </c>
      <c r="F60" t="s">
        <v>1273</v>
      </c>
      <c r="G60" t="s">
        <v>74</v>
      </c>
      <c r="H60" t="s">
        <v>74</v>
      </c>
      <c r="I60" t="s">
        <v>1274</v>
      </c>
      <c r="J60" t="s">
        <v>1233</v>
      </c>
      <c r="K60" t="s">
        <v>74</v>
      </c>
      <c r="L60" t="s">
        <v>74</v>
      </c>
      <c r="M60" t="s">
        <v>78</v>
      </c>
      <c r="N60" t="s">
        <v>79</v>
      </c>
      <c r="O60" t="s">
        <v>74</v>
      </c>
      <c r="P60" t="s">
        <v>74</v>
      </c>
      <c r="Q60" t="s">
        <v>74</v>
      </c>
      <c r="R60" t="s">
        <v>74</v>
      </c>
      <c r="S60" t="s">
        <v>74</v>
      </c>
      <c r="T60" t="s">
        <v>74</v>
      </c>
      <c r="U60" t="s">
        <v>1275</v>
      </c>
      <c r="V60" t="s">
        <v>1276</v>
      </c>
      <c r="W60" t="s">
        <v>1277</v>
      </c>
      <c r="X60" t="s">
        <v>1278</v>
      </c>
      <c r="Y60" t="s">
        <v>1279</v>
      </c>
      <c r="Z60" t="s">
        <v>1280</v>
      </c>
      <c r="AA60" t="s">
        <v>1281</v>
      </c>
      <c r="AB60" t="s">
        <v>1282</v>
      </c>
      <c r="AC60" t="s">
        <v>1283</v>
      </c>
      <c r="AD60" t="s">
        <v>1284</v>
      </c>
      <c r="AE60" t="s">
        <v>1285</v>
      </c>
      <c r="AF60" t="s">
        <v>74</v>
      </c>
      <c r="AG60">
        <v>48</v>
      </c>
      <c r="AH60">
        <v>16</v>
      </c>
      <c r="AI60">
        <v>22</v>
      </c>
      <c r="AJ60">
        <v>4</v>
      </c>
      <c r="AK60">
        <v>54</v>
      </c>
      <c r="AL60" t="s">
        <v>1267</v>
      </c>
      <c r="AM60" t="s">
        <v>1268</v>
      </c>
      <c r="AN60" t="s">
        <v>1269</v>
      </c>
      <c r="AO60" t="s">
        <v>1248</v>
      </c>
      <c r="AP60" t="s">
        <v>1249</v>
      </c>
      <c r="AQ60" t="s">
        <v>74</v>
      </c>
      <c r="AR60" t="s">
        <v>1250</v>
      </c>
      <c r="AS60" t="s">
        <v>1251</v>
      </c>
      <c r="AT60" t="s">
        <v>867</v>
      </c>
      <c r="AU60">
        <v>2012</v>
      </c>
      <c r="AV60">
        <v>44</v>
      </c>
      <c r="AW60">
        <v>4</v>
      </c>
      <c r="AX60" t="s">
        <v>74</v>
      </c>
      <c r="AY60" t="s">
        <v>74</v>
      </c>
      <c r="AZ60" t="s">
        <v>74</v>
      </c>
      <c r="BA60" t="s">
        <v>74</v>
      </c>
      <c r="BB60">
        <v>412</v>
      </c>
      <c r="BC60">
        <v>422</v>
      </c>
      <c r="BD60" t="s">
        <v>74</v>
      </c>
      <c r="BE60" t="s">
        <v>1286</v>
      </c>
      <c r="BF60" t="str">
        <f>HYPERLINK("http://dx.doi.org/10.1657/1938-4246-44.4.412","http://dx.doi.org/10.1657/1938-4246-44.4.412")</f>
        <v>http://dx.doi.org/10.1657/1938-4246-44.4.412</v>
      </c>
      <c r="BG60" t="s">
        <v>74</v>
      </c>
      <c r="BH60" t="s">
        <v>74</v>
      </c>
      <c r="BI60">
        <v>11</v>
      </c>
      <c r="BJ60" t="s">
        <v>995</v>
      </c>
      <c r="BK60" t="s">
        <v>98</v>
      </c>
      <c r="BL60" t="s">
        <v>996</v>
      </c>
      <c r="BM60" t="s">
        <v>1253</v>
      </c>
      <c r="BN60" t="s">
        <v>74</v>
      </c>
      <c r="BO60" t="s">
        <v>1287</v>
      </c>
      <c r="BP60" t="s">
        <v>74</v>
      </c>
      <c r="BQ60" t="s">
        <v>74</v>
      </c>
      <c r="BR60" t="s">
        <v>101</v>
      </c>
      <c r="BS60" t="s">
        <v>1288</v>
      </c>
      <c r="BT60" t="str">
        <f>HYPERLINK("https%3A%2F%2Fwww.webofscience.com%2Fwos%2Fwoscc%2Ffull-record%2FWOS:000311010700003","View Full Record in Web of Science")</f>
        <v>View Full Record in Web of Science</v>
      </c>
    </row>
    <row r="61" spans="1:72" x14ac:dyDescent="0.15">
      <c r="A61" t="s">
        <v>72</v>
      </c>
      <c r="B61" t="s">
        <v>1289</v>
      </c>
      <c r="C61" t="s">
        <v>74</v>
      </c>
      <c r="D61" t="s">
        <v>74</v>
      </c>
      <c r="E61" t="s">
        <v>74</v>
      </c>
      <c r="F61" t="s">
        <v>1290</v>
      </c>
      <c r="G61" t="s">
        <v>74</v>
      </c>
      <c r="H61" t="s">
        <v>74</v>
      </c>
      <c r="I61" t="s">
        <v>1291</v>
      </c>
      <c r="J61" t="s">
        <v>1233</v>
      </c>
      <c r="K61" t="s">
        <v>74</v>
      </c>
      <c r="L61" t="s">
        <v>74</v>
      </c>
      <c r="M61" t="s">
        <v>78</v>
      </c>
      <c r="N61" t="s">
        <v>79</v>
      </c>
      <c r="O61" t="s">
        <v>74</v>
      </c>
      <c r="P61" t="s">
        <v>74</v>
      </c>
      <c r="Q61" t="s">
        <v>74</v>
      </c>
      <c r="R61" t="s">
        <v>74</v>
      </c>
      <c r="S61" t="s">
        <v>74</v>
      </c>
      <c r="T61" t="s">
        <v>74</v>
      </c>
      <c r="U61" t="s">
        <v>1292</v>
      </c>
      <c r="V61" t="s">
        <v>1293</v>
      </c>
      <c r="W61" t="s">
        <v>1294</v>
      </c>
      <c r="X61" t="s">
        <v>1295</v>
      </c>
      <c r="Y61" t="s">
        <v>1296</v>
      </c>
      <c r="Z61" t="s">
        <v>1297</v>
      </c>
      <c r="AA61" t="s">
        <v>1298</v>
      </c>
      <c r="AB61" t="s">
        <v>1299</v>
      </c>
      <c r="AC61" t="s">
        <v>1300</v>
      </c>
      <c r="AD61" t="s">
        <v>1300</v>
      </c>
      <c r="AE61" t="s">
        <v>1301</v>
      </c>
      <c r="AF61" t="s">
        <v>74</v>
      </c>
      <c r="AG61">
        <v>31</v>
      </c>
      <c r="AH61">
        <v>16</v>
      </c>
      <c r="AI61">
        <v>22</v>
      </c>
      <c r="AJ61">
        <v>1</v>
      </c>
      <c r="AK61">
        <v>15</v>
      </c>
      <c r="AL61" t="s">
        <v>1267</v>
      </c>
      <c r="AM61" t="s">
        <v>1268</v>
      </c>
      <c r="AN61" t="s">
        <v>1269</v>
      </c>
      <c r="AO61" t="s">
        <v>1248</v>
      </c>
      <c r="AP61" t="s">
        <v>74</v>
      </c>
      <c r="AQ61" t="s">
        <v>74</v>
      </c>
      <c r="AR61" t="s">
        <v>1250</v>
      </c>
      <c r="AS61" t="s">
        <v>1251</v>
      </c>
      <c r="AT61" t="s">
        <v>867</v>
      </c>
      <c r="AU61">
        <v>2012</v>
      </c>
      <c r="AV61">
        <v>44</v>
      </c>
      <c r="AW61">
        <v>4</v>
      </c>
      <c r="AX61" t="s">
        <v>74</v>
      </c>
      <c r="AY61" t="s">
        <v>74</v>
      </c>
      <c r="AZ61" t="s">
        <v>74</v>
      </c>
      <c r="BA61" t="s">
        <v>74</v>
      </c>
      <c r="BB61">
        <v>432</v>
      </c>
      <c r="BC61">
        <v>445</v>
      </c>
      <c r="BD61" t="s">
        <v>74</v>
      </c>
      <c r="BE61" t="s">
        <v>1302</v>
      </c>
      <c r="BF61" t="str">
        <f>HYPERLINK("http://dx.doi.org/10.1657/1938-4246-44.4.432","http://dx.doi.org/10.1657/1938-4246-44.4.432")</f>
        <v>http://dx.doi.org/10.1657/1938-4246-44.4.432</v>
      </c>
      <c r="BG61" t="s">
        <v>74</v>
      </c>
      <c r="BH61" t="s">
        <v>74</v>
      </c>
      <c r="BI61">
        <v>14</v>
      </c>
      <c r="BJ61" t="s">
        <v>995</v>
      </c>
      <c r="BK61" t="s">
        <v>98</v>
      </c>
      <c r="BL61" t="s">
        <v>996</v>
      </c>
      <c r="BM61" t="s">
        <v>1253</v>
      </c>
      <c r="BN61" t="s">
        <v>74</v>
      </c>
      <c r="BO61" t="s">
        <v>74</v>
      </c>
      <c r="BP61" t="s">
        <v>74</v>
      </c>
      <c r="BQ61" t="s">
        <v>74</v>
      </c>
      <c r="BR61" t="s">
        <v>101</v>
      </c>
      <c r="BS61" t="s">
        <v>1303</v>
      </c>
      <c r="BT61" t="str">
        <f>HYPERLINK("https%3A%2F%2Fwww.webofscience.com%2Fwos%2Fwoscc%2Ffull-record%2FWOS:000311010700005","View Full Record in Web of Science")</f>
        <v>View Full Record in Web of Science</v>
      </c>
    </row>
    <row r="62" spans="1:72" x14ac:dyDescent="0.15">
      <c r="A62" t="s">
        <v>72</v>
      </c>
      <c r="B62" t="s">
        <v>1304</v>
      </c>
      <c r="C62" t="s">
        <v>74</v>
      </c>
      <c r="D62" t="s">
        <v>74</v>
      </c>
      <c r="E62" t="s">
        <v>74</v>
      </c>
      <c r="F62" t="s">
        <v>1305</v>
      </c>
      <c r="G62" t="s">
        <v>74</v>
      </c>
      <c r="H62" t="s">
        <v>74</v>
      </c>
      <c r="I62" t="s">
        <v>1306</v>
      </c>
      <c r="J62" t="s">
        <v>1233</v>
      </c>
      <c r="K62" t="s">
        <v>74</v>
      </c>
      <c r="L62" t="s">
        <v>74</v>
      </c>
      <c r="M62" t="s">
        <v>78</v>
      </c>
      <c r="N62" t="s">
        <v>79</v>
      </c>
      <c r="O62" t="s">
        <v>74</v>
      </c>
      <c r="P62" t="s">
        <v>74</v>
      </c>
      <c r="Q62" t="s">
        <v>74</v>
      </c>
      <c r="R62" t="s">
        <v>74</v>
      </c>
      <c r="S62" t="s">
        <v>74</v>
      </c>
      <c r="T62" t="s">
        <v>74</v>
      </c>
      <c r="U62" t="s">
        <v>1307</v>
      </c>
      <c r="V62" t="s">
        <v>1308</v>
      </c>
      <c r="W62" t="s">
        <v>1309</v>
      </c>
      <c r="X62" t="s">
        <v>1310</v>
      </c>
      <c r="Y62" t="s">
        <v>1311</v>
      </c>
      <c r="Z62" t="s">
        <v>1312</v>
      </c>
      <c r="AA62" t="s">
        <v>74</v>
      </c>
      <c r="AB62" t="s">
        <v>74</v>
      </c>
      <c r="AC62" t="s">
        <v>1313</v>
      </c>
      <c r="AD62" t="s">
        <v>1313</v>
      </c>
      <c r="AE62" t="s">
        <v>1314</v>
      </c>
      <c r="AF62" t="s">
        <v>74</v>
      </c>
      <c r="AG62">
        <v>41</v>
      </c>
      <c r="AH62">
        <v>5</v>
      </c>
      <c r="AI62">
        <v>6</v>
      </c>
      <c r="AJ62">
        <v>1</v>
      </c>
      <c r="AK62">
        <v>72</v>
      </c>
      <c r="AL62" t="s">
        <v>1245</v>
      </c>
      <c r="AM62" t="s">
        <v>1246</v>
      </c>
      <c r="AN62" t="s">
        <v>1247</v>
      </c>
      <c r="AO62" t="s">
        <v>1248</v>
      </c>
      <c r="AP62" t="s">
        <v>1249</v>
      </c>
      <c r="AQ62" t="s">
        <v>74</v>
      </c>
      <c r="AR62" t="s">
        <v>1250</v>
      </c>
      <c r="AS62" t="s">
        <v>1251</v>
      </c>
      <c r="AT62" t="s">
        <v>867</v>
      </c>
      <c r="AU62">
        <v>2012</v>
      </c>
      <c r="AV62">
        <v>44</v>
      </c>
      <c r="AW62">
        <v>4</v>
      </c>
      <c r="AX62" t="s">
        <v>74</v>
      </c>
      <c r="AY62" t="s">
        <v>74</v>
      </c>
      <c r="AZ62" t="s">
        <v>74</v>
      </c>
      <c r="BA62" t="s">
        <v>74</v>
      </c>
      <c r="BB62">
        <v>483</v>
      </c>
      <c r="BC62">
        <v>489</v>
      </c>
      <c r="BD62" t="s">
        <v>74</v>
      </c>
      <c r="BE62" t="s">
        <v>1315</v>
      </c>
      <c r="BF62" t="str">
        <f>HYPERLINK("http://dx.doi.org/10.1657/1938-4246-44.4.483","http://dx.doi.org/10.1657/1938-4246-44.4.483")</f>
        <v>http://dx.doi.org/10.1657/1938-4246-44.4.483</v>
      </c>
      <c r="BG62" t="s">
        <v>74</v>
      </c>
      <c r="BH62" t="s">
        <v>74</v>
      </c>
      <c r="BI62">
        <v>7</v>
      </c>
      <c r="BJ62" t="s">
        <v>995</v>
      </c>
      <c r="BK62" t="s">
        <v>98</v>
      </c>
      <c r="BL62" t="s">
        <v>996</v>
      </c>
      <c r="BM62" t="s">
        <v>1253</v>
      </c>
      <c r="BN62" t="s">
        <v>74</v>
      </c>
      <c r="BO62" t="s">
        <v>1316</v>
      </c>
      <c r="BP62" t="s">
        <v>74</v>
      </c>
      <c r="BQ62" t="s">
        <v>74</v>
      </c>
      <c r="BR62" t="s">
        <v>101</v>
      </c>
      <c r="BS62" t="s">
        <v>1317</v>
      </c>
      <c r="BT62" t="str">
        <f>HYPERLINK("https%3A%2F%2Fwww.webofscience.com%2Fwos%2Fwoscc%2Ffull-record%2FWOS:000311010700009","View Full Record in Web of Science")</f>
        <v>View Full Record in Web of Science</v>
      </c>
    </row>
    <row r="63" spans="1:72" x14ac:dyDescent="0.15">
      <c r="A63" t="s">
        <v>72</v>
      </c>
      <c r="B63" t="s">
        <v>1318</v>
      </c>
      <c r="C63" t="s">
        <v>74</v>
      </c>
      <c r="D63" t="s">
        <v>74</v>
      </c>
      <c r="E63" t="s">
        <v>74</v>
      </c>
      <c r="F63" t="s">
        <v>1319</v>
      </c>
      <c r="G63" t="s">
        <v>74</v>
      </c>
      <c r="H63" t="s">
        <v>74</v>
      </c>
      <c r="I63" t="s">
        <v>1320</v>
      </c>
      <c r="J63" t="s">
        <v>1233</v>
      </c>
      <c r="K63" t="s">
        <v>74</v>
      </c>
      <c r="L63" t="s">
        <v>74</v>
      </c>
      <c r="M63" t="s">
        <v>78</v>
      </c>
      <c r="N63" t="s">
        <v>79</v>
      </c>
      <c r="O63" t="s">
        <v>74</v>
      </c>
      <c r="P63" t="s">
        <v>74</v>
      </c>
      <c r="Q63" t="s">
        <v>74</v>
      </c>
      <c r="R63" t="s">
        <v>74</v>
      </c>
      <c r="S63" t="s">
        <v>74</v>
      </c>
      <c r="T63" t="s">
        <v>74</v>
      </c>
      <c r="U63" t="s">
        <v>1321</v>
      </c>
      <c r="V63" t="s">
        <v>1322</v>
      </c>
      <c r="W63" t="s">
        <v>1323</v>
      </c>
      <c r="X63" t="s">
        <v>1324</v>
      </c>
      <c r="Y63" t="s">
        <v>1325</v>
      </c>
      <c r="Z63" t="s">
        <v>1326</v>
      </c>
      <c r="AA63" t="s">
        <v>74</v>
      </c>
      <c r="AB63" t="s">
        <v>1327</v>
      </c>
      <c r="AC63" t="s">
        <v>1328</v>
      </c>
      <c r="AD63" t="s">
        <v>1328</v>
      </c>
      <c r="AE63" t="s">
        <v>1329</v>
      </c>
      <c r="AF63" t="s">
        <v>74</v>
      </c>
      <c r="AG63">
        <v>41</v>
      </c>
      <c r="AH63">
        <v>7</v>
      </c>
      <c r="AI63">
        <v>8</v>
      </c>
      <c r="AJ63">
        <v>0</v>
      </c>
      <c r="AK63">
        <v>30</v>
      </c>
      <c r="AL63" t="s">
        <v>1267</v>
      </c>
      <c r="AM63" t="s">
        <v>1268</v>
      </c>
      <c r="AN63" t="s">
        <v>1269</v>
      </c>
      <c r="AO63" t="s">
        <v>1248</v>
      </c>
      <c r="AP63" t="s">
        <v>1249</v>
      </c>
      <c r="AQ63" t="s">
        <v>74</v>
      </c>
      <c r="AR63" t="s">
        <v>1250</v>
      </c>
      <c r="AS63" t="s">
        <v>1251</v>
      </c>
      <c r="AT63" t="s">
        <v>867</v>
      </c>
      <c r="AU63">
        <v>2012</v>
      </c>
      <c r="AV63">
        <v>44</v>
      </c>
      <c r="AW63">
        <v>4</v>
      </c>
      <c r="AX63" t="s">
        <v>74</v>
      </c>
      <c r="AY63" t="s">
        <v>74</v>
      </c>
      <c r="AZ63" t="s">
        <v>74</v>
      </c>
      <c r="BA63" t="s">
        <v>74</v>
      </c>
      <c r="BB63">
        <v>490</v>
      </c>
      <c r="BC63">
        <v>499</v>
      </c>
      <c r="BD63" t="s">
        <v>74</v>
      </c>
      <c r="BE63" t="s">
        <v>1330</v>
      </c>
      <c r="BF63" t="str">
        <f>HYPERLINK("http://dx.doi.org/10.1657/1938-4246-44.4.490","http://dx.doi.org/10.1657/1938-4246-44.4.490")</f>
        <v>http://dx.doi.org/10.1657/1938-4246-44.4.490</v>
      </c>
      <c r="BG63" t="s">
        <v>74</v>
      </c>
      <c r="BH63" t="s">
        <v>74</v>
      </c>
      <c r="BI63">
        <v>10</v>
      </c>
      <c r="BJ63" t="s">
        <v>995</v>
      </c>
      <c r="BK63" t="s">
        <v>98</v>
      </c>
      <c r="BL63" t="s">
        <v>996</v>
      </c>
      <c r="BM63" t="s">
        <v>1253</v>
      </c>
      <c r="BN63" t="s">
        <v>74</v>
      </c>
      <c r="BO63" t="s">
        <v>1254</v>
      </c>
      <c r="BP63" t="s">
        <v>74</v>
      </c>
      <c r="BQ63" t="s">
        <v>74</v>
      </c>
      <c r="BR63" t="s">
        <v>101</v>
      </c>
      <c r="BS63" t="s">
        <v>1331</v>
      </c>
      <c r="BT63" t="str">
        <f>HYPERLINK("https%3A%2F%2Fwww.webofscience.com%2Fwos%2Fwoscc%2Ffull-record%2FWOS:000311010700010","View Full Record in Web of Science")</f>
        <v>View Full Record in Web of Science</v>
      </c>
    </row>
    <row r="64" spans="1:72" x14ac:dyDescent="0.15">
      <c r="A64" t="s">
        <v>72</v>
      </c>
      <c r="B64" t="s">
        <v>1332</v>
      </c>
      <c r="C64" t="s">
        <v>74</v>
      </c>
      <c r="D64" t="s">
        <v>74</v>
      </c>
      <c r="E64" t="s">
        <v>74</v>
      </c>
      <c r="F64" t="s">
        <v>1333</v>
      </c>
      <c r="G64" t="s">
        <v>74</v>
      </c>
      <c r="H64" t="s">
        <v>74</v>
      </c>
      <c r="I64" t="s">
        <v>1334</v>
      </c>
      <c r="J64" t="s">
        <v>1233</v>
      </c>
      <c r="K64" t="s">
        <v>74</v>
      </c>
      <c r="L64" t="s">
        <v>74</v>
      </c>
      <c r="M64" t="s">
        <v>78</v>
      </c>
      <c r="N64" t="s">
        <v>79</v>
      </c>
      <c r="O64" t="s">
        <v>74</v>
      </c>
      <c r="P64" t="s">
        <v>74</v>
      </c>
      <c r="Q64" t="s">
        <v>74</v>
      </c>
      <c r="R64" t="s">
        <v>74</v>
      </c>
      <c r="S64" t="s">
        <v>74</v>
      </c>
      <c r="T64" t="s">
        <v>74</v>
      </c>
      <c r="U64" t="s">
        <v>1335</v>
      </c>
      <c r="V64" t="s">
        <v>1336</v>
      </c>
      <c r="W64" t="s">
        <v>1337</v>
      </c>
      <c r="X64" t="s">
        <v>1338</v>
      </c>
      <c r="Y64" t="s">
        <v>1339</v>
      </c>
      <c r="Z64" t="s">
        <v>1340</v>
      </c>
      <c r="AA64" t="s">
        <v>1341</v>
      </c>
      <c r="AB64" t="s">
        <v>1342</v>
      </c>
      <c r="AC64" t="s">
        <v>1343</v>
      </c>
      <c r="AD64" t="s">
        <v>1344</v>
      </c>
      <c r="AE64" t="s">
        <v>1345</v>
      </c>
      <c r="AF64" t="s">
        <v>74</v>
      </c>
      <c r="AG64">
        <v>62</v>
      </c>
      <c r="AH64">
        <v>37</v>
      </c>
      <c r="AI64">
        <v>44</v>
      </c>
      <c r="AJ64">
        <v>1</v>
      </c>
      <c r="AK64">
        <v>88</v>
      </c>
      <c r="AL64" t="s">
        <v>1267</v>
      </c>
      <c r="AM64" t="s">
        <v>1268</v>
      </c>
      <c r="AN64" t="s">
        <v>1269</v>
      </c>
      <c r="AO64" t="s">
        <v>1248</v>
      </c>
      <c r="AP64" t="s">
        <v>74</v>
      </c>
      <c r="AQ64" t="s">
        <v>74</v>
      </c>
      <c r="AR64" t="s">
        <v>1250</v>
      </c>
      <c r="AS64" t="s">
        <v>1251</v>
      </c>
      <c r="AT64" t="s">
        <v>867</v>
      </c>
      <c r="AU64">
        <v>2012</v>
      </c>
      <c r="AV64">
        <v>44</v>
      </c>
      <c r="AW64">
        <v>4</v>
      </c>
      <c r="AX64" t="s">
        <v>74</v>
      </c>
      <c r="AY64" t="s">
        <v>74</v>
      </c>
      <c r="AZ64" t="s">
        <v>74</v>
      </c>
      <c r="BA64" t="s">
        <v>74</v>
      </c>
      <c r="BB64">
        <v>500</v>
      </c>
      <c r="BC64">
        <v>508</v>
      </c>
      <c r="BD64" t="s">
        <v>74</v>
      </c>
      <c r="BE64" t="s">
        <v>1346</v>
      </c>
      <c r="BF64" t="str">
        <f>HYPERLINK("http://dx.doi.org/10.1657/1938-4246-44.4.500","http://dx.doi.org/10.1657/1938-4246-44.4.500")</f>
        <v>http://dx.doi.org/10.1657/1938-4246-44.4.500</v>
      </c>
      <c r="BG64" t="s">
        <v>74</v>
      </c>
      <c r="BH64" t="s">
        <v>74</v>
      </c>
      <c r="BI64">
        <v>9</v>
      </c>
      <c r="BJ64" t="s">
        <v>995</v>
      </c>
      <c r="BK64" t="s">
        <v>98</v>
      </c>
      <c r="BL64" t="s">
        <v>996</v>
      </c>
      <c r="BM64" t="s">
        <v>1253</v>
      </c>
      <c r="BN64" t="s">
        <v>74</v>
      </c>
      <c r="BO64" t="s">
        <v>1347</v>
      </c>
      <c r="BP64" t="s">
        <v>74</v>
      </c>
      <c r="BQ64" t="s">
        <v>74</v>
      </c>
      <c r="BR64" t="s">
        <v>101</v>
      </c>
      <c r="BS64" t="s">
        <v>1348</v>
      </c>
      <c r="BT64" t="str">
        <f>HYPERLINK("https%3A%2F%2Fwww.webofscience.com%2Fwos%2Fwoscc%2Ffull-record%2FWOS:000311010700011","View Full Record in Web of Science")</f>
        <v>View Full Record in Web of Science</v>
      </c>
    </row>
    <row r="65" spans="1:72" x14ac:dyDescent="0.15">
      <c r="A65" t="s">
        <v>72</v>
      </c>
      <c r="B65" t="s">
        <v>1349</v>
      </c>
      <c r="C65" t="s">
        <v>74</v>
      </c>
      <c r="D65" t="s">
        <v>74</v>
      </c>
      <c r="E65" t="s">
        <v>74</v>
      </c>
      <c r="F65" t="s">
        <v>1350</v>
      </c>
      <c r="G65" t="s">
        <v>74</v>
      </c>
      <c r="H65" t="s">
        <v>74</v>
      </c>
      <c r="I65" t="s">
        <v>1351</v>
      </c>
      <c r="J65" t="s">
        <v>1233</v>
      </c>
      <c r="K65" t="s">
        <v>74</v>
      </c>
      <c r="L65" t="s">
        <v>74</v>
      </c>
      <c r="M65" t="s">
        <v>78</v>
      </c>
      <c r="N65" t="s">
        <v>79</v>
      </c>
      <c r="O65" t="s">
        <v>74</v>
      </c>
      <c r="P65" t="s">
        <v>74</v>
      </c>
      <c r="Q65" t="s">
        <v>74</v>
      </c>
      <c r="R65" t="s">
        <v>74</v>
      </c>
      <c r="S65" t="s">
        <v>74</v>
      </c>
      <c r="T65" t="s">
        <v>74</v>
      </c>
      <c r="U65" t="s">
        <v>1352</v>
      </c>
      <c r="V65" t="s">
        <v>1353</v>
      </c>
      <c r="W65" t="s">
        <v>1354</v>
      </c>
      <c r="X65" t="s">
        <v>1355</v>
      </c>
      <c r="Y65" t="s">
        <v>1356</v>
      </c>
      <c r="Z65" t="s">
        <v>1357</v>
      </c>
      <c r="AA65" t="s">
        <v>1358</v>
      </c>
      <c r="AB65" t="s">
        <v>1359</v>
      </c>
      <c r="AC65" t="s">
        <v>1360</v>
      </c>
      <c r="AD65" t="s">
        <v>1360</v>
      </c>
      <c r="AE65" t="s">
        <v>1361</v>
      </c>
      <c r="AF65" t="s">
        <v>74</v>
      </c>
      <c r="AG65">
        <v>42</v>
      </c>
      <c r="AH65">
        <v>50</v>
      </c>
      <c r="AI65">
        <v>51</v>
      </c>
      <c r="AJ65">
        <v>3</v>
      </c>
      <c r="AK65">
        <v>54</v>
      </c>
      <c r="AL65" t="s">
        <v>1267</v>
      </c>
      <c r="AM65" t="s">
        <v>1268</v>
      </c>
      <c r="AN65" t="s">
        <v>1269</v>
      </c>
      <c r="AO65" t="s">
        <v>1248</v>
      </c>
      <c r="AP65" t="s">
        <v>74</v>
      </c>
      <c r="AQ65" t="s">
        <v>74</v>
      </c>
      <c r="AR65" t="s">
        <v>1250</v>
      </c>
      <c r="AS65" t="s">
        <v>1251</v>
      </c>
      <c r="AT65" t="s">
        <v>867</v>
      </c>
      <c r="AU65">
        <v>2012</v>
      </c>
      <c r="AV65">
        <v>44</v>
      </c>
      <c r="AW65">
        <v>4</v>
      </c>
      <c r="AX65" t="s">
        <v>74</v>
      </c>
      <c r="AY65" t="s">
        <v>74</v>
      </c>
      <c r="AZ65" t="s">
        <v>74</v>
      </c>
      <c r="BA65" t="s">
        <v>74</v>
      </c>
      <c r="BB65">
        <v>509</v>
      </c>
      <c r="BC65">
        <v>519</v>
      </c>
      <c r="BD65" t="s">
        <v>74</v>
      </c>
      <c r="BE65" t="s">
        <v>1362</v>
      </c>
      <c r="BF65" t="str">
        <f>HYPERLINK("http://dx.doi.org/10.1657/1938-4246-44.4.509","http://dx.doi.org/10.1657/1938-4246-44.4.509")</f>
        <v>http://dx.doi.org/10.1657/1938-4246-44.4.509</v>
      </c>
      <c r="BG65" t="s">
        <v>74</v>
      </c>
      <c r="BH65" t="s">
        <v>74</v>
      </c>
      <c r="BI65">
        <v>11</v>
      </c>
      <c r="BJ65" t="s">
        <v>995</v>
      </c>
      <c r="BK65" t="s">
        <v>98</v>
      </c>
      <c r="BL65" t="s">
        <v>996</v>
      </c>
      <c r="BM65" t="s">
        <v>1253</v>
      </c>
      <c r="BN65" t="s">
        <v>74</v>
      </c>
      <c r="BO65" t="s">
        <v>1363</v>
      </c>
      <c r="BP65" t="s">
        <v>74</v>
      </c>
      <c r="BQ65" t="s">
        <v>74</v>
      </c>
      <c r="BR65" t="s">
        <v>101</v>
      </c>
      <c r="BS65" t="s">
        <v>1364</v>
      </c>
      <c r="BT65" t="str">
        <f>HYPERLINK("https%3A%2F%2Fwww.webofscience.com%2Fwos%2Fwoscc%2Ffull-record%2FWOS:000311010700012","View Full Record in Web of Science")</f>
        <v>View Full Record in Web of Science</v>
      </c>
    </row>
    <row r="66" spans="1:72" x14ac:dyDescent="0.15">
      <c r="A66" t="s">
        <v>72</v>
      </c>
      <c r="B66" t="s">
        <v>1365</v>
      </c>
      <c r="C66" t="s">
        <v>74</v>
      </c>
      <c r="D66" t="s">
        <v>74</v>
      </c>
      <c r="E66" t="s">
        <v>74</v>
      </c>
      <c r="F66" t="s">
        <v>1366</v>
      </c>
      <c r="G66" t="s">
        <v>74</v>
      </c>
      <c r="H66" t="s">
        <v>74</v>
      </c>
      <c r="I66" t="s">
        <v>1367</v>
      </c>
      <c r="J66" t="s">
        <v>1368</v>
      </c>
      <c r="K66" t="s">
        <v>74</v>
      </c>
      <c r="L66" t="s">
        <v>74</v>
      </c>
      <c r="M66" t="s">
        <v>78</v>
      </c>
      <c r="N66" t="s">
        <v>79</v>
      </c>
      <c r="O66" t="s">
        <v>74</v>
      </c>
      <c r="P66" t="s">
        <v>74</v>
      </c>
      <c r="Q66" t="s">
        <v>74</v>
      </c>
      <c r="R66" t="s">
        <v>74</v>
      </c>
      <c r="S66" t="s">
        <v>74</v>
      </c>
      <c r="T66" t="s">
        <v>74</v>
      </c>
      <c r="U66" t="s">
        <v>1369</v>
      </c>
      <c r="V66" t="s">
        <v>1370</v>
      </c>
      <c r="W66" t="s">
        <v>1371</v>
      </c>
      <c r="X66" t="s">
        <v>74</v>
      </c>
      <c r="Y66" t="s">
        <v>1372</v>
      </c>
      <c r="Z66" t="s">
        <v>1373</v>
      </c>
      <c r="AA66" t="s">
        <v>74</v>
      </c>
      <c r="AB66" t="s">
        <v>74</v>
      </c>
      <c r="AC66" t="s">
        <v>1374</v>
      </c>
      <c r="AD66" t="s">
        <v>1375</v>
      </c>
      <c r="AE66" t="s">
        <v>1376</v>
      </c>
      <c r="AF66" t="s">
        <v>74</v>
      </c>
      <c r="AG66">
        <v>138</v>
      </c>
      <c r="AH66">
        <v>31</v>
      </c>
      <c r="AI66">
        <v>31</v>
      </c>
      <c r="AJ66">
        <v>0</v>
      </c>
      <c r="AK66">
        <v>23</v>
      </c>
      <c r="AL66" t="s">
        <v>1130</v>
      </c>
      <c r="AM66" t="s">
        <v>371</v>
      </c>
      <c r="AN66" t="s">
        <v>1131</v>
      </c>
      <c r="AO66" t="s">
        <v>1377</v>
      </c>
      <c r="AP66" t="s">
        <v>1378</v>
      </c>
      <c r="AQ66" t="s">
        <v>74</v>
      </c>
      <c r="AR66" t="s">
        <v>1379</v>
      </c>
      <c r="AS66" t="s">
        <v>1380</v>
      </c>
      <c r="AT66" t="s">
        <v>867</v>
      </c>
      <c r="AU66">
        <v>2012</v>
      </c>
      <c r="AV66">
        <v>52</v>
      </c>
      <c r="AW66">
        <v>6</v>
      </c>
      <c r="AX66" t="s">
        <v>74</v>
      </c>
      <c r="AY66" t="s">
        <v>74</v>
      </c>
      <c r="AZ66" t="s">
        <v>74</v>
      </c>
      <c r="BA66" t="s">
        <v>74</v>
      </c>
      <c r="BB66">
        <v>685</v>
      </c>
      <c r="BC66">
        <v>716</v>
      </c>
      <c r="BD66" t="s">
        <v>74</v>
      </c>
      <c r="BE66" t="s">
        <v>1381</v>
      </c>
      <c r="BF66" t="str">
        <f>HYPERLINK("http://dx.doi.org/10.1134/S0016793212060060","http://dx.doi.org/10.1134/S0016793212060060")</f>
        <v>http://dx.doi.org/10.1134/S0016793212060060</v>
      </c>
      <c r="BG66" t="s">
        <v>74</v>
      </c>
      <c r="BH66" t="s">
        <v>74</v>
      </c>
      <c r="BI66">
        <v>32</v>
      </c>
      <c r="BJ66" t="s">
        <v>241</v>
      </c>
      <c r="BK66" t="s">
        <v>98</v>
      </c>
      <c r="BL66" t="s">
        <v>241</v>
      </c>
      <c r="BM66" t="s">
        <v>1382</v>
      </c>
      <c r="BN66" t="s">
        <v>74</v>
      </c>
      <c r="BO66" t="s">
        <v>74</v>
      </c>
      <c r="BP66" t="s">
        <v>74</v>
      </c>
      <c r="BQ66" t="s">
        <v>74</v>
      </c>
      <c r="BR66" t="s">
        <v>101</v>
      </c>
      <c r="BS66" t="s">
        <v>1383</v>
      </c>
      <c r="BT66" t="str">
        <f>HYPERLINK("https%3A%2F%2Fwww.webofscience.com%2Fwos%2Fwoscc%2Ffull-record%2FWOS:000311332200001","View Full Record in Web of Science")</f>
        <v>View Full Record in Web of Science</v>
      </c>
    </row>
    <row r="67" spans="1:72" x14ac:dyDescent="0.15">
      <c r="A67" t="s">
        <v>72</v>
      </c>
      <c r="B67" t="s">
        <v>1384</v>
      </c>
      <c r="C67" t="s">
        <v>74</v>
      </c>
      <c r="D67" t="s">
        <v>74</v>
      </c>
      <c r="E67" t="s">
        <v>74</v>
      </c>
      <c r="F67" t="s">
        <v>1385</v>
      </c>
      <c r="G67" t="s">
        <v>74</v>
      </c>
      <c r="H67" t="s">
        <v>74</v>
      </c>
      <c r="I67" t="s">
        <v>1386</v>
      </c>
      <c r="J67" t="s">
        <v>1368</v>
      </c>
      <c r="K67" t="s">
        <v>74</v>
      </c>
      <c r="L67" t="s">
        <v>74</v>
      </c>
      <c r="M67" t="s">
        <v>78</v>
      </c>
      <c r="N67" t="s">
        <v>79</v>
      </c>
      <c r="O67" t="s">
        <v>74</v>
      </c>
      <c r="P67" t="s">
        <v>74</v>
      </c>
      <c r="Q67" t="s">
        <v>74</v>
      </c>
      <c r="R67" t="s">
        <v>74</v>
      </c>
      <c r="S67" t="s">
        <v>74</v>
      </c>
      <c r="T67" t="s">
        <v>74</v>
      </c>
      <c r="U67" t="s">
        <v>74</v>
      </c>
      <c r="V67" t="s">
        <v>1387</v>
      </c>
      <c r="W67" t="s">
        <v>1388</v>
      </c>
      <c r="X67" t="s">
        <v>1389</v>
      </c>
      <c r="Y67" t="s">
        <v>1390</v>
      </c>
      <c r="Z67" t="s">
        <v>1391</v>
      </c>
      <c r="AA67" t="s">
        <v>74</v>
      </c>
      <c r="AB67" t="s">
        <v>74</v>
      </c>
      <c r="AC67" t="s">
        <v>74</v>
      </c>
      <c r="AD67" t="s">
        <v>74</v>
      </c>
      <c r="AE67" t="s">
        <v>74</v>
      </c>
      <c r="AF67" t="s">
        <v>74</v>
      </c>
      <c r="AG67">
        <v>7</v>
      </c>
      <c r="AH67">
        <v>0</v>
      </c>
      <c r="AI67">
        <v>0</v>
      </c>
      <c r="AJ67">
        <v>0</v>
      </c>
      <c r="AK67">
        <v>1</v>
      </c>
      <c r="AL67" t="s">
        <v>1130</v>
      </c>
      <c r="AM67" t="s">
        <v>371</v>
      </c>
      <c r="AN67" t="s">
        <v>1131</v>
      </c>
      <c r="AO67" t="s">
        <v>1377</v>
      </c>
      <c r="AP67" t="s">
        <v>1378</v>
      </c>
      <c r="AQ67" t="s">
        <v>74</v>
      </c>
      <c r="AR67" t="s">
        <v>1379</v>
      </c>
      <c r="AS67" t="s">
        <v>1380</v>
      </c>
      <c r="AT67" t="s">
        <v>867</v>
      </c>
      <c r="AU67">
        <v>2012</v>
      </c>
      <c r="AV67">
        <v>52</v>
      </c>
      <c r="AW67">
        <v>6</v>
      </c>
      <c r="AX67" t="s">
        <v>74</v>
      </c>
      <c r="AY67" t="s">
        <v>74</v>
      </c>
      <c r="AZ67" t="s">
        <v>74</v>
      </c>
      <c r="BA67" t="s">
        <v>74</v>
      </c>
      <c r="BB67">
        <v>761</v>
      </c>
      <c r="BC67">
        <v>767</v>
      </c>
      <c r="BD67" t="s">
        <v>74</v>
      </c>
      <c r="BE67" t="s">
        <v>1392</v>
      </c>
      <c r="BF67" t="str">
        <f>HYPERLINK("http://dx.doi.org/10.1134/S0016793212050052","http://dx.doi.org/10.1134/S0016793212050052")</f>
        <v>http://dx.doi.org/10.1134/S0016793212050052</v>
      </c>
      <c r="BG67" t="s">
        <v>74</v>
      </c>
      <c r="BH67" t="s">
        <v>74</v>
      </c>
      <c r="BI67">
        <v>7</v>
      </c>
      <c r="BJ67" t="s">
        <v>241</v>
      </c>
      <c r="BK67" t="s">
        <v>98</v>
      </c>
      <c r="BL67" t="s">
        <v>241</v>
      </c>
      <c r="BM67" t="s">
        <v>1382</v>
      </c>
      <c r="BN67" t="s">
        <v>74</v>
      </c>
      <c r="BO67" t="s">
        <v>74</v>
      </c>
      <c r="BP67" t="s">
        <v>74</v>
      </c>
      <c r="BQ67" t="s">
        <v>74</v>
      </c>
      <c r="BR67" t="s">
        <v>101</v>
      </c>
      <c r="BS67" t="s">
        <v>1393</v>
      </c>
      <c r="BT67" t="str">
        <f>HYPERLINK("https%3A%2F%2Fwww.webofscience.com%2Fwos%2Fwoscc%2Ffull-record%2FWOS:000311332200008","View Full Record in Web of Science")</f>
        <v>View Full Record in Web of Science</v>
      </c>
    </row>
    <row r="68" spans="1:72" x14ac:dyDescent="0.15">
      <c r="A68" t="s">
        <v>72</v>
      </c>
      <c r="B68" t="s">
        <v>1394</v>
      </c>
      <c r="C68" t="s">
        <v>74</v>
      </c>
      <c r="D68" t="s">
        <v>74</v>
      </c>
      <c r="E68" t="s">
        <v>74</v>
      </c>
      <c r="F68" t="s">
        <v>1395</v>
      </c>
      <c r="G68" t="s">
        <v>74</v>
      </c>
      <c r="H68" t="s">
        <v>74</v>
      </c>
      <c r="I68" t="s">
        <v>1396</v>
      </c>
      <c r="J68" t="s">
        <v>1397</v>
      </c>
      <c r="K68" t="s">
        <v>74</v>
      </c>
      <c r="L68" t="s">
        <v>74</v>
      </c>
      <c r="M68" t="s">
        <v>78</v>
      </c>
      <c r="N68" t="s">
        <v>79</v>
      </c>
      <c r="O68" t="s">
        <v>74</v>
      </c>
      <c r="P68" t="s">
        <v>74</v>
      </c>
      <c r="Q68" t="s">
        <v>74</v>
      </c>
      <c r="R68" t="s">
        <v>74</v>
      </c>
      <c r="S68" t="s">
        <v>74</v>
      </c>
      <c r="T68" t="s">
        <v>1398</v>
      </c>
      <c r="U68" t="s">
        <v>1399</v>
      </c>
      <c r="V68" t="s">
        <v>1400</v>
      </c>
      <c r="W68" t="s">
        <v>1401</v>
      </c>
      <c r="X68" t="s">
        <v>1402</v>
      </c>
      <c r="Y68" t="s">
        <v>1403</v>
      </c>
      <c r="Z68" t="s">
        <v>1404</v>
      </c>
      <c r="AA68" t="s">
        <v>1405</v>
      </c>
      <c r="AB68" t="s">
        <v>1406</v>
      </c>
      <c r="AC68" t="s">
        <v>74</v>
      </c>
      <c r="AD68" t="s">
        <v>74</v>
      </c>
      <c r="AE68" t="s">
        <v>74</v>
      </c>
      <c r="AF68" t="s">
        <v>74</v>
      </c>
      <c r="AG68">
        <v>28</v>
      </c>
      <c r="AH68">
        <v>9</v>
      </c>
      <c r="AI68">
        <v>9</v>
      </c>
      <c r="AJ68">
        <v>0</v>
      </c>
      <c r="AK68">
        <v>5</v>
      </c>
      <c r="AL68" t="s">
        <v>89</v>
      </c>
      <c r="AM68" t="s">
        <v>90</v>
      </c>
      <c r="AN68" t="s">
        <v>91</v>
      </c>
      <c r="AO68" t="s">
        <v>1407</v>
      </c>
      <c r="AP68" t="s">
        <v>74</v>
      </c>
      <c r="AQ68" t="s">
        <v>74</v>
      </c>
      <c r="AR68" t="s">
        <v>1408</v>
      </c>
      <c r="AS68" t="s">
        <v>1409</v>
      </c>
      <c r="AT68" t="s">
        <v>867</v>
      </c>
      <c r="AU68">
        <v>2012</v>
      </c>
      <c r="AV68">
        <v>89</v>
      </c>
      <c r="AW68" t="s">
        <v>74</v>
      </c>
      <c r="AX68" t="s">
        <v>74</v>
      </c>
      <c r="AY68" t="s">
        <v>74</v>
      </c>
      <c r="AZ68" t="s">
        <v>74</v>
      </c>
      <c r="BA68" t="s">
        <v>74</v>
      </c>
      <c r="BB68">
        <v>54</v>
      </c>
      <c r="BC68">
        <v>61</v>
      </c>
      <c r="BD68" t="s">
        <v>74</v>
      </c>
      <c r="BE68" t="s">
        <v>1410</v>
      </c>
      <c r="BF68" t="str">
        <f>HYPERLINK("http://dx.doi.org/10.1016/j.jastp.2012.08.007","http://dx.doi.org/10.1016/j.jastp.2012.08.007")</f>
        <v>http://dx.doi.org/10.1016/j.jastp.2012.08.007</v>
      </c>
      <c r="BG68" t="s">
        <v>74</v>
      </c>
      <c r="BH68" t="s">
        <v>74</v>
      </c>
      <c r="BI68">
        <v>8</v>
      </c>
      <c r="BJ68" t="s">
        <v>1411</v>
      </c>
      <c r="BK68" t="s">
        <v>98</v>
      </c>
      <c r="BL68" t="s">
        <v>1411</v>
      </c>
      <c r="BM68" t="s">
        <v>1412</v>
      </c>
      <c r="BN68" t="s">
        <v>74</v>
      </c>
      <c r="BO68" t="s">
        <v>74</v>
      </c>
      <c r="BP68" t="s">
        <v>74</v>
      </c>
      <c r="BQ68" t="s">
        <v>74</v>
      </c>
      <c r="BR68" t="s">
        <v>101</v>
      </c>
      <c r="BS68" t="s">
        <v>1413</v>
      </c>
      <c r="BT68" t="str">
        <f>HYPERLINK("https%3A%2F%2Fwww.webofscience.com%2Fwos%2Fwoscc%2Ffull-record%2FWOS:000311196300008","View Full Record in Web of Science")</f>
        <v>View Full Record in Web of Science</v>
      </c>
    </row>
    <row r="69" spans="1:72" x14ac:dyDescent="0.15">
      <c r="A69" t="s">
        <v>72</v>
      </c>
      <c r="B69" t="s">
        <v>1414</v>
      </c>
      <c r="C69" t="s">
        <v>74</v>
      </c>
      <c r="D69" t="s">
        <v>74</v>
      </c>
      <c r="E69" t="s">
        <v>74</v>
      </c>
      <c r="F69" t="s">
        <v>1415</v>
      </c>
      <c r="G69" t="s">
        <v>74</v>
      </c>
      <c r="H69" t="s">
        <v>74</v>
      </c>
      <c r="I69" t="s">
        <v>1416</v>
      </c>
      <c r="J69" t="s">
        <v>1417</v>
      </c>
      <c r="K69" t="s">
        <v>74</v>
      </c>
      <c r="L69" t="s">
        <v>74</v>
      </c>
      <c r="M69" t="s">
        <v>78</v>
      </c>
      <c r="N69" t="s">
        <v>79</v>
      </c>
      <c r="O69" t="s">
        <v>74</v>
      </c>
      <c r="P69" t="s">
        <v>74</v>
      </c>
      <c r="Q69" t="s">
        <v>74</v>
      </c>
      <c r="R69" t="s">
        <v>74</v>
      </c>
      <c r="S69" t="s">
        <v>74</v>
      </c>
      <c r="T69" t="s">
        <v>74</v>
      </c>
      <c r="U69" t="s">
        <v>1418</v>
      </c>
      <c r="V69" t="s">
        <v>1419</v>
      </c>
      <c r="W69" t="s">
        <v>1420</v>
      </c>
      <c r="X69" t="s">
        <v>1421</v>
      </c>
      <c r="Y69" t="s">
        <v>1422</v>
      </c>
      <c r="Z69" t="s">
        <v>1423</v>
      </c>
      <c r="AA69" t="s">
        <v>1424</v>
      </c>
      <c r="AB69" t="s">
        <v>1425</v>
      </c>
      <c r="AC69" t="s">
        <v>1426</v>
      </c>
      <c r="AD69" t="s">
        <v>1427</v>
      </c>
      <c r="AE69" t="s">
        <v>1428</v>
      </c>
      <c r="AF69" t="s">
        <v>74</v>
      </c>
      <c r="AG69">
        <v>108</v>
      </c>
      <c r="AH69">
        <v>32</v>
      </c>
      <c r="AI69">
        <v>35</v>
      </c>
      <c r="AJ69">
        <v>2</v>
      </c>
      <c r="AK69">
        <v>48</v>
      </c>
      <c r="AL69" t="s">
        <v>1429</v>
      </c>
      <c r="AM69" t="s">
        <v>1430</v>
      </c>
      <c r="AN69" t="s">
        <v>1431</v>
      </c>
      <c r="AO69" t="s">
        <v>1432</v>
      </c>
      <c r="AP69" t="s">
        <v>1433</v>
      </c>
      <c r="AQ69" t="s">
        <v>74</v>
      </c>
      <c r="AR69" t="s">
        <v>1434</v>
      </c>
      <c r="AS69" t="s">
        <v>1435</v>
      </c>
      <c r="AT69" t="s">
        <v>964</v>
      </c>
      <c r="AU69">
        <v>2012</v>
      </c>
      <c r="AV69">
        <v>25</v>
      </c>
      <c r="AW69">
        <v>21</v>
      </c>
      <c r="AX69" t="s">
        <v>74</v>
      </c>
      <c r="AY69" t="s">
        <v>74</v>
      </c>
      <c r="AZ69" t="s">
        <v>74</v>
      </c>
      <c r="BA69" t="s">
        <v>74</v>
      </c>
      <c r="BB69">
        <v>7421</v>
      </c>
      <c r="BC69">
        <v>7441</v>
      </c>
      <c r="BD69" t="s">
        <v>74</v>
      </c>
      <c r="BE69" t="s">
        <v>1436</v>
      </c>
      <c r="BF69" t="str">
        <f>HYPERLINK("http://dx.doi.org/10.1175/JCLI-D-12-00050.1","http://dx.doi.org/10.1175/JCLI-D-12-00050.1")</f>
        <v>http://dx.doi.org/10.1175/JCLI-D-12-00050.1</v>
      </c>
      <c r="BG69" t="s">
        <v>74</v>
      </c>
      <c r="BH69" t="s">
        <v>74</v>
      </c>
      <c r="BI69">
        <v>21</v>
      </c>
      <c r="BJ69" t="s">
        <v>378</v>
      </c>
      <c r="BK69" t="s">
        <v>98</v>
      </c>
      <c r="BL69" t="s">
        <v>378</v>
      </c>
      <c r="BM69" t="s">
        <v>1437</v>
      </c>
      <c r="BN69" t="s">
        <v>74</v>
      </c>
      <c r="BO69" t="s">
        <v>1287</v>
      </c>
      <c r="BP69" t="s">
        <v>74</v>
      </c>
      <c r="BQ69" t="s">
        <v>74</v>
      </c>
      <c r="BR69" t="s">
        <v>101</v>
      </c>
      <c r="BS69" t="s">
        <v>1438</v>
      </c>
      <c r="BT69" t="str">
        <f>HYPERLINK("https%3A%2F%2Fwww.webofscience.com%2Fwos%2Fwoscc%2Ffull-record%2FWOS:000311002700007","View Full Record in Web of Science")</f>
        <v>View Full Record in Web of Science</v>
      </c>
    </row>
    <row r="70" spans="1:72" x14ac:dyDescent="0.15">
      <c r="A70" t="s">
        <v>72</v>
      </c>
      <c r="B70" t="s">
        <v>1439</v>
      </c>
      <c r="C70" t="s">
        <v>74</v>
      </c>
      <c r="D70" t="s">
        <v>74</v>
      </c>
      <c r="E70" t="s">
        <v>74</v>
      </c>
      <c r="F70" t="s">
        <v>1440</v>
      </c>
      <c r="G70" t="s">
        <v>74</v>
      </c>
      <c r="H70" t="s">
        <v>74</v>
      </c>
      <c r="I70" t="s">
        <v>1441</v>
      </c>
      <c r="J70" t="s">
        <v>1442</v>
      </c>
      <c r="K70" t="s">
        <v>74</v>
      </c>
      <c r="L70" t="s">
        <v>74</v>
      </c>
      <c r="M70" t="s">
        <v>78</v>
      </c>
      <c r="N70" t="s">
        <v>79</v>
      </c>
      <c r="O70" t="s">
        <v>74</v>
      </c>
      <c r="P70" t="s">
        <v>74</v>
      </c>
      <c r="Q70" t="s">
        <v>74</v>
      </c>
      <c r="R70" t="s">
        <v>74</v>
      </c>
      <c r="S70" t="s">
        <v>74</v>
      </c>
      <c r="T70" t="s">
        <v>74</v>
      </c>
      <c r="U70" t="s">
        <v>1443</v>
      </c>
      <c r="V70" t="s">
        <v>74</v>
      </c>
      <c r="W70" t="s">
        <v>1444</v>
      </c>
      <c r="X70" t="s">
        <v>1445</v>
      </c>
      <c r="Y70" t="s">
        <v>1446</v>
      </c>
      <c r="Z70" t="s">
        <v>1447</v>
      </c>
      <c r="AA70" t="s">
        <v>1448</v>
      </c>
      <c r="AB70" t="s">
        <v>74</v>
      </c>
      <c r="AC70" t="s">
        <v>1449</v>
      </c>
      <c r="AD70" t="s">
        <v>1450</v>
      </c>
      <c r="AE70" t="s">
        <v>1451</v>
      </c>
      <c r="AF70" t="s">
        <v>74</v>
      </c>
      <c r="AG70">
        <v>43</v>
      </c>
      <c r="AH70">
        <v>113</v>
      </c>
      <c r="AI70">
        <v>123</v>
      </c>
      <c r="AJ70">
        <v>0</v>
      </c>
      <c r="AK70">
        <v>12</v>
      </c>
      <c r="AL70" t="s">
        <v>1429</v>
      </c>
      <c r="AM70" t="s">
        <v>1430</v>
      </c>
      <c r="AN70" t="s">
        <v>1431</v>
      </c>
      <c r="AO70" t="s">
        <v>1452</v>
      </c>
      <c r="AP70" t="s">
        <v>1453</v>
      </c>
      <c r="AQ70" t="s">
        <v>74</v>
      </c>
      <c r="AR70" t="s">
        <v>1454</v>
      </c>
      <c r="AS70" t="s">
        <v>1455</v>
      </c>
      <c r="AT70" t="s">
        <v>867</v>
      </c>
      <c r="AU70">
        <v>2012</v>
      </c>
      <c r="AV70">
        <v>93</v>
      </c>
      <c r="AW70">
        <v>11</v>
      </c>
      <c r="AX70" t="s">
        <v>74</v>
      </c>
      <c r="AY70" t="s">
        <v>74</v>
      </c>
      <c r="AZ70" t="s">
        <v>74</v>
      </c>
      <c r="BA70" t="s">
        <v>74</v>
      </c>
      <c r="BB70">
        <v>1699</v>
      </c>
      <c r="BC70">
        <v>1712</v>
      </c>
      <c r="BD70" t="s">
        <v>74</v>
      </c>
      <c r="BE70" t="s">
        <v>1456</v>
      </c>
      <c r="BF70" t="str">
        <f>HYPERLINK("http://dx.doi.org/10.1175/BAMS-D-11-00186.1","http://dx.doi.org/10.1175/BAMS-D-11-00186.1")</f>
        <v>http://dx.doi.org/10.1175/BAMS-D-11-00186.1</v>
      </c>
      <c r="BG70" t="s">
        <v>74</v>
      </c>
      <c r="BH70" t="s">
        <v>74</v>
      </c>
      <c r="BI70">
        <v>14</v>
      </c>
      <c r="BJ70" t="s">
        <v>378</v>
      </c>
      <c r="BK70" t="s">
        <v>98</v>
      </c>
      <c r="BL70" t="s">
        <v>378</v>
      </c>
      <c r="BM70" t="s">
        <v>1457</v>
      </c>
      <c r="BN70" t="s">
        <v>74</v>
      </c>
      <c r="BO70" t="s">
        <v>1458</v>
      </c>
      <c r="BP70" t="s">
        <v>74</v>
      </c>
      <c r="BQ70" t="s">
        <v>74</v>
      </c>
      <c r="BR70" t="s">
        <v>101</v>
      </c>
      <c r="BS70" t="s">
        <v>1459</v>
      </c>
      <c r="BT70" t="str">
        <f>HYPERLINK("https%3A%2F%2Fwww.webofscience.com%2Fwos%2Fwoscc%2Ffull-record%2FWOS:000311214300009","View Full Record in Web of Science")</f>
        <v>View Full Record in Web of Science</v>
      </c>
    </row>
    <row r="71" spans="1:72" x14ac:dyDescent="0.15">
      <c r="A71" t="s">
        <v>72</v>
      </c>
      <c r="B71" t="s">
        <v>1460</v>
      </c>
      <c r="C71" t="s">
        <v>74</v>
      </c>
      <c r="D71" t="s">
        <v>74</v>
      </c>
      <c r="E71" t="s">
        <v>74</v>
      </c>
      <c r="F71" t="s">
        <v>1461</v>
      </c>
      <c r="G71" t="s">
        <v>74</v>
      </c>
      <c r="H71" t="s">
        <v>74</v>
      </c>
      <c r="I71" t="s">
        <v>1462</v>
      </c>
      <c r="J71" t="s">
        <v>1463</v>
      </c>
      <c r="K71" t="s">
        <v>74</v>
      </c>
      <c r="L71" t="s">
        <v>74</v>
      </c>
      <c r="M71" t="s">
        <v>78</v>
      </c>
      <c r="N71" t="s">
        <v>79</v>
      </c>
      <c r="O71" t="s">
        <v>74</v>
      </c>
      <c r="P71" t="s">
        <v>74</v>
      </c>
      <c r="Q71" t="s">
        <v>74</v>
      </c>
      <c r="R71" t="s">
        <v>74</v>
      </c>
      <c r="S71" t="s">
        <v>74</v>
      </c>
      <c r="T71" t="s">
        <v>1464</v>
      </c>
      <c r="U71" t="s">
        <v>1465</v>
      </c>
      <c r="V71" t="s">
        <v>1466</v>
      </c>
      <c r="W71" t="s">
        <v>1467</v>
      </c>
      <c r="X71" t="s">
        <v>1468</v>
      </c>
      <c r="Y71" t="s">
        <v>1469</v>
      </c>
      <c r="Z71" t="s">
        <v>1470</v>
      </c>
      <c r="AA71" t="s">
        <v>1471</v>
      </c>
      <c r="AB71" t="s">
        <v>1472</v>
      </c>
      <c r="AC71" t="s">
        <v>1473</v>
      </c>
      <c r="AD71" t="s">
        <v>1474</v>
      </c>
      <c r="AE71" t="s">
        <v>1475</v>
      </c>
      <c r="AF71" t="s">
        <v>74</v>
      </c>
      <c r="AG71">
        <v>44</v>
      </c>
      <c r="AH71">
        <v>53</v>
      </c>
      <c r="AI71">
        <v>53</v>
      </c>
      <c r="AJ71">
        <v>0</v>
      </c>
      <c r="AK71">
        <v>24</v>
      </c>
      <c r="AL71" t="s">
        <v>89</v>
      </c>
      <c r="AM71" t="s">
        <v>90</v>
      </c>
      <c r="AN71" t="s">
        <v>91</v>
      </c>
      <c r="AO71" t="s">
        <v>1476</v>
      </c>
      <c r="AP71" t="s">
        <v>74</v>
      </c>
      <c r="AQ71" t="s">
        <v>74</v>
      </c>
      <c r="AR71" t="s">
        <v>1477</v>
      </c>
      <c r="AS71" t="s">
        <v>1478</v>
      </c>
      <c r="AT71" t="s">
        <v>867</v>
      </c>
      <c r="AU71">
        <v>2012</v>
      </c>
      <c r="AV71">
        <v>69</v>
      </c>
      <c r="AW71" t="s">
        <v>74</v>
      </c>
      <c r="AX71" t="s">
        <v>74</v>
      </c>
      <c r="AY71" t="s">
        <v>74</v>
      </c>
      <c r="AZ71" t="s">
        <v>74</v>
      </c>
      <c r="BA71" t="s">
        <v>74</v>
      </c>
      <c r="BB71">
        <v>36</v>
      </c>
      <c r="BC71">
        <v>50</v>
      </c>
      <c r="BD71" t="s">
        <v>74</v>
      </c>
      <c r="BE71" t="s">
        <v>1479</v>
      </c>
      <c r="BF71" t="str">
        <f>HYPERLINK("http://dx.doi.org/10.1016/j.dsr.2012.07.003","http://dx.doi.org/10.1016/j.dsr.2012.07.003")</f>
        <v>http://dx.doi.org/10.1016/j.dsr.2012.07.003</v>
      </c>
      <c r="BG71" t="s">
        <v>74</v>
      </c>
      <c r="BH71" t="s">
        <v>74</v>
      </c>
      <c r="BI71">
        <v>15</v>
      </c>
      <c r="BJ71" t="s">
        <v>941</v>
      </c>
      <c r="BK71" t="s">
        <v>98</v>
      </c>
      <c r="BL71" t="s">
        <v>941</v>
      </c>
      <c r="BM71" t="s">
        <v>1480</v>
      </c>
      <c r="BN71" t="s">
        <v>74</v>
      </c>
      <c r="BO71" t="s">
        <v>74</v>
      </c>
      <c r="BP71" t="s">
        <v>74</v>
      </c>
      <c r="BQ71" t="s">
        <v>74</v>
      </c>
      <c r="BR71" t="s">
        <v>101</v>
      </c>
      <c r="BS71" t="s">
        <v>1481</v>
      </c>
      <c r="BT71" t="str">
        <f>HYPERLINK("https%3A%2F%2Fwww.webofscience.com%2Fwos%2Fwoscc%2Ffull-record%2FWOS:000310665500004","View Full Record in Web of Science")</f>
        <v>View Full Record in Web of Science</v>
      </c>
    </row>
    <row r="72" spans="1:72" x14ac:dyDescent="0.15">
      <c r="A72" t="s">
        <v>72</v>
      </c>
      <c r="B72" t="s">
        <v>1482</v>
      </c>
      <c r="C72" t="s">
        <v>74</v>
      </c>
      <c r="D72" t="s">
        <v>74</v>
      </c>
      <c r="E72" t="s">
        <v>74</v>
      </c>
      <c r="F72" t="s">
        <v>1483</v>
      </c>
      <c r="G72" t="s">
        <v>74</v>
      </c>
      <c r="H72" t="s">
        <v>74</v>
      </c>
      <c r="I72" t="s">
        <v>1484</v>
      </c>
      <c r="J72" t="s">
        <v>1463</v>
      </c>
      <c r="K72" t="s">
        <v>74</v>
      </c>
      <c r="L72" t="s">
        <v>74</v>
      </c>
      <c r="M72" t="s">
        <v>78</v>
      </c>
      <c r="N72" t="s">
        <v>79</v>
      </c>
      <c r="O72" t="s">
        <v>74</v>
      </c>
      <c r="P72" t="s">
        <v>74</v>
      </c>
      <c r="Q72" t="s">
        <v>74</v>
      </c>
      <c r="R72" t="s">
        <v>74</v>
      </c>
      <c r="S72" t="s">
        <v>74</v>
      </c>
      <c r="T72" t="s">
        <v>1485</v>
      </c>
      <c r="U72" t="s">
        <v>1486</v>
      </c>
      <c r="V72" t="s">
        <v>1487</v>
      </c>
      <c r="W72" t="s">
        <v>1488</v>
      </c>
      <c r="X72" t="s">
        <v>1489</v>
      </c>
      <c r="Y72" t="s">
        <v>1490</v>
      </c>
      <c r="Z72" t="s">
        <v>1491</v>
      </c>
      <c r="AA72" t="s">
        <v>1492</v>
      </c>
      <c r="AB72" t="s">
        <v>1493</v>
      </c>
      <c r="AC72" t="s">
        <v>1494</v>
      </c>
      <c r="AD72" t="s">
        <v>1495</v>
      </c>
      <c r="AE72" t="s">
        <v>1496</v>
      </c>
      <c r="AF72" t="s">
        <v>74</v>
      </c>
      <c r="AG72">
        <v>38</v>
      </c>
      <c r="AH72">
        <v>32</v>
      </c>
      <c r="AI72">
        <v>34</v>
      </c>
      <c r="AJ72">
        <v>0</v>
      </c>
      <c r="AK72">
        <v>6</v>
      </c>
      <c r="AL72" t="s">
        <v>89</v>
      </c>
      <c r="AM72" t="s">
        <v>90</v>
      </c>
      <c r="AN72" t="s">
        <v>91</v>
      </c>
      <c r="AO72" t="s">
        <v>1476</v>
      </c>
      <c r="AP72" t="s">
        <v>1497</v>
      </c>
      <c r="AQ72" t="s">
        <v>74</v>
      </c>
      <c r="AR72" t="s">
        <v>1477</v>
      </c>
      <c r="AS72" t="s">
        <v>1478</v>
      </c>
      <c r="AT72" t="s">
        <v>867</v>
      </c>
      <c r="AU72">
        <v>2012</v>
      </c>
      <c r="AV72">
        <v>69</v>
      </c>
      <c r="AW72" t="s">
        <v>74</v>
      </c>
      <c r="AX72" t="s">
        <v>74</v>
      </c>
      <c r="AY72" t="s">
        <v>74</v>
      </c>
      <c r="AZ72" t="s">
        <v>74</v>
      </c>
      <c r="BA72" t="s">
        <v>74</v>
      </c>
      <c r="BB72">
        <v>62</v>
      </c>
      <c r="BC72">
        <v>69</v>
      </c>
      <c r="BD72" t="s">
        <v>74</v>
      </c>
      <c r="BE72" t="s">
        <v>1498</v>
      </c>
      <c r="BF72" t="str">
        <f>HYPERLINK("http://dx.doi.org/10.1016/j.dsr.2012.07.005","http://dx.doi.org/10.1016/j.dsr.2012.07.005")</f>
        <v>http://dx.doi.org/10.1016/j.dsr.2012.07.005</v>
      </c>
      <c r="BG72" t="s">
        <v>74</v>
      </c>
      <c r="BH72" t="s">
        <v>74</v>
      </c>
      <c r="BI72">
        <v>8</v>
      </c>
      <c r="BJ72" t="s">
        <v>941</v>
      </c>
      <c r="BK72" t="s">
        <v>98</v>
      </c>
      <c r="BL72" t="s">
        <v>941</v>
      </c>
      <c r="BM72" t="s">
        <v>1480</v>
      </c>
      <c r="BN72" t="s">
        <v>74</v>
      </c>
      <c r="BO72" t="s">
        <v>1499</v>
      </c>
      <c r="BP72" t="s">
        <v>74</v>
      </c>
      <c r="BQ72" t="s">
        <v>74</v>
      </c>
      <c r="BR72" t="s">
        <v>101</v>
      </c>
      <c r="BS72" t="s">
        <v>1500</v>
      </c>
      <c r="BT72" t="str">
        <f>HYPERLINK("https%3A%2F%2Fwww.webofscience.com%2Fwos%2Fwoscc%2Ffull-record%2FWOS:000310665500006","View Full Record in Web of Science")</f>
        <v>View Full Record in Web of Science</v>
      </c>
    </row>
    <row r="73" spans="1:72" x14ac:dyDescent="0.15">
      <c r="A73" t="s">
        <v>72</v>
      </c>
      <c r="B73" t="s">
        <v>1501</v>
      </c>
      <c r="C73" t="s">
        <v>74</v>
      </c>
      <c r="D73" t="s">
        <v>74</v>
      </c>
      <c r="E73" t="s">
        <v>74</v>
      </c>
      <c r="F73" t="s">
        <v>1502</v>
      </c>
      <c r="G73" t="s">
        <v>74</v>
      </c>
      <c r="H73" t="s">
        <v>74</v>
      </c>
      <c r="I73" t="s">
        <v>1503</v>
      </c>
      <c r="J73" t="s">
        <v>1504</v>
      </c>
      <c r="K73" t="s">
        <v>74</v>
      </c>
      <c r="L73" t="s">
        <v>74</v>
      </c>
      <c r="M73" t="s">
        <v>78</v>
      </c>
      <c r="N73" t="s">
        <v>79</v>
      </c>
      <c r="O73" t="s">
        <v>74</v>
      </c>
      <c r="P73" t="s">
        <v>74</v>
      </c>
      <c r="Q73" t="s">
        <v>74</v>
      </c>
      <c r="R73" t="s">
        <v>74</v>
      </c>
      <c r="S73" t="s">
        <v>74</v>
      </c>
      <c r="T73" t="s">
        <v>1505</v>
      </c>
      <c r="U73" t="s">
        <v>1506</v>
      </c>
      <c r="V73" t="s">
        <v>1507</v>
      </c>
      <c r="W73" t="s">
        <v>1508</v>
      </c>
      <c r="X73" t="s">
        <v>1509</v>
      </c>
      <c r="Y73" t="s">
        <v>1510</v>
      </c>
      <c r="Z73" t="s">
        <v>1511</v>
      </c>
      <c r="AA73" t="s">
        <v>1512</v>
      </c>
      <c r="AB73" t="s">
        <v>1513</v>
      </c>
      <c r="AC73" t="s">
        <v>1514</v>
      </c>
      <c r="AD73" t="s">
        <v>1515</v>
      </c>
      <c r="AE73" t="s">
        <v>1516</v>
      </c>
      <c r="AF73" t="s">
        <v>74</v>
      </c>
      <c r="AG73">
        <v>55</v>
      </c>
      <c r="AH73">
        <v>10</v>
      </c>
      <c r="AI73">
        <v>10</v>
      </c>
      <c r="AJ73">
        <v>0</v>
      </c>
      <c r="AK73">
        <v>16</v>
      </c>
      <c r="AL73" t="s">
        <v>1517</v>
      </c>
      <c r="AM73" t="s">
        <v>434</v>
      </c>
      <c r="AN73" t="s">
        <v>1518</v>
      </c>
      <c r="AO73" t="s">
        <v>1519</v>
      </c>
      <c r="AP73" t="s">
        <v>1520</v>
      </c>
      <c r="AQ73" t="s">
        <v>74</v>
      </c>
      <c r="AR73" t="s">
        <v>1521</v>
      </c>
      <c r="AS73" t="s">
        <v>1522</v>
      </c>
      <c r="AT73" t="s">
        <v>867</v>
      </c>
      <c r="AU73">
        <v>2012</v>
      </c>
      <c r="AV73">
        <v>33</v>
      </c>
      <c r="AW73">
        <v>5</v>
      </c>
      <c r="AX73" t="s">
        <v>74</v>
      </c>
      <c r="AY73" t="s">
        <v>74</v>
      </c>
      <c r="AZ73" t="s">
        <v>74</v>
      </c>
      <c r="BA73" t="s">
        <v>74</v>
      </c>
      <c r="BB73">
        <v>1076</v>
      </c>
      <c r="BC73">
        <v>1085</v>
      </c>
      <c r="BD73" t="s">
        <v>74</v>
      </c>
      <c r="BE73" t="s">
        <v>1523</v>
      </c>
      <c r="BF73" t="str">
        <f>HYPERLINK("http://dx.doi.org/10.1016/j.fsi.2012.07.010","http://dx.doi.org/10.1016/j.fsi.2012.07.010")</f>
        <v>http://dx.doi.org/10.1016/j.fsi.2012.07.010</v>
      </c>
      <c r="BG73" t="s">
        <v>74</v>
      </c>
      <c r="BH73" t="s">
        <v>74</v>
      </c>
      <c r="BI73">
        <v>10</v>
      </c>
      <c r="BJ73" t="s">
        <v>1524</v>
      </c>
      <c r="BK73" t="s">
        <v>98</v>
      </c>
      <c r="BL73" t="s">
        <v>1524</v>
      </c>
      <c r="BM73" t="s">
        <v>1525</v>
      </c>
      <c r="BN73">
        <v>22960217</v>
      </c>
      <c r="BO73" t="s">
        <v>74</v>
      </c>
      <c r="BP73" t="s">
        <v>74</v>
      </c>
      <c r="BQ73" t="s">
        <v>74</v>
      </c>
      <c r="BR73" t="s">
        <v>101</v>
      </c>
      <c r="BS73" t="s">
        <v>1526</v>
      </c>
      <c r="BT73" t="str">
        <f>HYPERLINK("https%3A%2F%2Fwww.webofscience.com%2Fwos%2Fwoscc%2Ffull-record%2FWOS:000311191700002","View Full Record in Web of Science")</f>
        <v>View Full Record in Web of Science</v>
      </c>
    </row>
    <row r="74" spans="1:72" x14ac:dyDescent="0.15">
      <c r="A74" t="s">
        <v>72</v>
      </c>
      <c r="B74" t="s">
        <v>1527</v>
      </c>
      <c r="C74" t="s">
        <v>74</v>
      </c>
      <c r="D74" t="s">
        <v>74</v>
      </c>
      <c r="E74" t="s">
        <v>74</v>
      </c>
      <c r="F74" t="s">
        <v>1528</v>
      </c>
      <c r="G74" t="s">
        <v>74</v>
      </c>
      <c r="H74" t="s">
        <v>74</v>
      </c>
      <c r="I74" t="s">
        <v>1529</v>
      </c>
      <c r="J74" t="s">
        <v>1504</v>
      </c>
      <c r="K74" t="s">
        <v>74</v>
      </c>
      <c r="L74" t="s">
        <v>74</v>
      </c>
      <c r="M74" t="s">
        <v>78</v>
      </c>
      <c r="N74" t="s">
        <v>79</v>
      </c>
      <c r="O74" t="s">
        <v>74</v>
      </c>
      <c r="P74" t="s">
        <v>74</v>
      </c>
      <c r="Q74" t="s">
        <v>74</v>
      </c>
      <c r="R74" t="s">
        <v>74</v>
      </c>
      <c r="S74" t="s">
        <v>74</v>
      </c>
      <c r="T74" t="s">
        <v>1530</v>
      </c>
      <c r="U74" t="s">
        <v>1531</v>
      </c>
      <c r="V74" t="s">
        <v>1532</v>
      </c>
      <c r="W74" t="s">
        <v>1533</v>
      </c>
      <c r="X74" t="s">
        <v>1534</v>
      </c>
      <c r="Y74" t="s">
        <v>1535</v>
      </c>
      <c r="Z74" t="s">
        <v>1536</v>
      </c>
      <c r="AA74" t="s">
        <v>1537</v>
      </c>
      <c r="AB74" t="s">
        <v>1538</v>
      </c>
      <c r="AC74" t="s">
        <v>1539</v>
      </c>
      <c r="AD74" t="s">
        <v>1540</v>
      </c>
      <c r="AE74" t="s">
        <v>1541</v>
      </c>
      <c r="AF74" t="s">
        <v>74</v>
      </c>
      <c r="AG74">
        <v>54</v>
      </c>
      <c r="AH74">
        <v>41</v>
      </c>
      <c r="AI74">
        <v>49</v>
      </c>
      <c r="AJ74">
        <v>1</v>
      </c>
      <c r="AK74">
        <v>37</v>
      </c>
      <c r="AL74" t="s">
        <v>1517</v>
      </c>
      <c r="AM74" t="s">
        <v>434</v>
      </c>
      <c r="AN74" t="s">
        <v>1518</v>
      </c>
      <c r="AO74" t="s">
        <v>1519</v>
      </c>
      <c r="AP74" t="s">
        <v>1520</v>
      </c>
      <c r="AQ74" t="s">
        <v>74</v>
      </c>
      <c r="AR74" t="s">
        <v>1521</v>
      </c>
      <c r="AS74" t="s">
        <v>1522</v>
      </c>
      <c r="AT74" t="s">
        <v>867</v>
      </c>
      <c r="AU74">
        <v>2012</v>
      </c>
      <c r="AV74">
        <v>33</v>
      </c>
      <c r="AW74">
        <v>5</v>
      </c>
      <c r="AX74" t="s">
        <v>74</v>
      </c>
      <c r="AY74" t="s">
        <v>74</v>
      </c>
      <c r="AZ74" t="s">
        <v>74</v>
      </c>
      <c r="BA74" t="s">
        <v>74</v>
      </c>
      <c r="BB74">
        <v>1183</v>
      </c>
      <c r="BC74">
        <v>1191</v>
      </c>
      <c r="BD74" t="s">
        <v>74</v>
      </c>
      <c r="BE74" t="s">
        <v>1542</v>
      </c>
      <c r="BF74" t="str">
        <f>HYPERLINK("http://dx.doi.org/10.1016/j.fsi.2012.09.005","http://dx.doi.org/10.1016/j.fsi.2012.09.005")</f>
        <v>http://dx.doi.org/10.1016/j.fsi.2012.09.005</v>
      </c>
      <c r="BG74" t="s">
        <v>74</v>
      </c>
      <c r="BH74" t="s">
        <v>74</v>
      </c>
      <c r="BI74">
        <v>9</v>
      </c>
      <c r="BJ74" t="s">
        <v>1524</v>
      </c>
      <c r="BK74" t="s">
        <v>98</v>
      </c>
      <c r="BL74" t="s">
        <v>1524</v>
      </c>
      <c r="BM74" t="s">
        <v>1525</v>
      </c>
      <c r="BN74">
        <v>22982327</v>
      </c>
      <c r="BO74" t="s">
        <v>74</v>
      </c>
      <c r="BP74" t="s">
        <v>74</v>
      </c>
      <c r="BQ74" t="s">
        <v>74</v>
      </c>
      <c r="BR74" t="s">
        <v>101</v>
      </c>
      <c r="BS74" t="s">
        <v>1543</v>
      </c>
      <c r="BT74" t="str">
        <f>HYPERLINK("https%3A%2F%2Fwww.webofscience.com%2Fwos%2Fwoscc%2Ffull-record%2FWOS:000311191700014","View Full Record in Web of Science")</f>
        <v>View Full Record in Web of Science</v>
      </c>
    </row>
    <row r="75" spans="1:72" x14ac:dyDescent="0.15">
      <c r="A75" t="s">
        <v>72</v>
      </c>
      <c r="B75" t="s">
        <v>1544</v>
      </c>
      <c r="C75" t="s">
        <v>74</v>
      </c>
      <c r="D75" t="s">
        <v>74</v>
      </c>
      <c r="E75" t="s">
        <v>74</v>
      </c>
      <c r="F75" t="s">
        <v>1545</v>
      </c>
      <c r="G75" t="s">
        <v>74</v>
      </c>
      <c r="H75" t="s">
        <v>74</v>
      </c>
      <c r="I75" t="s">
        <v>1546</v>
      </c>
      <c r="J75" t="s">
        <v>1547</v>
      </c>
      <c r="K75" t="s">
        <v>74</v>
      </c>
      <c r="L75" t="s">
        <v>74</v>
      </c>
      <c r="M75" t="s">
        <v>78</v>
      </c>
      <c r="N75" t="s">
        <v>79</v>
      </c>
      <c r="O75" t="s">
        <v>74</v>
      </c>
      <c r="P75" t="s">
        <v>74</v>
      </c>
      <c r="Q75" t="s">
        <v>74</v>
      </c>
      <c r="R75" t="s">
        <v>74</v>
      </c>
      <c r="S75" t="s">
        <v>74</v>
      </c>
      <c r="T75" t="s">
        <v>74</v>
      </c>
      <c r="U75" t="s">
        <v>1548</v>
      </c>
      <c r="V75" t="s">
        <v>1549</v>
      </c>
      <c r="W75" t="s">
        <v>1550</v>
      </c>
      <c r="X75" t="s">
        <v>74</v>
      </c>
      <c r="Y75" t="s">
        <v>1551</v>
      </c>
      <c r="Z75" t="s">
        <v>1552</v>
      </c>
      <c r="AA75" t="s">
        <v>74</v>
      </c>
      <c r="AB75" t="s">
        <v>74</v>
      </c>
      <c r="AC75" t="s">
        <v>1553</v>
      </c>
      <c r="AD75" t="s">
        <v>1553</v>
      </c>
      <c r="AE75" t="s">
        <v>1554</v>
      </c>
      <c r="AF75" t="s">
        <v>74</v>
      </c>
      <c r="AG75">
        <v>14</v>
      </c>
      <c r="AH75">
        <v>33</v>
      </c>
      <c r="AI75">
        <v>34</v>
      </c>
      <c r="AJ75">
        <v>0</v>
      </c>
      <c r="AK75">
        <v>8</v>
      </c>
      <c r="AL75" t="s">
        <v>1429</v>
      </c>
      <c r="AM75" t="s">
        <v>1430</v>
      </c>
      <c r="AN75" t="s">
        <v>1431</v>
      </c>
      <c r="AO75" t="s">
        <v>1555</v>
      </c>
      <c r="AP75" t="s">
        <v>1556</v>
      </c>
      <c r="AQ75" t="s">
        <v>74</v>
      </c>
      <c r="AR75" t="s">
        <v>1557</v>
      </c>
      <c r="AS75" t="s">
        <v>1558</v>
      </c>
      <c r="AT75" t="s">
        <v>867</v>
      </c>
      <c r="AU75">
        <v>2012</v>
      </c>
      <c r="AV75">
        <v>29</v>
      </c>
      <c r="AW75">
        <v>11</v>
      </c>
      <c r="AX75" t="s">
        <v>74</v>
      </c>
      <c r="AY75" t="s">
        <v>74</v>
      </c>
      <c r="AZ75" t="s">
        <v>74</v>
      </c>
      <c r="BA75" t="s">
        <v>74</v>
      </c>
      <c r="BB75">
        <v>1663</v>
      </c>
      <c r="BC75">
        <v>1674</v>
      </c>
      <c r="BD75" t="s">
        <v>74</v>
      </c>
      <c r="BE75" t="s">
        <v>1559</v>
      </c>
      <c r="BF75" t="str">
        <f>HYPERLINK("http://dx.doi.org/10.1175/JTECH-D-12-00008.1","http://dx.doi.org/10.1175/JTECH-D-12-00008.1")</f>
        <v>http://dx.doi.org/10.1175/JTECH-D-12-00008.1</v>
      </c>
      <c r="BG75" t="s">
        <v>74</v>
      </c>
      <c r="BH75" t="s">
        <v>74</v>
      </c>
      <c r="BI75">
        <v>12</v>
      </c>
      <c r="BJ75" t="s">
        <v>1560</v>
      </c>
      <c r="BK75" t="s">
        <v>98</v>
      </c>
      <c r="BL75" t="s">
        <v>1561</v>
      </c>
      <c r="BM75" t="s">
        <v>1562</v>
      </c>
      <c r="BN75" t="s">
        <v>74</v>
      </c>
      <c r="BO75" t="s">
        <v>380</v>
      </c>
      <c r="BP75" t="s">
        <v>74</v>
      </c>
      <c r="BQ75" t="s">
        <v>74</v>
      </c>
      <c r="BR75" t="s">
        <v>101</v>
      </c>
      <c r="BS75" t="s">
        <v>1563</v>
      </c>
      <c r="BT75" t="str">
        <f>HYPERLINK("https%3A%2F%2Fwww.webofscience.com%2Fwos%2Fwoscc%2Ffull-record%2FWOS:000311064300007","View Full Record in Web of Science")</f>
        <v>View Full Record in Web of Science</v>
      </c>
    </row>
    <row r="76" spans="1:72" x14ac:dyDescent="0.15">
      <c r="A76" t="s">
        <v>72</v>
      </c>
      <c r="B76" t="s">
        <v>1564</v>
      </c>
      <c r="C76" t="s">
        <v>74</v>
      </c>
      <c r="D76" t="s">
        <v>74</v>
      </c>
      <c r="E76" t="s">
        <v>74</v>
      </c>
      <c r="F76" t="s">
        <v>1565</v>
      </c>
      <c r="G76" t="s">
        <v>74</v>
      </c>
      <c r="H76" t="s">
        <v>74</v>
      </c>
      <c r="I76" t="s">
        <v>1566</v>
      </c>
      <c r="J76" t="s">
        <v>1567</v>
      </c>
      <c r="K76" t="s">
        <v>74</v>
      </c>
      <c r="L76" t="s">
        <v>74</v>
      </c>
      <c r="M76" t="s">
        <v>78</v>
      </c>
      <c r="N76" t="s">
        <v>79</v>
      </c>
      <c r="O76" t="s">
        <v>74</v>
      </c>
      <c r="P76" t="s">
        <v>74</v>
      </c>
      <c r="Q76" t="s">
        <v>74</v>
      </c>
      <c r="R76" t="s">
        <v>74</v>
      </c>
      <c r="S76" t="s">
        <v>74</v>
      </c>
      <c r="T76" t="s">
        <v>74</v>
      </c>
      <c r="U76" t="s">
        <v>1568</v>
      </c>
      <c r="V76" t="s">
        <v>1569</v>
      </c>
      <c r="W76" t="s">
        <v>1570</v>
      </c>
      <c r="X76" t="s">
        <v>1571</v>
      </c>
      <c r="Y76" t="s">
        <v>1572</v>
      </c>
      <c r="Z76" t="s">
        <v>1573</v>
      </c>
      <c r="AA76" t="s">
        <v>1574</v>
      </c>
      <c r="AB76" t="s">
        <v>1575</v>
      </c>
      <c r="AC76" t="s">
        <v>1576</v>
      </c>
      <c r="AD76" t="s">
        <v>1577</v>
      </c>
      <c r="AE76" t="s">
        <v>1578</v>
      </c>
      <c r="AF76" t="s">
        <v>74</v>
      </c>
      <c r="AG76">
        <v>44</v>
      </c>
      <c r="AH76">
        <v>10</v>
      </c>
      <c r="AI76">
        <v>12</v>
      </c>
      <c r="AJ76">
        <v>0</v>
      </c>
      <c r="AK76">
        <v>19</v>
      </c>
      <c r="AL76" t="s">
        <v>1429</v>
      </c>
      <c r="AM76" t="s">
        <v>1430</v>
      </c>
      <c r="AN76" t="s">
        <v>1431</v>
      </c>
      <c r="AO76" t="s">
        <v>1579</v>
      </c>
      <c r="AP76" t="s">
        <v>1580</v>
      </c>
      <c r="AQ76" t="s">
        <v>74</v>
      </c>
      <c r="AR76" t="s">
        <v>1581</v>
      </c>
      <c r="AS76" t="s">
        <v>1582</v>
      </c>
      <c r="AT76" t="s">
        <v>867</v>
      </c>
      <c r="AU76">
        <v>2012</v>
      </c>
      <c r="AV76">
        <v>42</v>
      </c>
      <c r="AW76">
        <v>11</v>
      </c>
      <c r="AX76" t="s">
        <v>74</v>
      </c>
      <c r="AY76" t="s">
        <v>74</v>
      </c>
      <c r="AZ76" t="s">
        <v>74</v>
      </c>
      <c r="BA76" t="s">
        <v>74</v>
      </c>
      <c r="BB76">
        <v>2014</v>
      </c>
      <c r="BC76">
        <v>2029</v>
      </c>
      <c r="BD76" t="s">
        <v>74</v>
      </c>
      <c r="BE76" t="s">
        <v>1583</v>
      </c>
      <c r="BF76" t="str">
        <f>HYPERLINK("http://dx.doi.org/10.1175/JPO-D-11-0167.1","http://dx.doi.org/10.1175/JPO-D-11-0167.1")</f>
        <v>http://dx.doi.org/10.1175/JPO-D-11-0167.1</v>
      </c>
      <c r="BG76" t="s">
        <v>74</v>
      </c>
      <c r="BH76" t="s">
        <v>74</v>
      </c>
      <c r="BI76">
        <v>16</v>
      </c>
      <c r="BJ76" t="s">
        <v>941</v>
      </c>
      <c r="BK76" t="s">
        <v>98</v>
      </c>
      <c r="BL76" t="s">
        <v>941</v>
      </c>
      <c r="BM76" t="s">
        <v>1584</v>
      </c>
      <c r="BN76" t="s">
        <v>74</v>
      </c>
      <c r="BO76" t="s">
        <v>1287</v>
      </c>
      <c r="BP76" t="s">
        <v>74</v>
      </c>
      <c r="BQ76" t="s">
        <v>74</v>
      </c>
      <c r="BR76" t="s">
        <v>101</v>
      </c>
      <c r="BS76" t="s">
        <v>1585</v>
      </c>
      <c r="BT76" t="str">
        <f>HYPERLINK("https%3A%2F%2Fwww.webofscience.com%2Fwos%2Fwoscc%2Ffull-record%2FWOS:000311174300016","View Full Record in Web of Science")</f>
        <v>View Full Record in Web of Science</v>
      </c>
    </row>
    <row r="77" spans="1:72" x14ac:dyDescent="0.15">
      <c r="A77" t="s">
        <v>72</v>
      </c>
      <c r="B77" t="s">
        <v>1586</v>
      </c>
      <c r="C77" t="s">
        <v>74</v>
      </c>
      <c r="D77" t="s">
        <v>74</v>
      </c>
      <c r="E77" t="s">
        <v>74</v>
      </c>
      <c r="F77" t="s">
        <v>1587</v>
      </c>
      <c r="G77" t="s">
        <v>74</v>
      </c>
      <c r="H77" t="s">
        <v>74</v>
      </c>
      <c r="I77" t="s">
        <v>1588</v>
      </c>
      <c r="J77" t="s">
        <v>1589</v>
      </c>
      <c r="K77" t="s">
        <v>74</v>
      </c>
      <c r="L77" t="s">
        <v>74</v>
      </c>
      <c r="M77" t="s">
        <v>78</v>
      </c>
      <c r="N77" t="s">
        <v>79</v>
      </c>
      <c r="O77" t="s">
        <v>74</v>
      </c>
      <c r="P77" t="s">
        <v>74</v>
      </c>
      <c r="Q77" t="s">
        <v>74</v>
      </c>
      <c r="R77" t="s">
        <v>74</v>
      </c>
      <c r="S77" t="s">
        <v>74</v>
      </c>
      <c r="T77" t="s">
        <v>74</v>
      </c>
      <c r="U77" t="s">
        <v>1590</v>
      </c>
      <c r="V77" t="s">
        <v>1591</v>
      </c>
      <c r="W77" t="s">
        <v>1592</v>
      </c>
      <c r="X77" t="s">
        <v>1593</v>
      </c>
      <c r="Y77" t="s">
        <v>1594</v>
      </c>
      <c r="Z77" t="s">
        <v>1595</v>
      </c>
      <c r="AA77" t="s">
        <v>1596</v>
      </c>
      <c r="AB77" t="s">
        <v>1597</v>
      </c>
      <c r="AC77" t="s">
        <v>1598</v>
      </c>
      <c r="AD77" t="s">
        <v>1599</v>
      </c>
      <c r="AE77" t="s">
        <v>1600</v>
      </c>
      <c r="AF77" t="s">
        <v>74</v>
      </c>
      <c r="AG77">
        <v>84</v>
      </c>
      <c r="AH77">
        <v>39</v>
      </c>
      <c r="AI77">
        <v>40</v>
      </c>
      <c r="AJ77">
        <v>0</v>
      </c>
      <c r="AK77">
        <v>36</v>
      </c>
      <c r="AL77" t="s">
        <v>1601</v>
      </c>
      <c r="AM77" t="s">
        <v>1602</v>
      </c>
      <c r="AN77" t="s">
        <v>1603</v>
      </c>
      <c r="AO77" t="s">
        <v>1604</v>
      </c>
      <c r="AP77" t="s">
        <v>1605</v>
      </c>
      <c r="AQ77" t="s">
        <v>74</v>
      </c>
      <c r="AR77" t="s">
        <v>1606</v>
      </c>
      <c r="AS77" t="s">
        <v>1607</v>
      </c>
      <c r="AT77" t="s">
        <v>867</v>
      </c>
      <c r="AU77">
        <v>2012</v>
      </c>
      <c r="AV77">
        <v>169</v>
      </c>
      <c r="AW77">
        <v>6</v>
      </c>
      <c r="AX77" t="s">
        <v>74</v>
      </c>
      <c r="AY77" t="s">
        <v>74</v>
      </c>
      <c r="AZ77" t="s">
        <v>74</v>
      </c>
      <c r="BA77" t="s">
        <v>74</v>
      </c>
      <c r="BB77">
        <v>745</v>
      </c>
      <c r="BC77">
        <v>758</v>
      </c>
      <c r="BD77" t="s">
        <v>74</v>
      </c>
      <c r="BE77" t="s">
        <v>1608</v>
      </c>
      <c r="BF77" t="str">
        <f>HYPERLINK("http://dx.doi.org/10.1144/jgs2011-118","http://dx.doi.org/10.1144/jgs2011-118")</f>
        <v>http://dx.doi.org/10.1144/jgs2011-118</v>
      </c>
      <c r="BG77" t="s">
        <v>74</v>
      </c>
      <c r="BH77" t="s">
        <v>74</v>
      </c>
      <c r="BI77">
        <v>14</v>
      </c>
      <c r="BJ77" t="s">
        <v>461</v>
      </c>
      <c r="BK77" t="s">
        <v>98</v>
      </c>
      <c r="BL77" t="s">
        <v>462</v>
      </c>
      <c r="BM77" t="s">
        <v>1609</v>
      </c>
      <c r="BN77" t="s">
        <v>74</v>
      </c>
      <c r="BO77" t="s">
        <v>74</v>
      </c>
      <c r="BP77" t="s">
        <v>74</v>
      </c>
      <c r="BQ77" t="s">
        <v>74</v>
      </c>
      <c r="BR77" t="s">
        <v>101</v>
      </c>
      <c r="BS77" t="s">
        <v>1610</v>
      </c>
      <c r="BT77" t="str">
        <f>HYPERLINK("https%3A%2F%2Fwww.webofscience.com%2Fwos%2Fwoscc%2Ffull-record%2FWOS:000310583400011","View Full Record in Web of Science")</f>
        <v>View Full Record in Web of Science</v>
      </c>
    </row>
    <row r="78" spans="1:72" x14ac:dyDescent="0.15">
      <c r="A78" t="s">
        <v>72</v>
      </c>
      <c r="B78" t="s">
        <v>1611</v>
      </c>
      <c r="C78" t="s">
        <v>74</v>
      </c>
      <c r="D78" t="s">
        <v>74</v>
      </c>
      <c r="E78" t="s">
        <v>74</v>
      </c>
      <c r="F78" t="s">
        <v>1612</v>
      </c>
      <c r="G78" t="s">
        <v>74</v>
      </c>
      <c r="H78" t="s">
        <v>74</v>
      </c>
      <c r="I78" t="s">
        <v>1613</v>
      </c>
      <c r="J78" t="s">
        <v>1614</v>
      </c>
      <c r="K78" t="s">
        <v>74</v>
      </c>
      <c r="L78" t="s">
        <v>74</v>
      </c>
      <c r="M78" t="s">
        <v>78</v>
      </c>
      <c r="N78" t="s">
        <v>79</v>
      </c>
      <c r="O78" t="s">
        <v>74</v>
      </c>
      <c r="P78" t="s">
        <v>74</v>
      </c>
      <c r="Q78" t="s">
        <v>74</v>
      </c>
      <c r="R78" t="s">
        <v>74</v>
      </c>
      <c r="S78" t="s">
        <v>74</v>
      </c>
      <c r="T78" t="s">
        <v>74</v>
      </c>
      <c r="U78" t="s">
        <v>1615</v>
      </c>
      <c r="V78" t="s">
        <v>1616</v>
      </c>
      <c r="W78" t="s">
        <v>1617</v>
      </c>
      <c r="X78" t="s">
        <v>1618</v>
      </c>
      <c r="Y78" t="s">
        <v>1619</v>
      </c>
      <c r="Z78" t="s">
        <v>74</v>
      </c>
      <c r="AA78" t="s">
        <v>74</v>
      </c>
      <c r="AB78" t="s">
        <v>1620</v>
      </c>
      <c r="AC78" t="s">
        <v>1621</v>
      </c>
      <c r="AD78" t="s">
        <v>1622</v>
      </c>
      <c r="AE78" t="s">
        <v>1623</v>
      </c>
      <c r="AF78" t="s">
        <v>74</v>
      </c>
      <c r="AG78">
        <v>22</v>
      </c>
      <c r="AH78">
        <v>26</v>
      </c>
      <c r="AI78">
        <v>32</v>
      </c>
      <c r="AJ78">
        <v>0</v>
      </c>
      <c r="AK78">
        <v>27</v>
      </c>
      <c r="AL78" t="s">
        <v>1624</v>
      </c>
      <c r="AM78" t="s">
        <v>1268</v>
      </c>
      <c r="AN78" t="s">
        <v>1625</v>
      </c>
      <c r="AO78" t="s">
        <v>1626</v>
      </c>
      <c r="AP78" t="s">
        <v>1627</v>
      </c>
      <c r="AQ78" t="s">
        <v>74</v>
      </c>
      <c r="AR78" t="s">
        <v>1614</v>
      </c>
      <c r="AS78" t="s">
        <v>462</v>
      </c>
      <c r="AT78" t="s">
        <v>867</v>
      </c>
      <c r="AU78">
        <v>2012</v>
      </c>
      <c r="AV78">
        <v>40</v>
      </c>
      <c r="AW78">
        <v>11</v>
      </c>
      <c r="AX78" t="s">
        <v>74</v>
      </c>
      <c r="AY78" t="s">
        <v>74</v>
      </c>
      <c r="AZ78" t="s">
        <v>74</v>
      </c>
      <c r="BA78" t="s">
        <v>74</v>
      </c>
      <c r="BB78">
        <v>991</v>
      </c>
      <c r="BC78">
        <v>994</v>
      </c>
      <c r="BD78" t="s">
        <v>74</v>
      </c>
      <c r="BE78" t="s">
        <v>1628</v>
      </c>
      <c r="BF78" t="str">
        <f>HYPERLINK("http://dx.doi.org/10.1130/G33430.1","http://dx.doi.org/10.1130/G33430.1")</f>
        <v>http://dx.doi.org/10.1130/G33430.1</v>
      </c>
      <c r="BG78" t="s">
        <v>74</v>
      </c>
      <c r="BH78" t="s">
        <v>74</v>
      </c>
      <c r="BI78">
        <v>4</v>
      </c>
      <c r="BJ78" t="s">
        <v>462</v>
      </c>
      <c r="BK78" t="s">
        <v>98</v>
      </c>
      <c r="BL78" t="s">
        <v>462</v>
      </c>
      <c r="BM78" t="s">
        <v>1629</v>
      </c>
      <c r="BN78" t="s">
        <v>74</v>
      </c>
      <c r="BO78" t="s">
        <v>74</v>
      </c>
      <c r="BP78" t="s">
        <v>74</v>
      </c>
      <c r="BQ78" t="s">
        <v>74</v>
      </c>
      <c r="BR78" t="s">
        <v>101</v>
      </c>
      <c r="BS78" t="s">
        <v>1630</v>
      </c>
      <c r="BT78" t="str">
        <f>HYPERLINK("https%3A%2F%2Fwww.webofscience.com%2Fwos%2Fwoscc%2Ffull-record%2FWOS:000310411000008","View Full Record in Web of Science")</f>
        <v>View Full Record in Web of Science</v>
      </c>
    </row>
    <row r="79" spans="1:72" x14ac:dyDescent="0.15">
      <c r="A79" t="s">
        <v>72</v>
      </c>
      <c r="B79" t="s">
        <v>1631</v>
      </c>
      <c r="C79" t="s">
        <v>74</v>
      </c>
      <c r="D79" t="s">
        <v>74</v>
      </c>
      <c r="E79" t="s">
        <v>74</v>
      </c>
      <c r="F79" t="s">
        <v>1632</v>
      </c>
      <c r="G79" t="s">
        <v>74</v>
      </c>
      <c r="H79" t="s">
        <v>74</v>
      </c>
      <c r="I79" t="s">
        <v>1633</v>
      </c>
      <c r="J79" t="s">
        <v>1634</v>
      </c>
      <c r="K79" t="s">
        <v>74</v>
      </c>
      <c r="L79" t="s">
        <v>74</v>
      </c>
      <c r="M79" t="s">
        <v>78</v>
      </c>
      <c r="N79" t="s">
        <v>79</v>
      </c>
      <c r="O79" t="s">
        <v>74</v>
      </c>
      <c r="P79" t="s">
        <v>74</v>
      </c>
      <c r="Q79" t="s">
        <v>74</v>
      </c>
      <c r="R79" t="s">
        <v>74</v>
      </c>
      <c r="S79" t="s">
        <v>74</v>
      </c>
      <c r="T79" t="s">
        <v>74</v>
      </c>
      <c r="U79" t="s">
        <v>1635</v>
      </c>
      <c r="V79" t="s">
        <v>1636</v>
      </c>
      <c r="W79" t="s">
        <v>1637</v>
      </c>
      <c r="X79" t="s">
        <v>1638</v>
      </c>
      <c r="Y79" t="s">
        <v>1639</v>
      </c>
      <c r="Z79" t="s">
        <v>1640</v>
      </c>
      <c r="AA79" t="s">
        <v>1641</v>
      </c>
      <c r="AB79" t="s">
        <v>1642</v>
      </c>
      <c r="AC79" t="s">
        <v>1643</v>
      </c>
      <c r="AD79" t="s">
        <v>1644</v>
      </c>
      <c r="AE79" t="s">
        <v>1645</v>
      </c>
      <c r="AF79" t="s">
        <v>74</v>
      </c>
      <c r="AG79">
        <v>9</v>
      </c>
      <c r="AH79">
        <v>11</v>
      </c>
      <c r="AI79">
        <v>14</v>
      </c>
      <c r="AJ79">
        <v>0</v>
      </c>
      <c r="AK79">
        <v>6</v>
      </c>
      <c r="AL79" t="s">
        <v>1646</v>
      </c>
      <c r="AM79" t="s">
        <v>119</v>
      </c>
      <c r="AN79" t="s">
        <v>1647</v>
      </c>
      <c r="AO79" t="s">
        <v>1648</v>
      </c>
      <c r="AP79" t="s">
        <v>1649</v>
      </c>
      <c r="AQ79" t="s">
        <v>74</v>
      </c>
      <c r="AR79" t="s">
        <v>1650</v>
      </c>
      <c r="AS79" t="s">
        <v>1651</v>
      </c>
      <c r="AT79" t="s">
        <v>867</v>
      </c>
      <c r="AU79">
        <v>2012</v>
      </c>
      <c r="AV79">
        <v>194</v>
      </c>
      <c r="AW79">
        <v>22</v>
      </c>
      <c r="AX79" t="s">
        <v>74</v>
      </c>
      <c r="AY79" t="s">
        <v>74</v>
      </c>
      <c r="AZ79" t="s">
        <v>74</v>
      </c>
      <c r="BA79" t="s">
        <v>74</v>
      </c>
      <c r="BB79">
        <v>6334</v>
      </c>
      <c r="BC79">
        <v>6335</v>
      </c>
      <c r="BD79" t="s">
        <v>74</v>
      </c>
      <c r="BE79" t="s">
        <v>1652</v>
      </c>
      <c r="BF79" t="str">
        <f>HYPERLINK("http://dx.doi.org/10.1128/JB.01432-12","http://dx.doi.org/10.1128/JB.01432-12")</f>
        <v>http://dx.doi.org/10.1128/JB.01432-12</v>
      </c>
      <c r="BG79" t="s">
        <v>74</v>
      </c>
      <c r="BH79" t="s">
        <v>74</v>
      </c>
      <c r="BI79">
        <v>2</v>
      </c>
      <c r="BJ79" t="s">
        <v>775</v>
      </c>
      <c r="BK79" t="s">
        <v>98</v>
      </c>
      <c r="BL79" t="s">
        <v>775</v>
      </c>
      <c r="BM79" t="s">
        <v>1653</v>
      </c>
      <c r="BN79">
        <v>23105071</v>
      </c>
      <c r="BO79" t="s">
        <v>1654</v>
      </c>
      <c r="BP79" t="s">
        <v>74</v>
      </c>
      <c r="BQ79" t="s">
        <v>74</v>
      </c>
      <c r="BR79" t="s">
        <v>101</v>
      </c>
      <c r="BS79" t="s">
        <v>1655</v>
      </c>
      <c r="BT79" t="str">
        <f>HYPERLINK("https%3A%2F%2Fwww.webofscience.com%2Fwos%2Fwoscc%2Ffull-record%2FWOS:000310589300054","View Full Record in Web of Science")</f>
        <v>View Full Record in Web of Science</v>
      </c>
    </row>
    <row r="80" spans="1:72" x14ac:dyDescent="0.15">
      <c r="A80" t="s">
        <v>72</v>
      </c>
      <c r="B80" t="s">
        <v>1656</v>
      </c>
      <c r="C80" t="s">
        <v>74</v>
      </c>
      <c r="D80" t="s">
        <v>74</v>
      </c>
      <c r="E80" t="s">
        <v>74</v>
      </c>
      <c r="F80" t="s">
        <v>1657</v>
      </c>
      <c r="G80" t="s">
        <v>74</v>
      </c>
      <c r="H80" t="s">
        <v>74</v>
      </c>
      <c r="I80" t="s">
        <v>1658</v>
      </c>
      <c r="J80" t="s">
        <v>1659</v>
      </c>
      <c r="K80" t="s">
        <v>74</v>
      </c>
      <c r="L80" t="s">
        <v>74</v>
      </c>
      <c r="M80" t="s">
        <v>78</v>
      </c>
      <c r="N80" t="s">
        <v>79</v>
      </c>
      <c r="O80" t="s">
        <v>74</v>
      </c>
      <c r="P80" t="s">
        <v>74</v>
      </c>
      <c r="Q80" t="s">
        <v>74</v>
      </c>
      <c r="R80" t="s">
        <v>74</v>
      </c>
      <c r="S80" t="s">
        <v>74</v>
      </c>
      <c r="T80" t="s">
        <v>74</v>
      </c>
      <c r="U80" t="s">
        <v>1660</v>
      </c>
      <c r="V80" t="s">
        <v>1661</v>
      </c>
      <c r="W80" t="s">
        <v>1662</v>
      </c>
      <c r="X80" t="s">
        <v>1663</v>
      </c>
      <c r="Y80" t="s">
        <v>1664</v>
      </c>
      <c r="Z80" t="s">
        <v>1665</v>
      </c>
      <c r="AA80" t="s">
        <v>1666</v>
      </c>
      <c r="AB80" t="s">
        <v>1667</v>
      </c>
      <c r="AC80" t="s">
        <v>1668</v>
      </c>
      <c r="AD80" t="s">
        <v>1669</v>
      </c>
      <c r="AE80" t="s">
        <v>1670</v>
      </c>
      <c r="AF80" t="s">
        <v>74</v>
      </c>
      <c r="AG80">
        <v>35</v>
      </c>
      <c r="AH80">
        <v>3</v>
      </c>
      <c r="AI80">
        <v>3</v>
      </c>
      <c r="AJ80">
        <v>0</v>
      </c>
      <c r="AK80">
        <v>17</v>
      </c>
      <c r="AL80" t="s">
        <v>898</v>
      </c>
      <c r="AM80" t="s">
        <v>899</v>
      </c>
      <c r="AN80" t="s">
        <v>900</v>
      </c>
      <c r="AO80" t="s">
        <v>1671</v>
      </c>
      <c r="AP80" t="s">
        <v>1672</v>
      </c>
      <c r="AQ80" t="s">
        <v>74</v>
      </c>
      <c r="AR80" t="s">
        <v>1673</v>
      </c>
      <c r="AS80" t="s">
        <v>1674</v>
      </c>
      <c r="AT80" t="s">
        <v>1087</v>
      </c>
      <c r="AU80">
        <v>2012</v>
      </c>
      <c r="AV80">
        <v>88</v>
      </c>
      <c r="AW80">
        <v>6</v>
      </c>
      <c r="AX80" t="s">
        <v>74</v>
      </c>
      <c r="AY80" t="s">
        <v>74</v>
      </c>
      <c r="AZ80" t="s">
        <v>74</v>
      </c>
      <c r="BA80" t="s">
        <v>74</v>
      </c>
      <c r="BB80">
        <v>1473</v>
      </c>
      <c r="BC80">
        <v>1479</v>
      </c>
      <c r="BD80" t="s">
        <v>74</v>
      </c>
      <c r="BE80" t="s">
        <v>1675</v>
      </c>
      <c r="BF80" t="str">
        <f>HYPERLINK("http://dx.doi.org/10.1111/j.1751-1097.2012.01184.x","http://dx.doi.org/10.1111/j.1751-1097.2012.01184.x")</f>
        <v>http://dx.doi.org/10.1111/j.1751-1097.2012.01184.x</v>
      </c>
      <c r="BG80" t="s">
        <v>74</v>
      </c>
      <c r="BH80" t="s">
        <v>74</v>
      </c>
      <c r="BI80">
        <v>7</v>
      </c>
      <c r="BJ80" t="s">
        <v>1676</v>
      </c>
      <c r="BK80" t="s">
        <v>98</v>
      </c>
      <c r="BL80" t="s">
        <v>1676</v>
      </c>
      <c r="BM80" t="s">
        <v>1677</v>
      </c>
      <c r="BN80">
        <v>22671442</v>
      </c>
      <c r="BO80" t="s">
        <v>607</v>
      </c>
      <c r="BP80" t="s">
        <v>74</v>
      </c>
      <c r="BQ80" t="s">
        <v>74</v>
      </c>
      <c r="BR80" t="s">
        <v>101</v>
      </c>
      <c r="BS80" t="s">
        <v>1678</v>
      </c>
      <c r="BT80" t="str">
        <f>HYPERLINK("https%3A%2F%2Fwww.webofscience.com%2Fwos%2Fwoscc%2Ffull-record%2FWOS:000310563300019","View Full Record in Web of Science")</f>
        <v>View Full Record in Web of Science</v>
      </c>
    </row>
    <row r="81" spans="1:72" x14ac:dyDescent="0.15">
      <c r="A81" t="s">
        <v>72</v>
      </c>
      <c r="B81" t="s">
        <v>1679</v>
      </c>
      <c r="C81" t="s">
        <v>74</v>
      </c>
      <c r="D81" t="s">
        <v>74</v>
      </c>
      <c r="E81" t="s">
        <v>74</v>
      </c>
      <c r="F81" t="s">
        <v>1680</v>
      </c>
      <c r="G81" t="s">
        <v>74</v>
      </c>
      <c r="H81" t="s">
        <v>74</v>
      </c>
      <c r="I81" t="s">
        <v>1681</v>
      </c>
      <c r="J81" t="s">
        <v>1682</v>
      </c>
      <c r="K81" t="s">
        <v>74</v>
      </c>
      <c r="L81" t="s">
        <v>74</v>
      </c>
      <c r="M81" t="s">
        <v>78</v>
      </c>
      <c r="N81" t="s">
        <v>79</v>
      </c>
      <c r="O81" t="s">
        <v>74</v>
      </c>
      <c r="P81" t="s">
        <v>74</v>
      </c>
      <c r="Q81" t="s">
        <v>74</v>
      </c>
      <c r="R81" t="s">
        <v>74</v>
      </c>
      <c r="S81" t="s">
        <v>74</v>
      </c>
      <c r="T81" t="s">
        <v>1683</v>
      </c>
      <c r="U81" t="s">
        <v>1684</v>
      </c>
      <c r="V81" t="s">
        <v>1685</v>
      </c>
      <c r="W81" t="s">
        <v>1686</v>
      </c>
      <c r="X81" t="s">
        <v>1687</v>
      </c>
      <c r="Y81" t="s">
        <v>1688</v>
      </c>
      <c r="Z81" t="s">
        <v>1689</v>
      </c>
      <c r="AA81" t="s">
        <v>1690</v>
      </c>
      <c r="AB81" t="s">
        <v>1691</v>
      </c>
      <c r="AC81" t="s">
        <v>1692</v>
      </c>
      <c r="AD81" t="s">
        <v>1692</v>
      </c>
      <c r="AE81" t="s">
        <v>1693</v>
      </c>
      <c r="AF81" t="s">
        <v>74</v>
      </c>
      <c r="AG81">
        <v>38</v>
      </c>
      <c r="AH81">
        <v>21</v>
      </c>
      <c r="AI81">
        <v>21</v>
      </c>
      <c r="AJ81">
        <v>1</v>
      </c>
      <c r="AK81">
        <v>42</v>
      </c>
      <c r="AL81" t="s">
        <v>1694</v>
      </c>
      <c r="AM81" t="s">
        <v>1695</v>
      </c>
      <c r="AN81" t="s">
        <v>1696</v>
      </c>
      <c r="AO81" t="s">
        <v>1697</v>
      </c>
      <c r="AP81" t="s">
        <v>1698</v>
      </c>
      <c r="AQ81" t="s">
        <v>74</v>
      </c>
      <c r="AR81" t="s">
        <v>1699</v>
      </c>
      <c r="AS81" t="s">
        <v>1700</v>
      </c>
      <c r="AT81" t="s">
        <v>1087</v>
      </c>
      <c r="AU81">
        <v>2012</v>
      </c>
      <c r="AV81">
        <v>23</v>
      </c>
      <c r="AW81">
        <v>6</v>
      </c>
      <c r="AX81" t="s">
        <v>74</v>
      </c>
      <c r="AY81" t="s">
        <v>74</v>
      </c>
      <c r="AZ81" t="s">
        <v>74</v>
      </c>
      <c r="BA81" t="s">
        <v>74</v>
      </c>
      <c r="BB81">
        <v>1372</v>
      </c>
      <c r="BC81">
        <v>1378</v>
      </c>
      <c r="BD81" t="s">
        <v>74</v>
      </c>
      <c r="BE81" t="s">
        <v>1701</v>
      </c>
      <c r="BF81" t="str">
        <f>HYPERLINK("http://dx.doi.org/10.1093/beheco/ars131","http://dx.doi.org/10.1093/beheco/ars131")</f>
        <v>http://dx.doi.org/10.1093/beheco/ars131</v>
      </c>
      <c r="BG81" t="s">
        <v>74</v>
      </c>
      <c r="BH81" t="s">
        <v>74</v>
      </c>
      <c r="BI81">
        <v>7</v>
      </c>
      <c r="BJ81" t="s">
        <v>1702</v>
      </c>
      <c r="BK81" t="s">
        <v>98</v>
      </c>
      <c r="BL81" t="s">
        <v>1703</v>
      </c>
      <c r="BM81" t="s">
        <v>1704</v>
      </c>
      <c r="BN81" t="s">
        <v>74</v>
      </c>
      <c r="BO81" t="s">
        <v>607</v>
      </c>
      <c r="BP81" t="s">
        <v>74</v>
      </c>
      <c r="BQ81" t="s">
        <v>74</v>
      </c>
      <c r="BR81" t="s">
        <v>101</v>
      </c>
      <c r="BS81" t="s">
        <v>1705</v>
      </c>
      <c r="BT81" t="str">
        <f>HYPERLINK("https%3A%2F%2Fwww.webofscience.com%2Fwos%2Fwoscc%2Ffull-record%2FWOS:000310153500029","View Full Record in Web of Science")</f>
        <v>View Full Record in Web of Science</v>
      </c>
    </row>
    <row r="82" spans="1:72" x14ac:dyDescent="0.15">
      <c r="A82" t="s">
        <v>72</v>
      </c>
      <c r="B82" t="s">
        <v>1706</v>
      </c>
      <c r="C82" t="s">
        <v>74</v>
      </c>
      <c r="D82" t="s">
        <v>74</v>
      </c>
      <c r="E82" t="s">
        <v>74</v>
      </c>
      <c r="F82" t="s">
        <v>1707</v>
      </c>
      <c r="G82" t="s">
        <v>74</v>
      </c>
      <c r="H82" t="s">
        <v>74</v>
      </c>
      <c r="I82" t="s">
        <v>1708</v>
      </c>
      <c r="J82" t="s">
        <v>1709</v>
      </c>
      <c r="K82" t="s">
        <v>74</v>
      </c>
      <c r="L82" t="s">
        <v>74</v>
      </c>
      <c r="M82" t="s">
        <v>78</v>
      </c>
      <c r="N82" t="s">
        <v>79</v>
      </c>
      <c r="O82" t="s">
        <v>74</v>
      </c>
      <c r="P82" t="s">
        <v>74</v>
      </c>
      <c r="Q82" t="s">
        <v>74</v>
      </c>
      <c r="R82" t="s">
        <v>74</v>
      </c>
      <c r="S82" t="s">
        <v>74</v>
      </c>
      <c r="T82" t="s">
        <v>1710</v>
      </c>
      <c r="U82" t="s">
        <v>1711</v>
      </c>
      <c r="V82" t="s">
        <v>1712</v>
      </c>
      <c r="W82" t="s">
        <v>1713</v>
      </c>
      <c r="X82" t="s">
        <v>1714</v>
      </c>
      <c r="Y82" t="s">
        <v>1715</v>
      </c>
      <c r="Z82" t="s">
        <v>1716</v>
      </c>
      <c r="AA82" t="s">
        <v>1717</v>
      </c>
      <c r="AB82" t="s">
        <v>1718</v>
      </c>
      <c r="AC82" t="s">
        <v>1719</v>
      </c>
      <c r="AD82" t="s">
        <v>1720</v>
      </c>
      <c r="AE82" t="s">
        <v>1721</v>
      </c>
      <c r="AF82" t="s">
        <v>74</v>
      </c>
      <c r="AG82">
        <v>40</v>
      </c>
      <c r="AH82">
        <v>12</v>
      </c>
      <c r="AI82">
        <v>12</v>
      </c>
      <c r="AJ82">
        <v>0</v>
      </c>
      <c r="AK82">
        <v>16</v>
      </c>
      <c r="AL82" t="s">
        <v>935</v>
      </c>
      <c r="AM82" t="s">
        <v>371</v>
      </c>
      <c r="AN82" t="s">
        <v>936</v>
      </c>
      <c r="AO82" t="s">
        <v>1722</v>
      </c>
      <c r="AP82" t="s">
        <v>1723</v>
      </c>
      <c r="AQ82" t="s">
        <v>74</v>
      </c>
      <c r="AR82" t="s">
        <v>1724</v>
      </c>
      <c r="AS82" t="s">
        <v>1725</v>
      </c>
      <c r="AT82" t="s">
        <v>867</v>
      </c>
      <c r="AU82">
        <v>2012</v>
      </c>
      <c r="AV82">
        <v>39</v>
      </c>
      <c r="AW82" t="s">
        <v>1726</v>
      </c>
      <c r="AX82" t="s">
        <v>74</v>
      </c>
      <c r="AY82" t="s">
        <v>74</v>
      </c>
      <c r="AZ82" t="s">
        <v>74</v>
      </c>
      <c r="BA82" t="s">
        <v>74</v>
      </c>
      <c r="BB82">
        <v>2127</v>
      </c>
      <c r="BC82">
        <v>2142</v>
      </c>
      <c r="BD82" t="s">
        <v>74</v>
      </c>
      <c r="BE82" t="s">
        <v>1727</v>
      </c>
      <c r="BF82" t="str">
        <f>HYPERLINK("http://dx.doi.org/10.1007/s00382-011-1249-0","http://dx.doi.org/10.1007/s00382-011-1249-0")</f>
        <v>http://dx.doi.org/10.1007/s00382-011-1249-0</v>
      </c>
      <c r="BG82" t="s">
        <v>74</v>
      </c>
      <c r="BH82" t="s">
        <v>74</v>
      </c>
      <c r="BI82">
        <v>16</v>
      </c>
      <c r="BJ82" t="s">
        <v>378</v>
      </c>
      <c r="BK82" t="s">
        <v>98</v>
      </c>
      <c r="BL82" t="s">
        <v>378</v>
      </c>
      <c r="BM82" t="s">
        <v>1728</v>
      </c>
      <c r="BN82" t="s">
        <v>74</v>
      </c>
      <c r="BO82" t="s">
        <v>74</v>
      </c>
      <c r="BP82" t="s">
        <v>74</v>
      </c>
      <c r="BQ82" t="s">
        <v>74</v>
      </c>
      <c r="BR82" t="s">
        <v>101</v>
      </c>
      <c r="BS82" t="s">
        <v>1729</v>
      </c>
      <c r="BT82" t="str">
        <f>HYPERLINK("https%3A%2F%2Fwww.webofscience.com%2Fwos%2Fwoscc%2Ffull-record%2FWOS:000310224400003","View Full Record in Web of Science")</f>
        <v>View Full Record in Web of Science</v>
      </c>
    </row>
    <row r="83" spans="1:72" x14ac:dyDescent="0.15">
      <c r="A83" t="s">
        <v>72</v>
      </c>
      <c r="B83" t="s">
        <v>1730</v>
      </c>
      <c r="C83" t="s">
        <v>74</v>
      </c>
      <c r="D83" t="s">
        <v>74</v>
      </c>
      <c r="E83" t="s">
        <v>74</v>
      </c>
      <c r="F83" t="s">
        <v>1731</v>
      </c>
      <c r="G83" t="s">
        <v>74</v>
      </c>
      <c r="H83" t="s">
        <v>74</v>
      </c>
      <c r="I83" t="s">
        <v>1732</v>
      </c>
      <c r="J83" t="s">
        <v>1733</v>
      </c>
      <c r="K83" t="s">
        <v>74</v>
      </c>
      <c r="L83" t="s">
        <v>74</v>
      </c>
      <c r="M83" t="s">
        <v>78</v>
      </c>
      <c r="N83" t="s">
        <v>79</v>
      </c>
      <c r="O83" t="s">
        <v>74</v>
      </c>
      <c r="P83" t="s">
        <v>74</v>
      </c>
      <c r="Q83" t="s">
        <v>74</v>
      </c>
      <c r="R83" t="s">
        <v>74</v>
      </c>
      <c r="S83" t="s">
        <v>74</v>
      </c>
      <c r="T83" t="s">
        <v>1734</v>
      </c>
      <c r="U83" t="s">
        <v>1735</v>
      </c>
      <c r="V83" t="s">
        <v>1736</v>
      </c>
      <c r="W83" t="s">
        <v>1737</v>
      </c>
      <c r="X83" t="s">
        <v>1738</v>
      </c>
      <c r="Y83" t="s">
        <v>1739</v>
      </c>
      <c r="Z83" t="s">
        <v>1740</v>
      </c>
      <c r="AA83" t="s">
        <v>1741</v>
      </c>
      <c r="AB83" t="s">
        <v>1742</v>
      </c>
      <c r="AC83" t="s">
        <v>1743</v>
      </c>
      <c r="AD83" t="s">
        <v>1743</v>
      </c>
      <c r="AE83" t="s">
        <v>1744</v>
      </c>
      <c r="AF83" t="s">
        <v>74</v>
      </c>
      <c r="AG83">
        <v>53</v>
      </c>
      <c r="AH83">
        <v>6</v>
      </c>
      <c r="AI83">
        <v>6</v>
      </c>
      <c r="AJ83">
        <v>0</v>
      </c>
      <c r="AK83">
        <v>3</v>
      </c>
      <c r="AL83" t="s">
        <v>1745</v>
      </c>
      <c r="AM83" t="s">
        <v>1746</v>
      </c>
      <c r="AN83" t="s">
        <v>1747</v>
      </c>
      <c r="AO83" t="s">
        <v>1748</v>
      </c>
      <c r="AP83" t="s">
        <v>1749</v>
      </c>
      <c r="AQ83" t="s">
        <v>74</v>
      </c>
      <c r="AR83" t="s">
        <v>1733</v>
      </c>
      <c r="AS83" t="s">
        <v>1750</v>
      </c>
      <c r="AT83" t="s">
        <v>867</v>
      </c>
      <c r="AU83">
        <v>2012</v>
      </c>
      <c r="AV83">
        <v>85</v>
      </c>
      <c r="AW83" t="s">
        <v>1751</v>
      </c>
      <c r="AX83" t="s">
        <v>74</v>
      </c>
      <c r="AY83" t="s">
        <v>74</v>
      </c>
      <c r="AZ83" t="s">
        <v>74</v>
      </c>
      <c r="BA83" t="s">
        <v>74</v>
      </c>
      <c r="BB83">
        <v>1633</v>
      </c>
      <c r="BC83">
        <v>1656</v>
      </c>
      <c r="BD83" t="s">
        <v>74</v>
      </c>
      <c r="BE83" t="s">
        <v>1752</v>
      </c>
      <c r="BF83" t="str">
        <f>HYPERLINK("http://dx.doi.org/10.1163/15685403-00003135","http://dx.doi.org/10.1163/15685403-00003135")</f>
        <v>http://dx.doi.org/10.1163/15685403-00003135</v>
      </c>
      <c r="BG83" t="s">
        <v>74</v>
      </c>
      <c r="BH83" t="s">
        <v>74</v>
      </c>
      <c r="BI83">
        <v>24</v>
      </c>
      <c r="BJ83" t="s">
        <v>1753</v>
      </c>
      <c r="BK83" t="s">
        <v>98</v>
      </c>
      <c r="BL83" t="s">
        <v>1753</v>
      </c>
      <c r="BM83" t="s">
        <v>1754</v>
      </c>
      <c r="BN83" t="s">
        <v>74</v>
      </c>
      <c r="BO83" t="s">
        <v>74</v>
      </c>
      <c r="BP83" t="s">
        <v>74</v>
      </c>
      <c r="BQ83" t="s">
        <v>74</v>
      </c>
      <c r="BR83" t="s">
        <v>101</v>
      </c>
      <c r="BS83" t="s">
        <v>1755</v>
      </c>
      <c r="BT83" t="str">
        <f>HYPERLINK("https%3A%2F%2Fwww.webofscience.com%2Fwos%2Fwoscc%2Ffull-record%2FWOS:000310094000016","View Full Record in Web of Science")</f>
        <v>View Full Record in Web of Science</v>
      </c>
    </row>
    <row r="84" spans="1:72" x14ac:dyDescent="0.15">
      <c r="A84" t="s">
        <v>72</v>
      </c>
      <c r="B84" t="s">
        <v>1756</v>
      </c>
      <c r="C84" t="s">
        <v>74</v>
      </c>
      <c r="D84" t="s">
        <v>74</v>
      </c>
      <c r="E84" t="s">
        <v>74</v>
      </c>
      <c r="F84" t="s">
        <v>1757</v>
      </c>
      <c r="G84" t="s">
        <v>74</v>
      </c>
      <c r="H84" t="s">
        <v>74</v>
      </c>
      <c r="I84" t="s">
        <v>1758</v>
      </c>
      <c r="J84" t="s">
        <v>1759</v>
      </c>
      <c r="K84" t="s">
        <v>74</v>
      </c>
      <c r="L84" t="s">
        <v>74</v>
      </c>
      <c r="M84" t="s">
        <v>78</v>
      </c>
      <c r="N84" t="s">
        <v>79</v>
      </c>
      <c r="O84" t="s">
        <v>74</v>
      </c>
      <c r="P84" t="s">
        <v>74</v>
      </c>
      <c r="Q84" t="s">
        <v>74</v>
      </c>
      <c r="R84" t="s">
        <v>74</v>
      </c>
      <c r="S84" t="s">
        <v>74</v>
      </c>
      <c r="T84" t="s">
        <v>1760</v>
      </c>
      <c r="U84" t="s">
        <v>1761</v>
      </c>
      <c r="V84" t="s">
        <v>1762</v>
      </c>
      <c r="W84" t="s">
        <v>1763</v>
      </c>
      <c r="X84" t="s">
        <v>1764</v>
      </c>
      <c r="Y84" t="s">
        <v>1765</v>
      </c>
      <c r="Z84" t="s">
        <v>1766</v>
      </c>
      <c r="AA84" t="s">
        <v>74</v>
      </c>
      <c r="AB84" t="s">
        <v>1767</v>
      </c>
      <c r="AC84" t="s">
        <v>1768</v>
      </c>
      <c r="AD84" t="s">
        <v>1769</v>
      </c>
      <c r="AE84" t="s">
        <v>1770</v>
      </c>
      <c r="AF84" t="s">
        <v>74</v>
      </c>
      <c r="AG84">
        <v>45</v>
      </c>
      <c r="AH84">
        <v>25</v>
      </c>
      <c r="AI84">
        <v>25</v>
      </c>
      <c r="AJ84">
        <v>0</v>
      </c>
      <c r="AK84">
        <v>31</v>
      </c>
      <c r="AL84" t="s">
        <v>1771</v>
      </c>
      <c r="AM84" t="s">
        <v>90</v>
      </c>
      <c r="AN84" t="s">
        <v>1772</v>
      </c>
      <c r="AO84" t="s">
        <v>1773</v>
      </c>
      <c r="AP84" t="s">
        <v>1774</v>
      </c>
      <c r="AQ84" t="s">
        <v>74</v>
      </c>
      <c r="AR84" t="s">
        <v>1775</v>
      </c>
      <c r="AS84" t="s">
        <v>1776</v>
      </c>
      <c r="AT84" t="s">
        <v>867</v>
      </c>
      <c r="AU84">
        <v>2012</v>
      </c>
      <c r="AV84">
        <v>82</v>
      </c>
      <c r="AW84">
        <v>2</v>
      </c>
      <c r="AX84" t="s">
        <v>74</v>
      </c>
      <c r="AY84" t="s">
        <v>74</v>
      </c>
      <c r="AZ84" t="s">
        <v>74</v>
      </c>
      <c r="BA84" t="s">
        <v>74</v>
      </c>
      <c r="BB84">
        <v>356</v>
      </c>
      <c r="BC84">
        <v>366</v>
      </c>
      <c r="BD84" t="s">
        <v>74</v>
      </c>
      <c r="BE84" t="s">
        <v>1777</v>
      </c>
      <c r="BF84" t="str">
        <f>HYPERLINK("http://dx.doi.org/10.1111/j.1574-6941.2012.01380.x","http://dx.doi.org/10.1111/j.1574-6941.2012.01380.x")</f>
        <v>http://dx.doi.org/10.1111/j.1574-6941.2012.01380.x</v>
      </c>
      <c r="BG84" t="s">
        <v>74</v>
      </c>
      <c r="BH84" t="s">
        <v>74</v>
      </c>
      <c r="BI84">
        <v>11</v>
      </c>
      <c r="BJ84" t="s">
        <v>775</v>
      </c>
      <c r="BK84" t="s">
        <v>98</v>
      </c>
      <c r="BL84" t="s">
        <v>775</v>
      </c>
      <c r="BM84" t="s">
        <v>1778</v>
      </c>
      <c r="BN84">
        <v>22486587</v>
      </c>
      <c r="BO84" t="s">
        <v>607</v>
      </c>
      <c r="BP84" t="s">
        <v>74</v>
      </c>
      <c r="BQ84" t="s">
        <v>74</v>
      </c>
      <c r="BR84" t="s">
        <v>101</v>
      </c>
      <c r="BS84" t="s">
        <v>1779</v>
      </c>
      <c r="BT84" t="str">
        <f>HYPERLINK("https%3A%2F%2Fwww.webofscience.com%2Fwos%2Fwoscc%2Ffull-record%2FWOS:000310261900012","View Full Record in Web of Science")</f>
        <v>View Full Record in Web of Science</v>
      </c>
    </row>
    <row r="85" spans="1:72" x14ac:dyDescent="0.15">
      <c r="A85" t="s">
        <v>72</v>
      </c>
      <c r="B85" t="s">
        <v>1780</v>
      </c>
      <c r="C85" t="s">
        <v>74</v>
      </c>
      <c r="D85" t="s">
        <v>74</v>
      </c>
      <c r="E85" t="s">
        <v>74</v>
      </c>
      <c r="F85" t="s">
        <v>1781</v>
      </c>
      <c r="G85" t="s">
        <v>74</v>
      </c>
      <c r="H85" t="s">
        <v>74</v>
      </c>
      <c r="I85" t="s">
        <v>1782</v>
      </c>
      <c r="J85" t="s">
        <v>1759</v>
      </c>
      <c r="K85" t="s">
        <v>74</v>
      </c>
      <c r="L85" t="s">
        <v>74</v>
      </c>
      <c r="M85" t="s">
        <v>78</v>
      </c>
      <c r="N85" t="s">
        <v>79</v>
      </c>
      <c r="O85" t="s">
        <v>74</v>
      </c>
      <c r="P85" t="s">
        <v>74</v>
      </c>
      <c r="Q85" t="s">
        <v>74</v>
      </c>
      <c r="R85" t="s">
        <v>74</v>
      </c>
      <c r="S85" t="s">
        <v>74</v>
      </c>
      <c r="T85" t="s">
        <v>1783</v>
      </c>
      <c r="U85" t="s">
        <v>1784</v>
      </c>
      <c r="V85" t="s">
        <v>1785</v>
      </c>
      <c r="W85" t="s">
        <v>1786</v>
      </c>
      <c r="X85" t="s">
        <v>1787</v>
      </c>
      <c r="Y85" t="s">
        <v>1788</v>
      </c>
      <c r="Z85" t="s">
        <v>1789</v>
      </c>
      <c r="AA85" t="s">
        <v>1790</v>
      </c>
      <c r="AB85" t="s">
        <v>1791</v>
      </c>
      <c r="AC85" t="s">
        <v>1792</v>
      </c>
      <c r="AD85" t="s">
        <v>1793</v>
      </c>
      <c r="AE85" t="s">
        <v>1794</v>
      </c>
      <c r="AF85" t="s">
        <v>74</v>
      </c>
      <c r="AG85">
        <v>35</v>
      </c>
      <c r="AH85">
        <v>19</v>
      </c>
      <c r="AI85">
        <v>25</v>
      </c>
      <c r="AJ85">
        <v>0</v>
      </c>
      <c r="AK85">
        <v>33</v>
      </c>
      <c r="AL85" t="s">
        <v>1771</v>
      </c>
      <c r="AM85" t="s">
        <v>90</v>
      </c>
      <c r="AN85" t="s">
        <v>1772</v>
      </c>
      <c r="AO85" t="s">
        <v>1773</v>
      </c>
      <c r="AP85" t="s">
        <v>1774</v>
      </c>
      <c r="AQ85" t="s">
        <v>74</v>
      </c>
      <c r="AR85" t="s">
        <v>1775</v>
      </c>
      <c r="AS85" t="s">
        <v>1776</v>
      </c>
      <c r="AT85" t="s">
        <v>867</v>
      </c>
      <c r="AU85">
        <v>2012</v>
      </c>
      <c r="AV85">
        <v>82</v>
      </c>
      <c r="AW85">
        <v>2</v>
      </c>
      <c r="AX85" t="s">
        <v>74</v>
      </c>
      <c r="AY85" t="s">
        <v>74</v>
      </c>
      <c r="AZ85" t="s">
        <v>74</v>
      </c>
      <c r="BA85" t="s">
        <v>74</v>
      </c>
      <c r="BB85">
        <v>449</v>
      </c>
      <c r="BC85">
        <v>458</v>
      </c>
      <c r="BD85" t="s">
        <v>74</v>
      </c>
      <c r="BE85" t="s">
        <v>1795</v>
      </c>
      <c r="BF85" t="str">
        <f>HYPERLINK("http://dx.doi.org/10.1111/j.1574-6941.2012.01423.x","http://dx.doi.org/10.1111/j.1574-6941.2012.01423.x")</f>
        <v>http://dx.doi.org/10.1111/j.1574-6941.2012.01423.x</v>
      </c>
      <c r="BG85" t="s">
        <v>74</v>
      </c>
      <c r="BH85" t="s">
        <v>74</v>
      </c>
      <c r="BI85">
        <v>10</v>
      </c>
      <c r="BJ85" t="s">
        <v>775</v>
      </c>
      <c r="BK85" t="s">
        <v>98</v>
      </c>
      <c r="BL85" t="s">
        <v>775</v>
      </c>
      <c r="BM85" t="s">
        <v>1778</v>
      </c>
      <c r="BN85">
        <v>22671290</v>
      </c>
      <c r="BO85" t="s">
        <v>607</v>
      </c>
      <c r="BP85" t="s">
        <v>74</v>
      </c>
      <c r="BQ85" t="s">
        <v>74</v>
      </c>
      <c r="BR85" t="s">
        <v>101</v>
      </c>
      <c r="BS85" t="s">
        <v>1796</v>
      </c>
      <c r="BT85" t="str">
        <f>HYPERLINK("https%3A%2F%2Fwww.webofscience.com%2Fwos%2Fwoscc%2Ffull-record%2FWOS:000310261900019","View Full Record in Web of Science")</f>
        <v>View Full Record in Web of Science</v>
      </c>
    </row>
    <row r="86" spans="1:72" x14ac:dyDescent="0.15">
      <c r="A86" t="s">
        <v>72</v>
      </c>
      <c r="B86" t="s">
        <v>1797</v>
      </c>
      <c r="C86" t="s">
        <v>74</v>
      </c>
      <c r="D86" t="s">
        <v>74</v>
      </c>
      <c r="E86" t="s">
        <v>74</v>
      </c>
      <c r="F86" t="s">
        <v>1798</v>
      </c>
      <c r="G86" t="s">
        <v>74</v>
      </c>
      <c r="H86" t="s">
        <v>74</v>
      </c>
      <c r="I86" t="s">
        <v>1799</v>
      </c>
      <c r="J86" t="s">
        <v>1759</v>
      </c>
      <c r="K86" t="s">
        <v>74</v>
      </c>
      <c r="L86" t="s">
        <v>74</v>
      </c>
      <c r="M86" t="s">
        <v>78</v>
      </c>
      <c r="N86" t="s">
        <v>79</v>
      </c>
      <c r="O86" t="s">
        <v>74</v>
      </c>
      <c r="P86" t="s">
        <v>74</v>
      </c>
      <c r="Q86" t="s">
        <v>74</v>
      </c>
      <c r="R86" t="s">
        <v>74</v>
      </c>
      <c r="S86" t="s">
        <v>74</v>
      </c>
      <c r="T86" t="s">
        <v>1800</v>
      </c>
      <c r="U86" t="s">
        <v>1801</v>
      </c>
      <c r="V86" t="s">
        <v>1802</v>
      </c>
      <c r="W86" t="s">
        <v>1803</v>
      </c>
      <c r="X86" t="s">
        <v>1804</v>
      </c>
      <c r="Y86" t="s">
        <v>1805</v>
      </c>
      <c r="Z86" t="s">
        <v>1806</v>
      </c>
      <c r="AA86" t="s">
        <v>1807</v>
      </c>
      <c r="AB86" t="s">
        <v>1808</v>
      </c>
      <c r="AC86" t="s">
        <v>1809</v>
      </c>
      <c r="AD86" t="s">
        <v>1810</v>
      </c>
      <c r="AE86" t="s">
        <v>1811</v>
      </c>
      <c r="AF86" t="s">
        <v>74</v>
      </c>
      <c r="AG86">
        <v>57</v>
      </c>
      <c r="AH86">
        <v>31</v>
      </c>
      <c r="AI86">
        <v>39</v>
      </c>
      <c r="AJ86">
        <v>3</v>
      </c>
      <c r="AK86">
        <v>62</v>
      </c>
      <c r="AL86" t="s">
        <v>1771</v>
      </c>
      <c r="AM86" t="s">
        <v>90</v>
      </c>
      <c r="AN86" t="s">
        <v>1772</v>
      </c>
      <c r="AO86" t="s">
        <v>1773</v>
      </c>
      <c r="AP86" t="s">
        <v>1774</v>
      </c>
      <c r="AQ86" t="s">
        <v>74</v>
      </c>
      <c r="AR86" t="s">
        <v>1775</v>
      </c>
      <c r="AS86" t="s">
        <v>1776</v>
      </c>
      <c r="AT86" t="s">
        <v>867</v>
      </c>
      <c r="AU86">
        <v>2012</v>
      </c>
      <c r="AV86">
        <v>82</v>
      </c>
      <c r="AW86">
        <v>2</v>
      </c>
      <c r="AX86" t="s">
        <v>74</v>
      </c>
      <c r="AY86" t="s">
        <v>74</v>
      </c>
      <c r="AZ86" t="s">
        <v>74</v>
      </c>
      <c r="BA86" t="s">
        <v>74</v>
      </c>
      <c r="BB86">
        <v>491</v>
      </c>
      <c r="BC86">
        <v>500</v>
      </c>
      <c r="BD86" t="s">
        <v>74</v>
      </c>
      <c r="BE86" t="s">
        <v>1812</v>
      </c>
      <c r="BF86" t="str">
        <f>HYPERLINK("http://dx.doi.org/10.1111/j.1574-6941.2012.01431.x","http://dx.doi.org/10.1111/j.1574-6941.2012.01431.x")</f>
        <v>http://dx.doi.org/10.1111/j.1574-6941.2012.01431.x</v>
      </c>
      <c r="BG86" t="s">
        <v>74</v>
      </c>
      <c r="BH86" t="s">
        <v>74</v>
      </c>
      <c r="BI86">
        <v>10</v>
      </c>
      <c r="BJ86" t="s">
        <v>775</v>
      </c>
      <c r="BK86" t="s">
        <v>98</v>
      </c>
      <c r="BL86" t="s">
        <v>775</v>
      </c>
      <c r="BM86" t="s">
        <v>1778</v>
      </c>
      <c r="BN86">
        <v>22703237</v>
      </c>
      <c r="BO86" t="s">
        <v>607</v>
      </c>
      <c r="BP86" t="s">
        <v>74</v>
      </c>
      <c r="BQ86" t="s">
        <v>74</v>
      </c>
      <c r="BR86" t="s">
        <v>101</v>
      </c>
      <c r="BS86" t="s">
        <v>1813</v>
      </c>
      <c r="BT86" t="str">
        <f>HYPERLINK("https%3A%2F%2Fwww.webofscience.com%2Fwos%2Fwoscc%2Ffull-record%2FWOS:000310261900023","View Full Record in Web of Science")</f>
        <v>View Full Record in Web of Science</v>
      </c>
    </row>
    <row r="87" spans="1:72" x14ac:dyDescent="0.15">
      <c r="A87" t="s">
        <v>72</v>
      </c>
      <c r="B87" t="s">
        <v>1814</v>
      </c>
      <c r="C87" t="s">
        <v>74</v>
      </c>
      <c r="D87" t="s">
        <v>74</v>
      </c>
      <c r="E87" t="s">
        <v>74</v>
      </c>
      <c r="F87" t="s">
        <v>1815</v>
      </c>
      <c r="G87" t="s">
        <v>74</v>
      </c>
      <c r="H87" t="s">
        <v>74</v>
      </c>
      <c r="I87" t="s">
        <v>1816</v>
      </c>
      <c r="J87" t="s">
        <v>1817</v>
      </c>
      <c r="K87" t="s">
        <v>74</v>
      </c>
      <c r="L87" t="s">
        <v>74</v>
      </c>
      <c r="M87" t="s">
        <v>78</v>
      </c>
      <c r="N87" t="s">
        <v>79</v>
      </c>
      <c r="O87" t="s">
        <v>74</v>
      </c>
      <c r="P87" t="s">
        <v>74</v>
      </c>
      <c r="Q87" t="s">
        <v>74</v>
      </c>
      <c r="R87" t="s">
        <v>74</v>
      </c>
      <c r="S87" t="s">
        <v>74</v>
      </c>
      <c r="T87" t="s">
        <v>1818</v>
      </c>
      <c r="U87" t="s">
        <v>1819</v>
      </c>
      <c r="V87" t="s">
        <v>1820</v>
      </c>
      <c r="W87" t="s">
        <v>1821</v>
      </c>
      <c r="X87" t="s">
        <v>1822</v>
      </c>
      <c r="Y87" t="s">
        <v>1823</v>
      </c>
      <c r="Z87" t="s">
        <v>1824</v>
      </c>
      <c r="AA87" t="s">
        <v>74</v>
      </c>
      <c r="AB87" t="s">
        <v>1825</v>
      </c>
      <c r="AC87" t="s">
        <v>74</v>
      </c>
      <c r="AD87" t="s">
        <v>74</v>
      </c>
      <c r="AE87" t="s">
        <v>74</v>
      </c>
      <c r="AF87" t="s">
        <v>74</v>
      </c>
      <c r="AG87">
        <v>33</v>
      </c>
      <c r="AH87">
        <v>12</v>
      </c>
      <c r="AI87">
        <v>12</v>
      </c>
      <c r="AJ87">
        <v>0</v>
      </c>
      <c r="AK87">
        <v>17</v>
      </c>
      <c r="AL87" t="s">
        <v>916</v>
      </c>
      <c r="AM87" t="s">
        <v>899</v>
      </c>
      <c r="AN87" t="s">
        <v>900</v>
      </c>
      <c r="AO87" t="s">
        <v>1826</v>
      </c>
      <c r="AP87" t="s">
        <v>1827</v>
      </c>
      <c r="AQ87" t="s">
        <v>74</v>
      </c>
      <c r="AR87" t="s">
        <v>1828</v>
      </c>
      <c r="AS87" t="s">
        <v>1829</v>
      </c>
      <c r="AT87" t="s">
        <v>867</v>
      </c>
      <c r="AU87">
        <v>2012</v>
      </c>
      <c r="AV87">
        <v>32</v>
      </c>
      <c r="AW87">
        <v>13</v>
      </c>
      <c r="AX87" t="s">
        <v>74</v>
      </c>
      <c r="AY87" t="s">
        <v>74</v>
      </c>
      <c r="AZ87" t="s">
        <v>74</v>
      </c>
      <c r="BA87" t="s">
        <v>74</v>
      </c>
      <c r="BB87">
        <v>2042</v>
      </c>
      <c r="BC87">
        <v>2050</v>
      </c>
      <c r="BD87" t="s">
        <v>74</v>
      </c>
      <c r="BE87" t="s">
        <v>1830</v>
      </c>
      <c r="BF87" t="str">
        <f>HYPERLINK("http://dx.doi.org/10.1002/joc.2418","http://dx.doi.org/10.1002/joc.2418")</f>
        <v>http://dx.doi.org/10.1002/joc.2418</v>
      </c>
      <c r="BG87" t="s">
        <v>74</v>
      </c>
      <c r="BH87" t="s">
        <v>74</v>
      </c>
      <c r="BI87">
        <v>9</v>
      </c>
      <c r="BJ87" t="s">
        <v>378</v>
      </c>
      <c r="BK87" t="s">
        <v>98</v>
      </c>
      <c r="BL87" t="s">
        <v>378</v>
      </c>
      <c r="BM87" t="s">
        <v>1831</v>
      </c>
      <c r="BN87" t="s">
        <v>74</v>
      </c>
      <c r="BO87" t="s">
        <v>74</v>
      </c>
      <c r="BP87" t="s">
        <v>74</v>
      </c>
      <c r="BQ87" t="s">
        <v>74</v>
      </c>
      <c r="BR87" t="s">
        <v>101</v>
      </c>
      <c r="BS87" t="s">
        <v>1832</v>
      </c>
      <c r="BT87" t="str">
        <f>HYPERLINK("https%3A%2F%2Fwww.webofscience.com%2Fwos%2Fwoscc%2Ffull-record%2FWOS:000310393400010","View Full Record in Web of Science")</f>
        <v>View Full Record in Web of Science</v>
      </c>
    </row>
    <row r="88" spans="1:72" x14ac:dyDescent="0.15">
      <c r="A88" t="s">
        <v>72</v>
      </c>
      <c r="B88" t="s">
        <v>1833</v>
      </c>
      <c r="C88" t="s">
        <v>74</v>
      </c>
      <c r="D88" t="s">
        <v>74</v>
      </c>
      <c r="E88" t="s">
        <v>74</v>
      </c>
      <c r="F88" t="s">
        <v>1834</v>
      </c>
      <c r="G88" t="s">
        <v>74</v>
      </c>
      <c r="H88" t="s">
        <v>74</v>
      </c>
      <c r="I88" t="s">
        <v>1835</v>
      </c>
      <c r="J88" t="s">
        <v>1836</v>
      </c>
      <c r="K88" t="s">
        <v>74</v>
      </c>
      <c r="L88" t="s">
        <v>74</v>
      </c>
      <c r="M88" t="s">
        <v>78</v>
      </c>
      <c r="N88" t="s">
        <v>79</v>
      </c>
      <c r="O88" t="s">
        <v>74</v>
      </c>
      <c r="P88" t="s">
        <v>74</v>
      </c>
      <c r="Q88" t="s">
        <v>74</v>
      </c>
      <c r="R88" t="s">
        <v>74</v>
      </c>
      <c r="S88" t="s">
        <v>74</v>
      </c>
      <c r="T88" t="s">
        <v>1837</v>
      </c>
      <c r="U88" t="s">
        <v>1838</v>
      </c>
      <c r="V88" t="s">
        <v>1839</v>
      </c>
      <c r="W88" t="s">
        <v>1840</v>
      </c>
      <c r="X88" t="s">
        <v>1841</v>
      </c>
      <c r="Y88" t="s">
        <v>1842</v>
      </c>
      <c r="Z88" t="s">
        <v>1843</v>
      </c>
      <c r="AA88" t="s">
        <v>1844</v>
      </c>
      <c r="AB88" t="s">
        <v>1845</v>
      </c>
      <c r="AC88" t="s">
        <v>1846</v>
      </c>
      <c r="AD88" t="s">
        <v>1847</v>
      </c>
      <c r="AE88" t="s">
        <v>1848</v>
      </c>
      <c r="AF88" t="s">
        <v>74</v>
      </c>
      <c r="AG88">
        <v>108</v>
      </c>
      <c r="AH88">
        <v>23</v>
      </c>
      <c r="AI88">
        <v>27</v>
      </c>
      <c r="AJ88">
        <v>1</v>
      </c>
      <c r="AK88">
        <v>13</v>
      </c>
      <c r="AL88" t="s">
        <v>1771</v>
      </c>
      <c r="AM88" t="s">
        <v>90</v>
      </c>
      <c r="AN88" t="s">
        <v>1772</v>
      </c>
      <c r="AO88" t="s">
        <v>1849</v>
      </c>
      <c r="AP88" t="s">
        <v>1850</v>
      </c>
      <c r="AQ88" t="s">
        <v>74</v>
      </c>
      <c r="AR88" t="s">
        <v>1851</v>
      </c>
      <c r="AS88" t="s">
        <v>1852</v>
      </c>
      <c r="AT88" t="s">
        <v>867</v>
      </c>
      <c r="AU88">
        <v>2012</v>
      </c>
      <c r="AV88">
        <v>32</v>
      </c>
      <c r="AW88">
        <v>6</v>
      </c>
      <c r="AX88" t="s">
        <v>74</v>
      </c>
      <c r="AY88" t="s">
        <v>74</v>
      </c>
      <c r="AZ88" t="s">
        <v>74</v>
      </c>
      <c r="BA88" t="s">
        <v>74</v>
      </c>
      <c r="BB88">
        <v>949</v>
      </c>
      <c r="BC88">
        <v>961</v>
      </c>
      <c r="BD88" t="s">
        <v>74</v>
      </c>
      <c r="BE88" t="s">
        <v>1853</v>
      </c>
      <c r="BF88" t="str">
        <f>HYPERLINK("http://dx.doi.org/10.1163/1937240X-00002096","http://dx.doi.org/10.1163/1937240X-00002096")</f>
        <v>http://dx.doi.org/10.1163/1937240X-00002096</v>
      </c>
      <c r="BG88" t="s">
        <v>74</v>
      </c>
      <c r="BH88" t="s">
        <v>74</v>
      </c>
      <c r="BI88">
        <v>13</v>
      </c>
      <c r="BJ88" t="s">
        <v>1854</v>
      </c>
      <c r="BK88" t="s">
        <v>98</v>
      </c>
      <c r="BL88" t="s">
        <v>1854</v>
      </c>
      <c r="BM88" t="s">
        <v>1855</v>
      </c>
      <c r="BN88" t="s">
        <v>74</v>
      </c>
      <c r="BO88" t="s">
        <v>607</v>
      </c>
      <c r="BP88" t="s">
        <v>74</v>
      </c>
      <c r="BQ88" t="s">
        <v>74</v>
      </c>
      <c r="BR88" t="s">
        <v>101</v>
      </c>
      <c r="BS88" t="s">
        <v>1856</v>
      </c>
      <c r="BT88" t="str">
        <f>HYPERLINK("https%3A%2F%2Fwww.webofscience.com%2Fwos%2Fwoscc%2Ffull-record%2FWOS:000310256000008","View Full Record in Web of Science")</f>
        <v>View Full Record in Web of Science</v>
      </c>
    </row>
    <row r="89" spans="1:72" x14ac:dyDescent="0.15">
      <c r="A89" t="s">
        <v>72</v>
      </c>
      <c r="B89" t="s">
        <v>1857</v>
      </c>
      <c r="C89" t="s">
        <v>74</v>
      </c>
      <c r="D89" t="s">
        <v>74</v>
      </c>
      <c r="E89" t="s">
        <v>74</v>
      </c>
      <c r="F89" t="s">
        <v>1858</v>
      </c>
      <c r="G89" t="s">
        <v>74</v>
      </c>
      <c r="H89" t="s">
        <v>74</v>
      </c>
      <c r="I89" t="s">
        <v>1859</v>
      </c>
      <c r="J89" t="s">
        <v>1860</v>
      </c>
      <c r="K89" t="s">
        <v>74</v>
      </c>
      <c r="L89" t="s">
        <v>74</v>
      </c>
      <c r="M89" t="s">
        <v>78</v>
      </c>
      <c r="N89" t="s">
        <v>79</v>
      </c>
      <c r="O89" t="s">
        <v>74</v>
      </c>
      <c r="P89" t="s">
        <v>74</v>
      </c>
      <c r="Q89" t="s">
        <v>74</v>
      </c>
      <c r="R89" t="s">
        <v>74</v>
      </c>
      <c r="S89" t="s">
        <v>74</v>
      </c>
      <c r="T89" t="s">
        <v>1861</v>
      </c>
      <c r="U89" t="s">
        <v>1862</v>
      </c>
      <c r="V89" t="s">
        <v>1863</v>
      </c>
      <c r="W89" t="s">
        <v>1864</v>
      </c>
      <c r="X89" t="s">
        <v>1865</v>
      </c>
      <c r="Y89" t="s">
        <v>1866</v>
      </c>
      <c r="Z89" t="s">
        <v>1867</v>
      </c>
      <c r="AA89" t="s">
        <v>1868</v>
      </c>
      <c r="AB89" t="s">
        <v>1869</v>
      </c>
      <c r="AC89" t="s">
        <v>1870</v>
      </c>
      <c r="AD89" t="s">
        <v>1871</v>
      </c>
      <c r="AE89" t="s">
        <v>1872</v>
      </c>
      <c r="AF89" t="s">
        <v>74</v>
      </c>
      <c r="AG89">
        <v>67</v>
      </c>
      <c r="AH89">
        <v>15</v>
      </c>
      <c r="AI89">
        <v>15</v>
      </c>
      <c r="AJ89">
        <v>0</v>
      </c>
      <c r="AK89">
        <v>73</v>
      </c>
      <c r="AL89" t="s">
        <v>935</v>
      </c>
      <c r="AM89" t="s">
        <v>371</v>
      </c>
      <c r="AN89" t="s">
        <v>1873</v>
      </c>
      <c r="AO89" t="s">
        <v>1874</v>
      </c>
      <c r="AP89" t="s">
        <v>1875</v>
      </c>
      <c r="AQ89" t="s">
        <v>74</v>
      </c>
      <c r="AR89" t="s">
        <v>1876</v>
      </c>
      <c r="AS89" t="s">
        <v>1877</v>
      </c>
      <c r="AT89" t="s">
        <v>867</v>
      </c>
      <c r="AU89">
        <v>2012</v>
      </c>
      <c r="AV89">
        <v>35</v>
      </c>
      <c r="AW89">
        <v>11</v>
      </c>
      <c r="AX89" t="s">
        <v>74</v>
      </c>
      <c r="AY89" t="s">
        <v>74</v>
      </c>
      <c r="AZ89" t="s">
        <v>74</v>
      </c>
      <c r="BA89" t="s">
        <v>74</v>
      </c>
      <c r="BB89">
        <v>1629</v>
      </c>
      <c r="BC89">
        <v>1640</v>
      </c>
      <c r="BD89" t="s">
        <v>74</v>
      </c>
      <c r="BE89" t="s">
        <v>1878</v>
      </c>
      <c r="BF89" t="str">
        <f>HYPERLINK("http://dx.doi.org/10.1007/s00300-012-1203-6","http://dx.doi.org/10.1007/s00300-012-1203-6")</f>
        <v>http://dx.doi.org/10.1007/s00300-012-1203-6</v>
      </c>
      <c r="BG89" t="s">
        <v>74</v>
      </c>
      <c r="BH89" t="s">
        <v>74</v>
      </c>
      <c r="BI89">
        <v>12</v>
      </c>
      <c r="BJ89" t="s">
        <v>1879</v>
      </c>
      <c r="BK89" t="s">
        <v>98</v>
      </c>
      <c r="BL89" t="s">
        <v>1880</v>
      </c>
      <c r="BM89" t="s">
        <v>1881</v>
      </c>
      <c r="BN89" t="s">
        <v>74</v>
      </c>
      <c r="BO89" t="s">
        <v>1499</v>
      </c>
      <c r="BP89" t="s">
        <v>74</v>
      </c>
      <c r="BQ89" t="s">
        <v>74</v>
      </c>
      <c r="BR89" t="s">
        <v>101</v>
      </c>
      <c r="BS89" t="s">
        <v>1882</v>
      </c>
      <c r="BT89" t="str">
        <f>HYPERLINK("https%3A%2F%2Fwww.webofscience.com%2Fwos%2Fwoscc%2Ffull-record%2FWOS:000310207900002","View Full Record in Web of Science")</f>
        <v>View Full Record in Web of Science</v>
      </c>
    </row>
    <row r="90" spans="1:72" x14ac:dyDescent="0.15">
      <c r="A90" t="s">
        <v>72</v>
      </c>
      <c r="B90" t="s">
        <v>1883</v>
      </c>
      <c r="C90" t="s">
        <v>74</v>
      </c>
      <c r="D90" t="s">
        <v>74</v>
      </c>
      <c r="E90" t="s">
        <v>74</v>
      </c>
      <c r="F90" t="s">
        <v>1884</v>
      </c>
      <c r="G90" t="s">
        <v>74</v>
      </c>
      <c r="H90" t="s">
        <v>74</v>
      </c>
      <c r="I90" t="s">
        <v>1885</v>
      </c>
      <c r="J90" t="s">
        <v>1860</v>
      </c>
      <c r="K90" t="s">
        <v>74</v>
      </c>
      <c r="L90" t="s">
        <v>74</v>
      </c>
      <c r="M90" t="s">
        <v>78</v>
      </c>
      <c r="N90" t="s">
        <v>79</v>
      </c>
      <c r="O90" t="s">
        <v>74</v>
      </c>
      <c r="P90" t="s">
        <v>74</v>
      </c>
      <c r="Q90" t="s">
        <v>74</v>
      </c>
      <c r="R90" t="s">
        <v>74</v>
      </c>
      <c r="S90" t="s">
        <v>74</v>
      </c>
      <c r="T90" t="s">
        <v>1886</v>
      </c>
      <c r="U90" t="s">
        <v>1887</v>
      </c>
      <c r="V90" t="s">
        <v>1888</v>
      </c>
      <c r="W90" t="s">
        <v>1889</v>
      </c>
      <c r="X90" t="s">
        <v>1890</v>
      </c>
      <c r="Y90" t="s">
        <v>1891</v>
      </c>
      <c r="Z90" t="s">
        <v>1892</v>
      </c>
      <c r="AA90" t="s">
        <v>1893</v>
      </c>
      <c r="AB90" t="s">
        <v>1894</v>
      </c>
      <c r="AC90" t="s">
        <v>1895</v>
      </c>
      <c r="AD90" t="s">
        <v>1896</v>
      </c>
      <c r="AE90" t="s">
        <v>1897</v>
      </c>
      <c r="AF90" t="s">
        <v>74</v>
      </c>
      <c r="AG90">
        <v>57</v>
      </c>
      <c r="AH90">
        <v>8</v>
      </c>
      <c r="AI90">
        <v>9</v>
      </c>
      <c r="AJ90">
        <v>1</v>
      </c>
      <c r="AK90">
        <v>41</v>
      </c>
      <c r="AL90" t="s">
        <v>935</v>
      </c>
      <c r="AM90" t="s">
        <v>371</v>
      </c>
      <c r="AN90" t="s">
        <v>1873</v>
      </c>
      <c r="AO90" t="s">
        <v>1874</v>
      </c>
      <c r="AP90" t="s">
        <v>1875</v>
      </c>
      <c r="AQ90" t="s">
        <v>74</v>
      </c>
      <c r="AR90" t="s">
        <v>1876</v>
      </c>
      <c r="AS90" t="s">
        <v>1877</v>
      </c>
      <c r="AT90" t="s">
        <v>867</v>
      </c>
      <c r="AU90">
        <v>2012</v>
      </c>
      <c r="AV90">
        <v>35</v>
      </c>
      <c r="AW90">
        <v>11</v>
      </c>
      <c r="AX90" t="s">
        <v>74</v>
      </c>
      <c r="AY90" t="s">
        <v>74</v>
      </c>
      <c r="AZ90" t="s">
        <v>74</v>
      </c>
      <c r="BA90" t="s">
        <v>74</v>
      </c>
      <c r="BB90">
        <v>1641</v>
      </c>
      <c r="BC90">
        <v>1650</v>
      </c>
      <c r="BD90" t="s">
        <v>74</v>
      </c>
      <c r="BE90" t="s">
        <v>1898</v>
      </c>
      <c r="BF90" t="str">
        <f>HYPERLINK("http://dx.doi.org/10.1007/s00300-012-1204-5","http://dx.doi.org/10.1007/s00300-012-1204-5")</f>
        <v>http://dx.doi.org/10.1007/s00300-012-1204-5</v>
      </c>
      <c r="BG90" t="s">
        <v>74</v>
      </c>
      <c r="BH90" t="s">
        <v>74</v>
      </c>
      <c r="BI90">
        <v>10</v>
      </c>
      <c r="BJ90" t="s">
        <v>1879</v>
      </c>
      <c r="BK90" t="s">
        <v>98</v>
      </c>
      <c r="BL90" t="s">
        <v>1880</v>
      </c>
      <c r="BM90" t="s">
        <v>1881</v>
      </c>
      <c r="BN90" t="s">
        <v>74</v>
      </c>
      <c r="BO90" t="s">
        <v>380</v>
      </c>
      <c r="BP90" t="s">
        <v>74</v>
      </c>
      <c r="BQ90" t="s">
        <v>74</v>
      </c>
      <c r="BR90" t="s">
        <v>101</v>
      </c>
      <c r="BS90" t="s">
        <v>1899</v>
      </c>
      <c r="BT90" t="str">
        <f>HYPERLINK("https%3A%2F%2Fwww.webofscience.com%2Fwos%2Fwoscc%2Ffull-record%2FWOS:000310207900003","View Full Record in Web of Science")</f>
        <v>View Full Record in Web of Science</v>
      </c>
    </row>
    <row r="91" spans="1:72" x14ac:dyDescent="0.15">
      <c r="A91" t="s">
        <v>72</v>
      </c>
      <c r="B91" t="s">
        <v>1900</v>
      </c>
      <c r="C91" t="s">
        <v>74</v>
      </c>
      <c r="D91" t="s">
        <v>74</v>
      </c>
      <c r="E91" t="s">
        <v>74</v>
      </c>
      <c r="F91" t="s">
        <v>1901</v>
      </c>
      <c r="G91" t="s">
        <v>74</v>
      </c>
      <c r="H91" t="s">
        <v>74</v>
      </c>
      <c r="I91" t="s">
        <v>1902</v>
      </c>
      <c r="J91" t="s">
        <v>1860</v>
      </c>
      <c r="K91" t="s">
        <v>74</v>
      </c>
      <c r="L91" t="s">
        <v>74</v>
      </c>
      <c r="M91" t="s">
        <v>78</v>
      </c>
      <c r="N91" t="s">
        <v>79</v>
      </c>
      <c r="O91" t="s">
        <v>74</v>
      </c>
      <c r="P91" t="s">
        <v>74</v>
      </c>
      <c r="Q91" t="s">
        <v>74</v>
      </c>
      <c r="R91" t="s">
        <v>74</v>
      </c>
      <c r="S91" t="s">
        <v>74</v>
      </c>
      <c r="T91" t="s">
        <v>1903</v>
      </c>
      <c r="U91" t="s">
        <v>1904</v>
      </c>
      <c r="V91" t="s">
        <v>1905</v>
      </c>
      <c r="W91" t="s">
        <v>1906</v>
      </c>
      <c r="X91" t="s">
        <v>1907</v>
      </c>
      <c r="Y91" t="s">
        <v>1908</v>
      </c>
      <c r="Z91" t="s">
        <v>1909</v>
      </c>
      <c r="AA91" t="s">
        <v>1910</v>
      </c>
      <c r="AB91" t="s">
        <v>1911</v>
      </c>
      <c r="AC91" t="s">
        <v>1912</v>
      </c>
      <c r="AD91" t="s">
        <v>1913</v>
      </c>
      <c r="AE91" t="s">
        <v>1914</v>
      </c>
      <c r="AF91" t="s">
        <v>74</v>
      </c>
      <c r="AG91">
        <v>45</v>
      </c>
      <c r="AH91">
        <v>58</v>
      </c>
      <c r="AI91">
        <v>61</v>
      </c>
      <c r="AJ91">
        <v>3</v>
      </c>
      <c r="AK91">
        <v>52</v>
      </c>
      <c r="AL91" t="s">
        <v>935</v>
      </c>
      <c r="AM91" t="s">
        <v>371</v>
      </c>
      <c r="AN91" t="s">
        <v>936</v>
      </c>
      <c r="AO91" t="s">
        <v>1874</v>
      </c>
      <c r="AP91" t="s">
        <v>1875</v>
      </c>
      <c r="AQ91" t="s">
        <v>74</v>
      </c>
      <c r="AR91" t="s">
        <v>1876</v>
      </c>
      <c r="AS91" t="s">
        <v>1877</v>
      </c>
      <c r="AT91" t="s">
        <v>867</v>
      </c>
      <c r="AU91">
        <v>2012</v>
      </c>
      <c r="AV91">
        <v>35</v>
      </c>
      <c r="AW91">
        <v>11</v>
      </c>
      <c r="AX91" t="s">
        <v>74</v>
      </c>
      <c r="AY91" t="s">
        <v>74</v>
      </c>
      <c r="AZ91" t="s">
        <v>74</v>
      </c>
      <c r="BA91" t="s">
        <v>74</v>
      </c>
      <c r="BB91">
        <v>1721</v>
      </c>
      <c r="BC91">
        <v>1733</v>
      </c>
      <c r="BD91" t="s">
        <v>74</v>
      </c>
      <c r="BE91" t="s">
        <v>1915</v>
      </c>
      <c r="BF91" t="str">
        <f>HYPERLINK("http://dx.doi.org/10.1007/s00300-012-1220-5","http://dx.doi.org/10.1007/s00300-012-1220-5")</f>
        <v>http://dx.doi.org/10.1007/s00300-012-1220-5</v>
      </c>
      <c r="BG91" t="s">
        <v>74</v>
      </c>
      <c r="BH91" t="s">
        <v>74</v>
      </c>
      <c r="BI91">
        <v>13</v>
      </c>
      <c r="BJ91" t="s">
        <v>1879</v>
      </c>
      <c r="BK91" t="s">
        <v>98</v>
      </c>
      <c r="BL91" t="s">
        <v>1880</v>
      </c>
      <c r="BM91" t="s">
        <v>1881</v>
      </c>
      <c r="BN91" t="s">
        <v>74</v>
      </c>
      <c r="BO91" t="s">
        <v>74</v>
      </c>
      <c r="BP91" t="s">
        <v>74</v>
      </c>
      <c r="BQ91" t="s">
        <v>74</v>
      </c>
      <c r="BR91" t="s">
        <v>101</v>
      </c>
      <c r="BS91" t="s">
        <v>1916</v>
      </c>
      <c r="BT91" t="str">
        <f>HYPERLINK("https%3A%2F%2Fwww.webofscience.com%2Fwos%2Fwoscc%2Ffull-record%2FWOS:000310207900011","View Full Record in Web of Science")</f>
        <v>View Full Record in Web of Science</v>
      </c>
    </row>
    <row r="92" spans="1:72" x14ac:dyDescent="0.15">
      <c r="A92" t="s">
        <v>72</v>
      </c>
      <c r="B92" t="s">
        <v>1917</v>
      </c>
      <c r="C92" t="s">
        <v>74</v>
      </c>
      <c r="D92" t="s">
        <v>74</v>
      </c>
      <c r="E92" t="s">
        <v>74</v>
      </c>
      <c r="F92" t="s">
        <v>1918</v>
      </c>
      <c r="G92" t="s">
        <v>74</v>
      </c>
      <c r="H92" t="s">
        <v>74</v>
      </c>
      <c r="I92" t="s">
        <v>1919</v>
      </c>
      <c r="J92" t="s">
        <v>1920</v>
      </c>
      <c r="K92" t="s">
        <v>74</v>
      </c>
      <c r="L92" t="s">
        <v>74</v>
      </c>
      <c r="M92" t="s">
        <v>78</v>
      </c>
      <c r="N92" t="s">
        <v>79</v>
      </c>
      <c r="O92" t="s">
        <v>74</v>
      </c>
      <c r="P92" t="s">
        <v>74</v>
      </c>
      <c r="Q92" t="s">
        <v>74</v>
      </c>
      <c r="R92" t="s">
        <v>74</v>
      </c>
      <c r="S92" t="s">
        <v>74</v>
      </c>
      <c r="T92" t="s">
        <v>1921</v>
      </c>
      <c r="U92" t="s">
        <v>1922</v>
      </c>
      <c r="V92" t="s">
        <v>1923</v>
      </c>
      <c r="W92" t="s">
        <v>1924</v>
      </c>
      <c r="X92" t="s">
        <v>1925</v>
      </c>
      <c r="Y92" t="s">
        <v>1926</v>
      </c>
      <c r="Z92" t="s">
        <v>74</v>
      </c>
      <c r="AA92" t="s">
        <v>1927</v>
      </c>
      <c r="AB92" t="s">
        <v>1928</v>
      </c>
      <c r="AC92" t="s">
        <v>1929</v>
      </c>
      <c r="AD92" t="s">
        <v>1930</v>
      </c>
      <c r="AE92" t="s">
        <v>1931</v>
      </c>
      <c r="AF92" t="s">
        <v>74</v>
      </c>
      <c r="AG92">
        <v>55</v>
      </c>
      <c r="AH92">
        <v>18</v>
      </c>
      <c r="AI92">
        <v>20</v>
      </c>
      <c r="AJ92">
        <v>0</v>
      </c>
      <c r="AK92">
        <v>48</v>
      </c>
      <c r="AL92" t="s">
        <v>1932</v>
      </c>
      <c r="AM92" t="s">
        <v>1933</v>
      </c>
      <c r="AN92" t="s">
        <v>1934</v>
      </c>
      <c r="AO92" t="s">
        <v>1935</v>
      </c>
      <c r="AP92" t="s">
        <v>1936</v>
      </c>
      <c r="AQ92" t="s">
        <v>74</v>
      </c>
      <c r="AR92" t="s">
        <v>1937</v>
      </c>
      <c r="AS92" t="s">
        <v>1938</v>
      </c>
      <c r="AT92" t="s">
        <v>867</v>
      </c>
      <c r="AU92">
        <v>2012</v>
      </c>
      <c r="AV92">
        <v>29</v>
      </c>
      <c r="AW92">
        <v>6</v>
      </c>
      <c r="AX92" t="s">
        <v>74</v>
      </c>
      <c r="AY92" t="s">
        <v>74</v>
      </c>
      <c r="AZ92" t="s">
        <v>74</v>
      </c>
      <c r="BA92" t="s">
        <v>74</v>
      </c>
      <c r="BB92">
        <v>1200</v>
      </c>
      <c r="BC92">
        <v>1214</v>
      </c>
      <c r="BD92" t="s">
        <v>74</v>
      </c>
      <c r="BE92" t="s">
        <v>1939</v>
      </c>
      <c r="BF92" t="str">
        <f>HYPERLINK("http://dx.doi.org/10.1007/s00376-012-1226-5","http://dx.doi.org/10.1007/s00376-012-1226-5")</f>
        <v>http://dx.doi.org/10.1007/s00376-012-1226-5</v>
      </c>
      <c r="BG92" t="s">
        <v>74</v>
      </c>
      <c r="BH92" t="s">
        <v>74</v>
      </c>
      <c r="BI92">
        <v>15</v>
      </c>
      <c r="BJ92" t="s">
        <v>378</v>
      </c>
      <c r="BK92" t="s">
        <v>98</v>
      </c>
      <c r="BL92" t="s">
        <v>378</v>
      </c>
      <c r="BM92" t="s">
        <v>1940</v>
      </c>
      <c r="BN92" t="s">
        <v>74</v>
      </c>
      <c r="BO92" t="s">
        <v>74</v>
      </c>
      <c r="BP92" t="s">
        <v>74</v>
      </c>
      <c r="BQ92" t="s">
        <v>74</v>
      </c>
      <c r="BR92" t="s">
        <v>101</v>
      </c>
      <c r="BS92" t="s">
        <v>1941</v>
      </c>
      <c r="BT92" t="str">
        <f>HYPERLINK("https%3A%2F%2Fwww.webofscience.com%2Fwos%2Fwoscc%2Ffull-record%2FWOS:000310074000006","View Full Record in Web of Science")</f>
        <v>View Full Record in Web of Science</v>
      </c>
    </row>
    <row r="93" spans="1:72" x14ac:dyDescent="0.15">
      <c r="A93" t="s">
        <v>72</v>
      </c>
      <c r="B93" t="s">
        <v>1942</v>
      </c>
      <c r="C93" t="s">
        <v>74</v>
      </c>
      <c r="D93" t="s">
        <v>74</v>
      </c>
      <c r="E93" t="s">
        <v>74</v>
      </c>
      <c r="F93" t="s">
        <v>1943</v>
      </c>
      <c r="G93" t="s">
        <v>74</v>
      </c>
      <c r="H93" t="s">
        <v>74</v>
      </c>
      <c r="I93" t="s">
        <v>1944</v>
      </c>
      <c r="J93" t="s">
        <v>1945</v>
      </c>
      <c r="K93" t="s">
        <v>74</v>
      </c>
      <c r="L93" t="s">
        <v>74</v>
      </c>
      <c r="M93" t="s">
        <v>78</v>
      </c>
      <c r="N93" t="s">
        <v>79</v>
      </c>
      <c r="O93" t="s">
        <v>74</v>
      </c>
      <c r="P93" t="s">
        <v>74</v>
      </c>
      <c r="Q93" t="s">
        <v>74</v>
      </c>
      <c r="R93" t="s">
        <v>74</v>
      </c>
      <c r="S93" t="s">
        <v>74</v>
      </c>
      <c r="T93" t="s">
        <v>1946</v>
      </c>
      <c r="U93" t="s">
        <v>1947</v>
      </c>
      <c r="V93" t="s">
        <v>1948</v>
      </c>
      <c r="W93" t="s">
        <v>1949</v>
      </c>
      <c r="X93" t="s">
        <v>1950</v>
      </c>
      <c r="Y93" t="s">
        <v>1951</v>
      </c>
      <c r="Z93" t="s">
        <v>1952</v>
      </c>
      <c r="AA93" t="s">
        <v>1953</v>
      </c>
      <c r="AB93" t="s">
        <v>1954</v>
      </c>
      <c r="AC93" t="s">
        <v>1955</v>
      </c>
      <c r="AD93" t="s">
        <v>1956</v>
      </c>
      <c r="AE93" t="s">
        <v>1957</v>
      </c>
      <c r="AF93" t="s">
        <v>74</v>
      </c>
      <c r="AG93">
        <v>52</v>
      </c>
      <c r="AH93">
        <v>36</v>
      </c>
      <c r="AI93">
        <v>41</v>
      </c>
      <c r="AJ93">
        <v>0</v>
      </c>
      <c r="AK93">
        <v>77</v>
      </c>
      <c r="AL93" t="s">
        <v>1958</v>
      </c>
      <c r="AM93" t="s">
        <v>1959</v>
      </c>
      <c r="AN93" t="s">
        <v>1960</v>
      </c>
      <c r="AO93" t="s">
        <v>1961</v>
      </c>
      <c r="AP93" t="s">
        <v>1962</v>
      </c>
      <c r="AQ93" t="s">
        <v>74</v>
      </c>
      <c r="AR93" t="s">
        <v>1963</v>
      </c>
      <c r="AS93" t="s">
        <v>1964</v>
      </c>
      <c r="AT93" t="s">
        <v>867</v>
      </c>
      <c r="AU93">
        <v>2012</v>
      </c>
      <c r="AV93">
        <v>215</v>
      </c>
      <c r="AW93">
        <v>21</v>
      </c>
      <c r="AX93" t="s">
        <v>74</v>
      </c>
      <c r="AY93" t="s">
        <v>74</v>
      </c>
      <c r="AZ93" t="s">
        <v>74</v>
      </c>
      <c r="BA93" t="s">
        <v>74</v>
      </c>
      <c r="BB93">
        <v>3768</v>
      </c>
      <c r="BC93">
        <v>3773</v>
      </c>
      <c r="BD93" t="s">
        <v>74</v>
      </c>
      <c r="BE93" t="s">
        <v>1965</v>
      </c>
      <c r="BF93" t="str">
        <f>HYPERLINK("http://dx.doi.org/10.1242/jeb.076885","http://dx.doi.org/10.1242/jeb.076885")</f>
        <v>http://dx.doi.org/10.1242/jeb.076885</v>
      </c>
      <c r="BG93" t="s">
        <v>74</v>
      </c>
      <c r="BH93" t="s">
        <v>74</v>
      </c>
      <c r="BI93">
        <v>6</v>
      </c>
      <c r="BJ93" t="s">
        <v>1966</v>
      </c>
      <c r="BK93" t="s">
        <v>98</v>
      </c>
      <c r="BL93" t="s">
        <v>1967</v>
      </c>
      <c r="BM93" t="s">
        <v>1968</v>
      </c>
      <c r="BN93">
        <v>22899523</v>
      </c>
      <c r="BO93" t="s">
        <v>607</v>
      </c>
      <c r="BP93" t="s">
        <v>74</v>
      </c>
      <c r="BQ93" t="s">
        <v>74</v>
      </c>
      <c r="BR93" t="s">
        <v>101</v>
      </c>
      <c r="BS93" t="s">
        <v>1969</v>
      </c>
      <c r="BT93" t="str">
        <f>HYPERLINK("https%3A%2F%2Fwww.webofscience.com%2Fwos%2Fwoscc%2Ffull-record%2FWOS:000309966600019","View Full Record in Web of Science")</f>
        <v>View Full Record in Web of Science</v>
      </c>
    </row>
    <row r="94" spans="1:72" x14ac:dyDescent="0.15">
      <c r="A94" t="s">
        <v>72</v>
      </c>
      <c r="B94" t="s">
        <v>1970</v>
      </c>
      <c r="C94" t="s">
        <v>74</v>
      </c>
      <c r="D94" t="s">
        <v>74</v>
      </c>
      <c r="E94" t="s">
        <v>74</v>
      </c>
      <c r="F94" t="s">
        <v>1971</v>
      </c>
      <c r="G94" t="s">
        <v>74</v>
      </c>
      <c r="H94" t="s">
        <v>74</v>
      </c>
      <c r="I94" t="s">
        <v>1972</v>
      </c>
      <c r="J94" t="s">
        <v>1973</v>
      </c>
      <c r="K94" t="s">
        <v>74</v>
      </c>
      <c r="L94" t="s">
        <v>74</v>
      </c>
      <c r="M94" t="s">
        <v>78</v>
      </c>
      <c r="N94" t="s">
        <v>471</v>
      </c>
      <c r="O94" t="s">
        <v>1974</v>
      </c>
      <c r="P94" t="s">
        <v>1975</v>
      </c>
      <c r="Q94" t="s">
        <v>1976</v>
      </c>
      <c r="R94" t="s">
        <v>74</v>
      </c>
      <c r="S94" t="s">
        <v>74</v>
      </c>
      <c r="T94" t="s">
        <v>1977</v>
      </c>
      <c r="U94" t="s">
        <v>1978</v>
      </c>
      <c r="V94" t="s">
        <v>1979</v>
      </c>
      <c r="W94" t="s">
        <v>1980</v>
      </c>
      <c r="X94" t="s">
        <v>1981</v>
      </c>
      <c r="Y94" t="s">
        <v>1982</v>
      </c>
      <c r="Z94" t="s">
        <v>1983</v>
      </c>
      <c r="AA94" t="s">
        <v>1984</v>
      </c>
      <c r="AB94" t="s">
        <v>1985</v>
      </c>
      <c r="AC94" t="s">
        <v>1986</v>
      </c>
      <c r="AD94" t="s">
        <v>1987</v>
      </c>
      <c r="AE94" t="s">
        <v>1988</v>
      </c>
      <c r="AF94" t="s">
        <v>74</v>
      </c>
      <c r="AG94">
        <v>27</v>
      </c>
      <c r="AH94">
        <v>23</v>
      </c>
      <c r="AI94">
        <v>23</v>
      </c>
      <c r="AJ94">
        <v>0</v>
      </c>
      <c r="AK94">
        <v>39</v>
      </c>
      <c r="AL94" t="s">
        <v>1989</v>
      </c>
      <c r="AM94" t="s">
        <v>1990</v>
      </c>
      <c r="AN94" t="s">
        <v>1991</v>
      </c>
      <c r="AO94" t="s">
        <v>1992</v>
      </c>
      <c r="AP94" t="s">
        <v>1993</v>
      </c>
      <c r="AQ94" t="s">
        <v>74</v>
      </c>
      <c r="AR94" t="s">
        <v>1994</v>
      </c>
      <c r="AS94" t="s">
        <v>1995</v>
      </c>
      <c r="AT94" t="s">
        <v>867</v>
      </c>
      <c r="AU94">
        <v>2012</v>
      </c>
      <c r="AV94">
        <v>19</v>
      </c>
      <c r="AW94" t="s">
        <v>74</v>
      </c>
      <c r="AX94">
        <v>6</v>
      </c>
      <c r="AY94" t="s">
        <v>74</v>
      </c>
      <c r="AZ94" t="s">
        <v>74</v>
      </c>
      <c r="BA94" t="s">
        <v>74</v>
      </c>
      <c r="BB94">
        <v>1038</v>
      </c>
      <c r="BC94">
        <v>1042</v>
      </c>
      <c r="BD94" t="s">
        <v>74</v>
      </c>
      <c r="BE94" t="s">
        <v>1996</v>
      </c>
      <c r="BF94" t="str">
        <f>HYPERLINK("http://dx.doi.org/10.1107/S0909049512033857","http://dx.doi.org/10.1107/S0909049512033857")</f>
        <v>http://dx.doi.org/10.1107/S0909049512033857</v>
      </c>
      <c r="BG94" t="s">
        <v>74</v>
      </c>
      <c r="BH94" t="s">
        <v>74</v>
      </c>
      <c r="BI94">
        <v>5</v>
      </c>
      <c r="BJ94" t="s">
        <v>1997</v>
      </c>
      <c r="BK94" t="s">
        <v>491</v>
      </c>
      <c r="BL94" t="s">
        <v>1998</v>
      </c>
      <c r="BM94" t="s">
        <v>1999</v>
      </c>
      <c r="BN94">
        <v>23093767</v>
      </c>
      <c r="BO94" t="s">
        <v>607</v>
      </c>
      <c r="BP94" t="s">
        <v>74</v>
      </c>
      <c r="BQ94" t="s">
        <v>74</v>
      </c>
      <c r="BR94" t="s">
        <v>101</v>
      </c>
      <c r="BS94" t="s">
        <v>2000</v>
      </c>
      <c r="BT94" t="str">
        <f>HYPERLINK("https%3A%2F%2Fwww.webofscience.com%2Fwos%2Fwoscc%2Ffull-record%2FWOS:000310151000027","View Full Record in Web of Science")</f>
        <v>View Full Record in Web of Science</v>
      </c>
    </row>
    <row r="95" spans="1:72" x14ac:dyDescent="0.15">
      <c r="A95" t="s">
        <v>72</v>
      </c>
      <c r="B95" t="s">
        <v>2001</v>
      </c>
      <c r="C95" t="s">
        <v>74</v>
      </c>
      <c r="D95" t="s">
        <v>74</v>
      </c>
      <c r="E95" t="s">
        <v>74</v>
      </c>
      <c r="F95" t="s">
        <v>2002</v>
      </c>
      <c r="G95" t="s">
        <v>74</v>
      </c>
      <c r="H95" t="s">
        <v>74</v>
      </c>
      <c r="I95" t="s">
        <v>2003</v>
      </c>
      <c r="J95" t="s">
        <v>2004</v>
      </c>
      <c r="K95" t="s">
        <v>74</v>
      </c>
      <c r="L95" t="s">
        <v>74</v>
      </c>
      <c r="M95" t="s">
        <v>78</v>
      </c>
      <c r="N95" t="s">
        <v>974</v>
      </c>
      <c r="O95" t="s">
        <v>74</v>
      </c>
      <c r="P95" t="s">
        <v>74</v>
      </c>
      <c r="Q95" t="s">
        <v>74</v>
      </c>
      <c r="R95" t="s">
        <v>74</v>
      </c>
      <c r="S95" t="s">
        <v>74</v>
      </c>
      <c r="T95" t="s">
        <v>74</v>
      </c>
      <c r="U95" t="s">
        <v>2005</v>
      </c>
      <c r="V95" t="s">
        <v>2006</v>
      </c>
      <c r="W95" t="s">
        <v>2007</v>
      </c>
      <c r="X95" t="s">
        <v>2008</v>
      </c>
      <c r="Y95" t="s">
        <v>2009</v>
      </c>
      <c r="Z95" t="s">
        <v>2010</v>
      </c>
      <c r="AA95" t="s">
        <v>2011</v>
      </c>
      <c r="AB95" t="s">
        <v>2012</v>
      </c>
      <c r="AC95" t="s">
        <v>2013</v>
      </c>
      <c r="AD95" t="s">
        <v>2014</v>
      </c>
      <c r="AE95" t="s">
        <v>2015</v>
      </c>
      <c r="AF95" t="s">
        <v>74</v>
      </c>
      <c r="AG95">
        <v>106</v>
      </c>
      <c r="AH95">
        <v>54</v>
      </c>
      <c r="AI95">
        <v>64</v>
      </c>
      <c r="AJ95">
        <v>3</v>
      </c>
      <c r="AK95">
        <v>40</v>
      </c>
      <c r="AL95" t="s">
        <v>898</v>
      </c>
      <c r="AM95" t="s">
        <v>899</v>
      </c>
      <c r="AN95" t="s">
        <v>900</v>
      </c>
      <c r="AO95" t="s">
        <v>2016</v>
      </c>
      <c r="AP95" t="s">
        <v>2017</v>
      </c>
      <c r="AQ95" t="s">
        <v>74</v>
      </c>
      <c r="AR95" t="s">
        <v>2018</v>
      </c>
      <c r="AS95" t="s">
        <v>2019</v>
      </c>
      <c r="AT95" t="s">
        <v>867</v>
      </c>
      <c r="AU95">
        <v>2012</v>
      </c>
      <c r="AV95">
        <v>41</v>
      </c>
      <c r="AW95">
        <v>6</v>
      </c>
      <c r="AX95" t="s">
        <v>74</v>
      </c>
      <c r="AY95" t="s">
        <v>74</v>
      </c>
      <c r="AZ95" t="s">
        <v>74</v>
      </c>
      <c r="BA95" t="s">
        <v>74</v>
      </c>
      <c r="BB95">
        <v>571</v>
      </c>
      <c r="BC95">
        <v>595</v>
      </c>
      <c r="BD95" t="s">
        <v>74</v>
      </c>
      <c r="BE95" t="s">
        <v>2020</v>
      </c>
      <c r="BF95" t="str">
        <f>HYPERLINK("http://dx.doi.org/10.1111/j.1463-6409.2012.00552.x","http://dx.doi.org/10.1111/j.1463-6409.2012.00552.x")</f>
        <v>http://dx.doi.org/10.1111/j.1463-6409.2012.00552.x</v>
      </c>
      <c r="BG95" t="s">
        <v>74</v>
      </c>
      <c r="BH95" t="s">
        <v>74</v>
      </c>
      <c r="BI95">
        <v>25</v>
      </c>
      <c r="BJ95" t="s">
        <v>2021</v>
      </c>
      <c r="BK95" t="s">
        <v>98</v>
      </c>
      <c r="BL95" t="s">
        <v>2021</v>
      </c>
      <c r="BM95" t="s">
        <v>2022</v>
      </c>
      <c r="BN95" t="s">
        <v>74</v>
      </c>
      <c r="BO95" t="s">
        <v>74</v>
      </c>
      <c r="BP95" t="s">
        <v>74</v>
      </c>
      <c r="BQ95" t="s">
        <v>74</v>
      </c>
      <c r="BR95" t="s">
        <v>101</v>
      </c>
      <c r="BS95" t="s">
        <v>2023</v>
      </c>
      <c r="BT95" t="str">
        <f>HYPERLINK("https%3A%2F%2Fwww.webofscience.com%2Fwos%2Fwoscc%2Ffull-record%2FWOS:000310030900003","View Full Record in Web of Science")</f>
        <v>View Full Record in Web of Science</v>
      </c>
    </row>
    <row r="96" spans="1:72" x14ac:dyDescent="0.15">
      <c r="A96" t="s">
        <v>72</v>
      </c>
      <c r="B96" t="s">
        <v>2024</v>
      </c>
      <c r="C96" t="s">
        <v>74</v>
      </c>
      <c r="D96" t="s">
        <v>74</v>
      </c>
      <c r="E96" t="s">
        <v>74</v>
      </c>
      <c r="F96" t="s">
        <v>2025</v>
      </c>
      <c r="G96" t="s">
        <v>74</v>
      </c>
      <c r="H96" t="s">
        <v>74</v>
      </c>
      <c r="I96" t="s">
        <v>2026</v>
      </c>
      <c r="J96" t="s">
        <v>2004</v>
      </c>
      <c r="K96" t="s">
        <v>74</v>
      </c>
      <c r="L96" t="s">
        <v>74</v>
      </c>
      <c r="M96" t="s">
        <v>78</v>
      </c>
      <c r="N96" t="s">
        <v>974</v>
      </c>
      <c r="O96" t="s">
        <v>74</v>
      </c>
      <c r="P96" t="s">
        <v>74</v>
      </c>
      <c r="Q96" t="s">
        <v>74</v>
      </c>
      <c r="R96" t="s">
        <v>74</v>
      </c>
      <c r="S96" t="s">
        <v>74</v>
      </c>
      <c r="T96" t="s">
        <v>74</v>
      </c>
      <c r="U96" t="s">
        <v>2027</v>
      </c>
      <c r="V96" t="s">
        <v>2028</v>
      </c>
      <c r="W96" t="s">
        <v>2029</v>
      </c>
      <c r="X96" t="s">
        <v>2030</v>
      </c>
      <c r="Y96" t="s">
        <v>2031</v>
      </c>
      <c r="Z96" t="s">
        <v>2032</v>
      </c>
      <c r="AA96" t="s">
        <v>2033</v>
      </c>
      <c r="AB96" t="s">
        <v>2034</v>
      </c>
      <c r="AC96" t="s">
        <v>2035</v>
      </c>
      <c r="AD96" t="s">
        <v>2035</v>
      </c>
      <c r="AE96" t="s">
        <v>2036</v>
      </c>
      <c r="AF96" t="s">
        <v>74</v>
      </c>
      <c r="AG96">
        <v>119</v>
      </c>
      <c r="AH96">
        <v>23</v>
      </c>
      <c r="AI96">
        <v>29</v>
      </c>
      <c r="AJ96">
        <v>0</v>
      </c>
      <c r="AK96">
        <v>28</v>
      </c>
      <c r="AL96" t="s">
        <v>898</v>
      </c>
      <c r="AM96" t="s">
        <v>899</v>
      </c>
      <c r="AN96" t="s">
        <v>900</v>
      </c>
      <c r="AO96" t="s">
        <v>2016</v>
      </c>
      <c r="AP96" t="s">
        <v>2017</v>
      </c>
      <c r="AQ96" t="s">
        <v>74</v>
      </c>
      <c r="AR96" t="s">
        <v>2018</v>
      </c>
      <c r="AS96" t="s">
        <v>2019</v>
      </c>
      <c r="AT96" t="s">
        <v>867</v>
      </c>
      <c r="AU96">
        <v>2012</v>
      </c>
      <c r="AV96">
        <v>41</v>
      </c>
      <c r="AW96">
        <v>6</v>
      </c>
      <c r="AX96" t="s">
        <v>74</v>
      </c>
      <c r="AY96" t="s">
        <v>74</v>
      </c>
      <c r="AZ96" t="s">
        <v>74</v>
      </c>
      <c r="BA96" t="s">
        <v>74</v>
      </c>
      <c r="BB96">
        <v>596</v>
      </c>
      <c r="BC96">
        <v>616</v>
      </c>
      <c r="BD96" t="s">
        <v>74</v>
      </c>
      <c r="BE96" t="s">
        <v>2037</v>
      </c>
      <c r="BF96" t="str">
        <f>HYPERLINK("http://dx.doi.org/10.1111/j.1463-6409.2012.00554.x","http://dx.doi.org/10.1111/j.1463-6409.2012.00554.x")</f>
        <v>http://dx.doi.org/10.1111/j.1463-6409.2012.00554.x</v>
      </c>
      <c r="BG96" t="s">
        <v>74</v>
      </c>
      <c r="BH96" t="s">
        <v>74</v>
      </c>
      <c r="BI96">
        <v>21</v>
      </c>
      <c r="BJ96" t="s">
        <v>2021</v>
      </c>
      <c r="BK96" t="s">
        <v>98</v>
      </c>
      <c r="BL96" t="s">
        <v>2021</v>
      </c>
      <c r="BM96" t="s">
        <v>2022</v>
      </c>
      <c r="BN96" t="s">
        <v>74</v>
      </c>
      <c r="BO96" t="s">
        <v>74</v>
      </c>
      <c r="BP96" t="s">
        <v>74</v>
      </c>
      <c r="BQ96" t="s">
        <v>74</v>
      </c>
      <c r="BR96" t="s">
        <v>101</v>
      </c>
      <c r="BS96" t="s">
        <v>2038</v>
      </c>
      <c r="BT96" t="str">
        <f>HYPERLINK("https%3A%2F%2Fwww.webofscience.com%2Fwos%2Fwoscc%2Ffull-record%2FWOS:000310030900004","View Full Record in Web of Science")</f>
        <v>View Full Record in Web of Science</v>
      </c>
    </row>
    <row r="97" spans="1:72" x14ac:dyDescent="0.15">
      <c r="A97" t="s">
        <v>72</v>
      </c>
      <c r="B97" t="s">
        <v>2039</v>
      </c>
      <c r="C97" t="s">
        <v>74</v>
      </c>
      <c r="D97" t="s">
        <v>74</v>
      </c>
      <c r="E97" t="s">
        <v>74</v>
      </c>
      <c r="F97" t="s">
        <v>2040</v>
      </c>
      <c r="G97" t="s">
        <v>74</v>
      </c>
      <c r="H97" t="s">
        <v>74</v>
      </c>
      <c r="I97" t="s">
        <v>2041</v>
      </c>
      <c r="J97" t="s">
        <v>2042</v>
      </c>
      <c r="K97" t="s">
        <v>74</v>
      </c>
      <c r="L97" t="s">
        <v>74</v>
      </c>
      <c r="M97" t="s">
        <v>78</v>
      </c>
      <c r="N97" t="s">
        <v>79</v>
      </c>
      <c r="O97" t="s">
        <v>74</v>
      </c>
      <c r="P97" t="s">
        <v>74</v>
      </c>
      <c r="Q97" t="s">
        <v>74</v>
      </c>
      <c r="R97" t="s">
        <v>74</v>
      </c>
      <c r="S97" t="s">
        <v>74</v>
      </c>
      <c r="T97" t="s">
        <v>2043</v>
      </c>
      <c r="U97" t="s">
        <v>2044</v>
      </c>
      <c r="V97" t="s">
        <v>2045</v>
      </c>
      <c r="W97" t="s">
        <v>2046</v>
      </c>
      <c r="X97" t="s">
        <v>2047</v>
      </c>
      <c r="Y97" t="s">
        <v>2048</v>
      </c>
      <c r="Z97" t="s">
        <v>2049</v>
      </c>
      <c r="AA97" t="s">
        <v>74</v>
      </c>
      <c r="AB97" t="s">
        <v>74</v>
      </c>
      <c r="AC97" t="s">
        <v>74</v>
      </c>
      <c r="AD97" t="s">
        <v>74</v>
      </c>
      <c r="AE97" t="s">
        <v>74</v>
      </c>
      <c r="AF97" t="s">
        <v>74</v>
      </c>
      <c r="AG97">
        <v>45</v>
      </c>
      <c r="AH97">
        <v>24</v>
      </c>
      <c r="AI97">
        <v>27</v>
      </c>
      <c r="AJ97">
        <v>0</v>
      </c>
      <c r="AK97">
        <v>13</v>
      </c>
      <c r="AL97" t="s">
        <v>2050</v>
      </c>
      <c r="AM97" t="s">
        <v>2051</v>
      </c>
      <c r="AN97" t="s">
        <v>2052</v>
      </c>
      <c r="AO97" t="s">
        <v>2053</v>
      </c>
      <c r="AP97" t="s">
        <v>74</v>
      </c>
      <c r="AQ97" t="s">
        <v>74</v>
      </c>
      <c r="AR97" t="s">
        <v>2042</v>
      </c>
      <c r="AS97" t="s">
        <v>2054</v>
      </c>
      <c r="AT97" t="s">
        <v>867</v>
      </c>
      <c r="AU97">
        <v>2012</v>
      </c>
      <c r="AV97">
        <v>12</v>
      </c>
      <c r="AW97">
        <v>2</v>
      </c>
      <c r="AX97" t="s">
        <v>74</v>
      </c>
      <c r="AY97" t="s">
        <v>74</v>
      </c>
      <c r="AZ97" t="s">
        <v>74</v>
      </c>
      <c r="BA97" t="s">
        <v>74</v>
      </c>
      <c r="BB97">
        <v>149</v>
      </c>
      <c r="BC97">
        <v>169</v>
      </c>
      <c r="BD97" t="s">
        <v>74</v>
      </c>
      <c r="BE97" t="s">
        <v>2055</v>
      </c>
      <c r="BF97" t="str">
        <f>HYPERLINK("http://dx.doi.org/10.5507/fot.2012.012","http://dx.doi.org/10.5507/fot.2012.012")</f>
        <v>http://dx.doi.org/10.5507/fot.2012.012</v>
      </c>
      <c r="BG97" t="s">
        <v>74</v>
      </c>
      <c r="BH97" t="s">
        <v>74</v>
      </c>
      <c r="BI97">
        <v>21</v>
      </c>
      <c r="BJ97" t="s">
        <v>2056</v>
      </c>
      <c r="BK97" t="s">
        <v>98</v>
      </c>
      <c r="BL97" t="s">
        <v>2056</v>
      </c>
      <c r="BM97" t="s">
        <v>2057</v>
      </c>
      <c r="BN97" t="s">
        <v>74</v>
      </c>
      <c r="BO97" t="s">
        <v>607</v>
      </c>
      <c r="BP97" t="s">
        <v>74</v>
      </c>
      <c r="BQ97" t="s">
        <v>74</v>
      </c>
      <c r="BR97" t="s">
        <v>101</v>
      </c>
      <c r="BS97" t="s">
        <v>2058</v>
      </c>
      <c r="BT97" t="str">
        <f>HYPERLINK("https%3A%2F%2Fwww.webofscience.com%2Fwos%2Fwoscc%2Ffull-record%2FWOS:000309627900001","View Full Record in Web of Science")</f>
        <v>View Full Record in Web of Science</v>
      </c>
    </row>
    <row r="98" spans="1:72" x14ac:dyDescent="0.15">
      <c r="A98" t="s">
        <v>72</v>
      </c>
      <c r="B98" t="s">
        <v>2059</v>
      </c>
      <c r="C98" t="s">
        <v>74</v>
      </c>
      <c r="D98" t="s">
        <v>74</v>
      </c>
      <c r="E98" t="s">
        <v>74</v>
      </c>
      <c r="F98" t="s">
        <v>2060</v>
      </c>
      <c r="G98" t="s">
        <v>74</v>
      </c>
      <c r="H98" t="s">
        <v>74</v>
      </c>
      <c r="I98" t="s">
        <v>2061</v>
      </c>
      <c r="J98" t="s">
        <v>2062</v>
      </c>
      <c r="K98" t="s">
        <v>74</v>
      </c>
      <c r="L98" t="s">
        <v>74</v>
      </c>
      <c r="M98" t="s">
        <v>78</v>
      </c>
      <c r="N98" t="s">
        <v>79</v>
      </c>
      <c r="O98" t="s">
        <v>74</v>
      </c>
      <c r="P98" t="s">
        <v>74</v>
      </c>
      <c r="Q98" t="s">
        <v>74</v>
      </c>
      <c r="R98" t="s">
        <v>74</v>
      </c>
      <c r="S98" t="s">
        <v>74</v>
      </c>
      <c r="T98" t="s">
        <v>2063</v>
      </c>
      <c r="U98" t="s">
        <v>2064</v>
      </c>
      <c r="V98" t="s">
        <v>2065</v>
      </c>
      <c r="W98" t="s">
        <v>2066</v>
      </c>
      <c r="X98" t="s">
        <v>2067</v>
      </c>
      <c r="Y98" t="s">
        <v>2068</v>
      </c>
      <c r="Z98" t="s">
        <v>2069</v>
      </c>
      <c r="AA98" t="s">
        <v>2070</v>
      </c>
      <c r="AB98" t="s">
        <v>2071</v>
      </c>
      <c r="AC98" t="s">
        <v>2072</v>
      </c>
      <c r="AD98" t="s">
        <v>2073</v>
      </c>
      <c r="AE98" t="s">
        <v>2074</v>
      </c>
      <c r="AF98" t="s">
        <v>74</v>
      </c>
      <c r="AG98">
        <v>93</v>
      </c>
      <c r="AH98">
        <v>23</v>
      </c>
      <c r="AI98">
        <v>26</v>
      </c>
      <c r="AJ98">
        <v>2</v>
      </c>
      <c r="AK98">
        <v>102</v>
      </c>
      <c r="AL98" t="s">
        <v>1081</v>
      </c>
      <c r="AM98" t="s">
        <v>1082</v>
      </c>
      <c r="AN98" t="s">
        <v>1083</v>
      </c>
      <c r="AO98" t="s">
        <v>2075</v>
      </c>
      <c r="AP98" t="s">
        <v>2076</v>
      </c>
      <c r="AQ98" t="s">
        <v>74</v>
      </c>
      <c r="AR98" t="s">
        <v>2077</v>
      </c>
      <c r="AS98" t="s">
        <v>2078</v>
      </c>
      <c r="AT98" t="s">
        <v>867</v>
      </c>
      <c r="AU98">
        <v>2012</v>
      </c>
      <c r="AV98">
        <v>65</v>
      </c>
      <c r="AW98">
        <v>2</v>
      </c>
      <c r="AX98" t="s">
        <v>74</v>
      </c>
      <c r="AY98" t="s">
        <v>74</v>
      </c>
      <c r="AZ98" t="s">
        <v>74</v>
      </c>
      <c r="BA98" t="s">
        <v>74</v>
      </c>
      <c r="BB98">
        <v>535</v>
      </c>
      <c r="BC98">
        <v>546</v>
      </c>
      <c r="BD98" t="s">
        <v>74</v>
      </c>
      <c r="BE98" t="s">
        <v>2079</v>
      </c>
      <c r="BF98" t="str">
        <f>HYPERLINK("http://dx.doi.org/10.1016/j.ympev.2012.07.007","http://dx.doi.org/10.1016/j.ympev.2012.07.007")</f>
        <v>http://dx.doi.org/10.1016/j.ympev.2012.07.007</v>
      </c>
      <c r="BG98" t="s">
        <v>74</v>
      </c>
      <c r="BH98" t="s">
        <v>74</v>
      </c>
      <c r="BI98">
        <v>12</v>
      </c>
      <c r="BJ98" t="s">
        <v>2080</v>
      </c>
      <c r="BK98" t="s">
        <v>98</v>
      </c>
      <c r="BL98" t="s">
        <v>2080</v>
      </c>
      <c r="BM98" t="s">
        <v>2081</v>
      </c>
      <c r="BN98">
        <v>22842293</v>
      </c>
      <c r="BO98" t="s">
        <v>74</v>
      </c>
      <c r="BP98" t="s">
        <v>74</v>
      </c>
      <c r="BQ98" t="s">
        <v>74</v>
      </c>
      <c r="BR98" t="s">
        <v>101</v>
      </c>
      <c r="BS98" t="s">
        <v>2082</v>
      </c>
      <c r="BT98" t="str">
        <f>HYPERLINK("https%3A%2F%2Fwww.webofscience.com%2Fwos%2Fwoscc%2Ffull-record%2FWOS:000309636200016","View Full Record in Web of Science")</f>
        <v>View Full Record in Web of Science</v>
      </c>
    </row>
    <row r="99" spans="1:72" x14ac:dyDescent="0.15">
      <c r="A99" t="s">
        <v>72</v>
      </c>
      <c r="B99" t="s">
        <v>2083</v>
      </c>
      <c r="C99" t="s">
        <v>74</v>
      </c>
      <c r="D99" t="s">
        <v>74</v>
      </c>
      <c r="E99" t="s">
        <v>74</v>
      </c>
      <c r="F99" t="s">
        <v>2084</v>
      </c>
      <c r="G99" t="s">
        <v>74</v>
      </c>
      <c r="H99" t="s">
        <v>74</v>
      </c>
      <c r="I99" t="s">
        <v>2085</v>
      </c>
      <c r="J99" t="s">
        <v>2062</v>
      </c>
      <c r="K99" t="s">
        <v>74</v>
      </c>
      <c r="L99" t="s">
        <v>74</v>
      </c>
      <c r="M99" t="s">
        <v>78</v>
      </c>
      <c r="N99" t="s">
        <v>79</v>
      </c>
      <c r="O99" t="s">
        <v>74</v>
      </c>
      <c r="P99" t="s">
        <v>74</v>
      </c>
      <c r="Q99" t="s">
        <v>74</v>
      </c>
      <c r="R99" t="s">
        <v>74</v>
      </c>
      <c r="S99" t="s">
        <v>74</v>
      </c>
      <c r="T99" t="s">
        <v>2086</v>
      </c>
      <c r="U99" t="s">
        <v>2087</v>
      </c>
      <c r="V99" t="s">
        <v>2088</v>
      </c>
      <c r="W99" t="s">
        <v>2089</v>
      </c>
      <c r="X99" t="s">
        <v>2090</v>
      </c>
      <c r="Y99" t="s">
        <v>2091</v>
      </c>
      <c r="Z99" t="s">
        <v>2092</v>
      </c>
      <c r="AA99" t="s">
        <v>2093</v>
      </c>
      <c r="AB99" t="s">
        <v>2094</v>
      </c>
      <c r="AC99" t="s">
        <v>2095</v>
      </c>
      <c r="AD99" t="s">
        <v>2096</v>
      </c>
      <c r="AE99" t="s">
        <v>2097</v>
      </c>
      <c r="AF99" t="s">
        <v>74</v>
      </c>
      <c r="AG99">
        <v>97</v>
      </c>
      <c r="AH99">
        <v>16</v>
      </c>
      <c r="AI99">
        <v>17</v>
      </c>
      <c r="AJ99">
        <v>1</v>
      </c>
      <c r="AK99">
        <v>36</v>
      </c>
      <c r="AL99" t="s">
        <v>1081</v>
      </c>
      <c r="AM99" t="s">
        <v>1082</v>
      </c>
      <c r="AN99" t="s">
        <v>1083</v>
      </c>
      <c r="AO99" t="s">
        <v>2075</v>
      </c>
      <c r="AP99" t="s">
        <v>2076</v>
      </c>
      <c r="AQ99" t="s">
        <v>74</v>
      </c>
      <c r="AR99" t="s">
        <v>2077</v>
      </c>
      <c r="AS99" t="s">
        <v>2078</v>
      </c>
      <c r="AT99" t="s">
        <v>867</v>
      </c>
      <c r="AU99">
        <v>2012</v>
      </c>
      <c r="AV99">
        <v>65</v>
      </c>
      <c r="AW99">
        <v>2</v>
      </c>
      <c r="AX99" t="s">
        <v>74</v>
      </c>
      <c r="AY99" t="s">
        <v>74</v>
      </c>
      <c r="AZ99" t="s">
        <v>74</v>
      </c>
      <c r="BA99" t="s">
        <v>74</v>
      </c>
      <c r="BB99">
        <v>748</v>
      </c>
      <c r="BC99">
        <v>756</v>
      </c>
      <c r="BD99" t="s">
        <v>74</v>
      </c>
      <c r="BE99" t="s">
        <v>2098</v>
      </c>
      <c r="BF99" t="str">
        <f>HYPERLINK("http://dx.doi.org/10.1016/j.ympev.2012.07.023","http://dx.doi.org/10.1016/j.ympev.2012.07.023")</f>
        <v>http://dx.doi.org/10.1016/j.ympev.2012.07.023</v>
      </c>
      <c r="BG99" t="s">
        <v>74</v>
      </c>
      <c r="BH99" t="s">
        <v>74</v>
      </c>
      <c r="BI99">
        <v>9</v>
      </c>
      <c r="BJ99" t="s">
        <v>2080</v>
      </c>
      <c r="BK99" t="s">
        <v>98</v>
      </c>
      <c r="BL99" t="s">
        <v>2080</v>
      </c>
      <c r="BM99" t="s">
        <v>2081</v>
      </c>
      <c r="BN99">
        <v>22871399</v>
      </c>
      <c r="BO99" t="s">
        <v>1499</v>
      </c>
      <c r="BP99" t="s">
        <v>74</v>
      </c>
      <c r="BQ99" t="s">
        <v>74</v>
      </c>
      <c r="BR99" t="s">
        <v>101</v>
      </c>
      <c r="BS99" t="s">
        <v>2099</v>
      </c>
      <c r="BT99" t="str">
        <f>HYPERLINK("https%3A%2F%2Fwww.webofscience.com%2Fwos%2Fwoscc%2Ffull-record%2FWOS:000309636200034","View Full Record in Web of Science")</f>
        <v>View Full Record in Web of Science</v>
      </c>
    </row>
    <row r="100" spans="1:72" x14ac:dyDescent="0.15">
      <c r="A100" t="s">
        <v>72</v>
      </c>
      <c r="B100" t="s">
        <v>2100</v>
      </c>
      <c r="C100" t="s">
        <v>74</v>
      </c>
      <c r="D100" t="s">
        <v>74</v>
      </c>
      <c r="E100" t="s">
        <v>74</v>
      </c>
      <c r="F100" t="s">
        <v>2101</v>
      </c>
      <c r="G100" t="s">
        <v>74</v>
      </c>
      <c r="H100" t="s">
        <v>74</v>
      </c>
      <c r="I100" t="s">
        <v>2102</v>
      </c>
      <c r="J100" t="s">
        <v>2103</v>
      </c>
      <c r="K100" t="s">
        <v>74</v>
      </c>
      <c r="L100" t="s">
        <v>74</v>
      </c>
      <c r="M100" t="s">
        <v>78</v>
      </c>
      <c r="N100" t="s">
        <v>79</v>
      </c>
      <c r="O100" t="s">
        <v>74</v>
      </c>
      <c r="P100" t="s">
        <v>74</v>
      </c>
      <c r="Q100" t="s">
        <v>74</v>
      </c>
      <c r="R100" t="s">
        <v>74</v>
      </c>
      <c r="S100" t="s">
        <v>74</v>
      </c>
      <c r="T100" t="s">
        <v>2104</v>
      </c>
      <c r="U100" t="s">
        <v>74</v>
      </c>
      <c r="V100" t="s">
        <v>2105</v>
      </c>
      <c r="W100" t="s">
        <v>2106</v>
      </c>
      <c r="X100" t="s">
        <v>2107</v>
      </c>
      <c r="Y100" t="s">
        <v>2108</v>
      </c>
      <c r="Z100" t="s">
        <v>2109</v>
      </c>
      <c r="AA100" t="s">
        <v>2110</v>
      </c>
      <c r="AB100" t="s">
        <v>2111</v>
      </c>
      <c r="AC100" t="s">
        <v>2112</v>
      </c>
      <c r="AD100" t="s">
        <v>2112</v>
      </c>
      <c r="AE100" t="s">
        <v>2113</v>
      </c>
      <c r="AF100" t="s">
        <v>74</v>
      </c>
      <c r="AG100">
        <v>18</v>
      </c>
      <c r="AH100">
        <v>2</v>
      </c>
      <c r="AI100">
        <v>2</v>
      </c>
      <c r="AJ100">
        <v>1</v>
      </c>
      <c r="AK100">
        <v>14</v>
      </c>
      <c r="AL100" t="s">
        <v>1034</v>
      </c>
      <c r="AM100" t="s">
        <v>90</v>
      </c>
      <c r="AN100" t="s">
        <v>1035</v>
      </c>
      <c r="AO100" t="s">
        <v>2114</v>
      </c>
      <c r="AP100" t="s">
        <v>2115</v>
      </c>
      <c r="AQ100" t="s">
        <v>74</v>
      </c>
      <c r="AR100" t="s">
        <v>2116</v>
      </c>
      <c r="AS100" t="s">
        <v>2117</v>
      </c>
      <c r="AT100" t="s">
        <v>867</v>
      </c>
      <c r="AU100">
        <v>2012</v>
      </c>
      <c r="AV100">
        <v>107</v>
      </c>
      <c r="AW100" t="s">
        <v>74</v>
      </c>
      <c r="AX100" t="s">
        <v>74</v>
      </c>
      <c r="AY100" t="s">
        <v>74</v>
      </c>
      <c r="AZ100" t="s">
        <v>1019</v>
      </c>
      <c r="BA100" t="s">
        <v>74</v>
      </c>
      <c r="BB100">
        <v>64</v>
      </c>
      <c r="BC100">
        <v>70</v>
      </c>
      <c r="BD100" t="s">
        <v>74</v>
      </c>
      <c r="BE100" t="s">
        <v>2118</v>
      </c>
      <c r="BF100" t="str">
        <f>HYPERLINK("http://dx.doi.org/10.1016/j.ress.2011.07.003","http://dx.doi.org/10.1016/j.ress.2011.07.003")</f>
        <v>http://dx.doi.org/10.1016/j.ress.2011.07.003</v>
      </c>
      <c r="BG100" t="s">
        <v>74</v>
      </c>
      <c r="BH100" t="s">
        <v>74</v>
      </c>
      <c r="BI100">
        <v>7</v>
      </c>
      <c r="BJ100" t="s">
        <v>2119</v>
      </c>
      <c r="BK100" t="s">
        <v>98</v>
      </c>
      <c r="BL100" t="s">
        <v>2120</v>
      </c>
      <c r="BM100" t="s">
        <v>2121</v>
      </c>
      <c r="BN100" t="s">
        <v>74</v>
      </c>
      <c r="BO100" t="s">
        <v>74</v>
      </c>
      <c r="BP100" t="s">
        <v>74</v>
      </c>
      <c r="BQ100" t="s">
        <v>74</v>
      </c>
      <c r="BR100" t="s">
        <v>101</v>
      </c>
      <c r="BS100" t="s">
        <v>2122</v>
      </c>
      <c r="BT100" t="str">
        <f>HYPERLINK("https%3A%2F%2Fwww.webofscience.com%2Fwos%2Fwoscc%2Ffull-record%2FWOS:000309370600008","View Full Record in Web of Science")</f>
        <v>View Full Record in Web of Science</v>
      </c>
    </row>
    <row r="101" spans="1:72" x14ac:dyDescent="0.15">
      <c r="A101" t="s">
        <v>72</v>
      </c>
      <c r="B101" t="s">
        <v>2123</v>
      </c>
      <c r="C101" t="s">
        <v>74</v>
      </c>
      <c r="D101" t="s">
        <v>74</v>
      </c>
      <c r="E101" t="s">
        <v>74</v>
      </c>
      <c r="F101" t="s">
        <v>2124</v>
      </c>
      <c r="G101" t="s">
        <v>74</v>
      </c>
      <c r="H101" t="s">
        <v>74</v>
      </c>
      <c r="I101" t="s">
        <v>2125</v>
      </c>
      <c r="J101" t="s">
        <v>1233</v>
      </c>
      <c r="K101" t="s">
        <v>74</v>
      </c>
      <c r="L101" t="s">
        <v>74</v>
      </c>
      <c r="M101" t="s">
        <v>78</v>
      </c>
      <c r="N101" t="s">
        <v>79</v>
      </c>
      <c r="O101" t="s">
        <v>74</v>
      </c>
      <c r="P101" t="s">
        <v>74</v>
      </c>
      <c r="Q101" t="s">
        <v>74</v>
      </c>
      <c r="R101" t="s">
        <v>74</v>
      </c>
      <c r="S101" t="s">
        <v>74</v>
      </c>
      <c r="T101" t="s">
        <v>74</v>
      </c>
      <c r="U101" t="s">
        <v>2126</v>
      </c>
      <c r="V101" t="s">
        <v>2127</v>
      </c>
      <c r="W101" t="s">
        <v>2128</v>
      </c>
      <c r="X101" t="s">
        <v>2129</v>
      </c>
      <c r="Y101" t="s">
        <v>2130</v>
      </c>
      <c r="Z101" t="s">
        <v>2131</v>
      </c>
      <c r="AA101" t="s">
        <v>2132</v>
      </c>
      <c r="AB101" t="s">
        <v>74</v>
      </c>
      <c r="AC101" t="s">
        <v>2133</v>
      </c>
      <c r="AD101" t="s">
        <v>2133</v>
      </c>
      <c r="AE101" t="s">
        <v>2134</v>
      </c>
      <c r="AF101" t="s">
        <v>74</v>
      </c>
      <c r="AG101">
        <v>46</v>
      </c>
      <c r="AH101">
        <v>20</v>
      </c>
      <c r="AI101">
        <v>21</v>
      </c>
      <c r="AJ101">
        <v>4</v>
      </c>
      <c r="AK101">
        <v>68</v>
      </c>
      <c r="AL101" t="s">
        <v>1245</v>
      </c>
      <c r="AM101" t="s">
        <v>1246</v>
      </c>
      <c r="AN101" t="s">
        <v>1247</v>
      </c>
      <c r="AO101" t="s">
        <v>1248</v>
      </c>
      <c r="AP101" t="s">
        <v>1249</v>
      </c>
      <c r="AQ101" t="s">
        <v>74</v>
      </c>
      <c r="AR101" t="s">
        <v>1250</v>
      </c>
      <c r="AS101" t="s">
        <v>1251</v>
      </c>
      <c r="AT101" t="s">
        <v>867</v>
      </c>
      <c r="AU101">
        <v>2012</v>
      </c>
      <c r="AV101">
        <v>44</v>
      </c>
      <c r="AW101">
        <v>4</v>
      </c>
      <c r="AX101" t="s">
        <v>74</v>
      </c>
      <c r="AY101" t="s">
        <v>74</v>
      </c>
      <c r="AZ101" t="s">
        <v>74</v>
      </c>
      <c r="BA101" t="s">
        <v>74</v>
      </c>
      <c r="BB101">
        <v>423</v>
      </c>
      <c r="BC101">
        <v>431</v>
      </c>
      <c r="BD101" t="s">
        <v>74</v>
      </c>
      <c r="BE101" t="s">
        <v>2135</v>
      </c>
      <c r="BF101" t="str">
        <f>HYPERLINK("http://dx.doi.org/10.1657/1938-4246-44.4.423","http://dx.doi.org/10.1657/1938-4246-44.4.423")</f>
        <v>http://dx.doi.org/10.1657/1938-4246-44.4.423</v>
      </c>
      <c r="BG101" t="s">
        <v>74</v>
      </c>
      <c r="BH101" t="s">
        <v>74</v>
      </c>
      <c r="BI101">
        <v>9</v>
      </c>
      <c r="BJ101" t="s">
        <v>995</v>
      </c>
      <c r="BK101" t="s">
        <v>98</v>
      </c>
      <c r="BL101" t="s">
        <v>996</v>
      </c>
      <c r="BM101" t="s">
        <v>1253</v>
      </c>
      <c r="BN101" t="s">
        <v>74</v>
      </c>
      <c r="BO101" t="s">
        <v>607</v>
      </c>
      <c r="BP101" t="s">
        <v>74</v>
      </c>
      <c r="BQ101" t="s">
        <v>74</v>
      </c>
      <c r="BR101" t="s">
        <v>101</v>
      </c>
      <c r="BS101" t="s">
        <v>2136</v>
      </c>
      <c r="BT101" t="str">
        <f>HYPERLINK("https%3A%2F%2Fwww.webofscience.com%2Fwos%2Fwoscc%2Ffull-record%2FWOS:000311010700004","View Full Record in Web of Science")</f>
        <v>View Full Record in Web of Science</v>
      </c>
    </row>
    <row r="102" spans="1:72" x14ac:dyDescent="0.15">
      <c r="A102" t="s">
        <v>72</v>
      </c>
      <c r="B102" t="s">
        <v>2137</v>
      </c>
      <c r="C102" t="s">
        <v>74</v>
      </c>
      <c r="D102" t="s">
        <v>74</v>
      </c>
      <c r="E102" t="s">
        <v>74</v>
      </c>
      <c r="F102" t="s">
        <v>2138</v>
      </c>
      <c r="G102" t="s">
        <v>74</v>
      </c>
      <c r="H102" t="s">
        <v>74</v>
      </c>
      <c r="I102" t="s">
        <v>2139</v>
      </c>
      <c r="J102" t="s">
        <v>1233</v>
      </c>
      <c r="K102" t="s">
        <v>74</v>
      </c>
      <c r="L102" t="s">
        <v>74</v>
      </c>
      <c r="M102" t="s">
        <v>78</v>
      </c>
      <c r="N102" t="s">
        <v>79</v>
      </c>
      <c r="O102" t="s">
        <v>74</v>
      </c>
      <c r="P102" t="s">
        <v>74</v>
      </c>
      <c r="Q102" t="s">
        <v>74</v>
      </c>
      <c r="R102" t="s">
        <v>74</v>
      </c>
      <c r="S102" t="s">
        <v>74</v>
      </c>
      <c r="T102" t="s">
        <v>74</v>
      </c>
      <c r="U102" t="s">
        <v>2140</v>
      </c>
      <c r="V102" t="s">
        <v>2141</v>
      </c>
      <c r="W102" t="s">
        <v>2142</v>
      </c>
      <c r="X102" t="s">
        <v>2143</v>
      </c>
      <c r="Y102" t="s">
        <v>2144</v>
      </c>
      <c r="Z102" t="s">
        <v>2145</v>
      </c>
      <c r="AA102" t="s">
        <v>74</v>
      </c>
      <c r="AB102" t="s">
        <v>74</v>
      </c>
      <c r="AC102" t="s">
        <v>2146</v>
      </c>
      <c r="AD102" t="s">
        <v>2147</v>
      </c>
      <c r="AE102" t="s">
        <v>2148</v>
      </c>
      <c r="AF102" t="s">
        <v>74</v>
      </c>
      <c r="AG102">
        <v>66</v>
      </c>
      <c r="AH102">
        <v>27</v>
      </c>
      <c r="AI102">
        <v>33</v>
      </c>
      <c r="AJ102">
        <v>4</v>
      </c>
      <c r="AK102">
        <v>110</v>
      </c>
      <c r="AL102" t="s">
        <v>1245</v>
      </c>
      <c r="AM102" t="s">
        <v>1246</v>
      </c>
      <c r="AN102" t="s">
        <v>1247</v>
      </c>
      <c r="AO102" t="s">
        <v>1248</v>
      </c>
      <c r="AP102" t="s">
        <v>1249</v>
      </c>
      <c r="AQ102" t="s">
        <v>74</v>
      </c>
      <c r="AR102" t="s">
        <v>1250</v>
      </c>
      <c r="AS102" t="s">
        <v>1251</v>
      </c>
      <c r="AT102" t="s">
        <v>867</v>
      </c>
      <c r="AU102">
        <v>2012</v>
      </c>
      <c r="AV102">
        <v>44</v>
      </c>
      <c r="AW102">
        <v>4</v>
      </c>
      <c r="AX102" t="s">
        <v>74</v>
      </c>
      <c r="AY102" t="s">
        <v>74</v>
      </c>
      <c r="AZ102" t="s">
        <v>74</v>
      </c>
      <c r="BA102" t="s">
        <v>74</v>
      </c>
      <c r="BB102">
        <v>446</v>
      </c>
      <c r="BC102">
        <v>456</v>
      </c>
      <c r="BD102" t="s">
        <v>74</v>
      </c>
      <c r="BE102" t="s">
        <v>2149</v>
      </c>
      <c r="BF102" t="str">
        <f>HYPERLINK("http://dx.doi.org/10.1657/1938-4246-44.4.446","http://dx.doi.org/10.1657/1938-4246-44.4.446")</f>
        <v>http://dx.doi.org/10.1657/1938-4246-44.4.446</v>
      </c>
      <c r="BG102" t="s">
        <v>74</v>
      </c>
      <c r="BH102" t="s">
        <v>74</v>
      </c>
      <c r="BI102">
        <v>11</v>
      </c>
      <c r="BJ102" t="s">
        <v>995</v>
      </c>
      <c r="BK102" t="s">
        <v>98</v>
      </c>
      <c r="BL102" t="s">
        <v>996</v>
      </c>
      <c r="BM102" t="s">
        <v>1253</v>
      </c>
      <c r="BN102" t="s">
        <v>74</v>
      </c>
      <c r="BO102" t="s">
        <v>1347</v>
      </c>
      <c r="BP102" t="s">
        <v>74</v>
      </c>
      <c r="BQ102" t="s">
        <v>74</v>
      </c>
      <c r="BR102" t="s">
        <v>101</v>
      </c>
      <c r="BS102" t="s">
        <v>2150</v>
      </c>
      <c r="BT102" t="str">
        <f>HYPERLINK("https%3A%2F%2Fwww.webofscience.com%2Fwos%2Fwoscc%2Ffull-record%2FWOS:000311010700006","View Full Record in Web of Science")</f>
        <v>View Full Record in Web of Science</v>
      </c>
    </row>
    <row r="103" spans="1:72" x14ac:dyDescent="0.15">
      <c r="A103" t="s">
        <v>72</v>
      </c>
      <c r="B103" t="s">
        <v>2151</v>
      </c>
      <c r="C103" t="s">
        <v>74</v>
      </c>
      <c r="D103" t="s">
        <v>74</v>
      </c>
      <c r="E103" t="s">
        <v>74</v>
      </c>
      <c r="F103" t="s">
        <v>2152</v>
      </c>
      <c r="G103" t="s">
        <v>74</v>
      </c>
      <c r="H103" t="s">
        <v>74</v>
      </c>
      <c r="I103" t="s">
        <v>2153</v>
      </c>
      <c r="J103" t="s">
        <v>1233</v>
      </c>
      <c r="K103" t="s">
        <v>74</v>
      </c>
      <c r="L103" t="s">
        <v>74</v>
      </c>
      <c r="M103" t="s">
        <v>78</v>
      </c>
      <c r="N103" t="s">
        <v>79</v>
      </c>
      <c r="O103" t="s">
        <v>74</v>
      </c>
      <c r="P103" t="s">
        <v>74</v>
      </c>
      <c r="Q103" t="s">
        <v>74</v>
      </c>
      <c r="R103" t="s">
        <v>74</v>
      </c>
      <c r="S103" t="s">
        <v>74</v>
      </c>
      <c r="T103" t="s">
        <v>74</v>
      </c>
      <c r="U103" t="s">
        <v>2154</v>
      </c>
      <c r="V103" t="s">
        <v>2155</v>
      </c>
      <c r="W103" t="s">
        <v>2156</v>
      </c>
      <c r="X103" t="s">
        <v>2157</v>
      </c>
      <c r="Y103" t="s">
        <v>2158</v>
      </c>
      <c r="Z103" t="s">
        <v>2159</v>
      </c>
      <c r="AA103" t="s">
        <v>2160</v>
      </c>
      <c r="AB103" t="s">
        <v>2161</v>
      </c>
      <c r="AC103" t="s">
        <v>2162</v>
      </c>
      <c r="AD103" t="s">
        <v>2162</v>
      </c>
      <c r="AE103" t="s">
        <v>2163</v>
      </c>
      <c r="AF103" t="s">
        <v>74</v>
      </c>
      <c r="AG103">
        <v>48</v>
      </c>
      <c r="AH103">
        <v>22</v>
      </c>
      <c r="AI103">
        <v>24</v>
      </c>
      <c r="AJ103">
        <v>0</v>
      </c>
      <c r="AK103">
        <v>42</v>
      </c>
      <c r="AL103" t="s">
        <v>1245</v>
      </c>
      <c r="AM103" t="s">
        <v>1246</v>
      </c>
      <c r="AN103" t="s">
        <v>1247</v>
      </c>
      <c r="AO103" t="s">
        <v>1248</v>
      </c>
      <c r="AP103" t="s">
        <v>1249</v>
      </c>
      <c r="AQ103" t="s">
        <v>74</v>
      </c>
      <c r="AR103" t="s">
        <v>1250</v>
      </c>
      <c r="AS103" t="s">
        <v>1251</v>
      </c>
      <c r="AT103" t="s">
        <v>867</v>
      </c>
      <c r="AU103">
        <v>2012</v>
      </c>
      <c r="AV103">
        <v>44</v>
      </c>
      <c r="AW103">
        <v>4</v>
      </c>
      <c r="AX103" t="s">
        <v>74</v>
      </c>
      <c r="AY103" t="s">
        <v>74</v>
      </c>
      <c r="AZ103" t="s">
        <v>74</v>
      </c>
      <c r="BA103" t="s">
        <v>74</v>
      </c>
      <c r="BB103">
        <v>457</v>
      </c>
      <c r="BC103">
        <v>468</v>
      </c>
      <c r="BD103" t="s">
        <v>74</v>
      </c>
      <c r="BE103" t="s">
        <v>2164</v>
      </c>
      <c r="BF103" t="str">
        <f>HYPERLINK("http://dx.doi.org/10.1657/1938-4246-44.4.457","http://dx.doi.org/10.1657/1938-4246-44.4.457")</f>
        <v>http://dx.doi.org/10.1657/1938-4246-44.4.457</v>
      </c>
      <c r="BG103" t="s">
        <v>74</v>
      </c>
      <c r="BH103" t="s">
        <v>74</v>
      </c>
      <c r="BI103">
        <v>12</v>
      </c>
      <c r="BJ103" t="s">
        <v>995</v>
      </c>
      <c r="BK103" t="s">
        <v>98</v>
      </c>
      <c r="BL103" t="s">
        <v>996</v>
      </c>
      <c r="BM103" t="s">
        <v>1253</v>
      </c>
      <c r="BN103" t="s">
        <v>74</v>
      </c>
      <c r="BO103" t="s">
        <v>1254</v>
      </c>
      <c r="BP103" t="s">
        <v>74</v>
      </c>
      <c r="BQ103" t="s">
        <v>74</v>
      </c>
      <c r="BR103" t="s">
        <v>101</v>
      </c>
      <c r="BS103" t="s">
        <v>2165</v>
      </c>
      <c r="BT103" t="str">
        <f>HYPERLINK("https%3A%2F%2Fwww.webofscience.com%2Fwos%2Fwoscc%2Ffull-record%2FWOS:000311010700007","View Full Record in Web of Science")</f>
        <v>View Full Record in Web of Science</v>
      </c>
    </row>
    <row r="104" spans="1:72" x14ac:dyDescent="0.15">
      <c r="A104" t="s">
        <v>72</v>
      </c>
      <c r="B104" t="s">
        <v>2166</v>
      </c>
      <c r="C104" t="s">
        <v>74</v>
      </c>
      <c r="D104" t="s">
        <v>74</v>
      </c>
      <c r="E104" t="s">
        <v>74</v>
      </c>
      <c r="F104" t="s">
        <v>2167</v>
      </c>
      <c r="G104" t="s">
        <v>74</v>
      </c>
      <c r="H104" t="s">
        <v>74</v>
      </c>
      <c r="I104" t="s">
        <v>2168</v>
      </c>
      <c r="J104" t="s">
        <v>1233</v>
      </c>
      <c r="K104" t="s">
        <v>74</v>
      </c>
      <c r="L104" t="s">
        <v>74</v>
      </c>
      <c r="M104" t="s">
        <v>78</v>
      </c>
      <c r="N104" t="s">
        <v>79</v>
      </c>
      <c r="O104" t="s">
        <v>74</v>
      </c>
      <c r="P104" t="s">
        <v>74</v>
      </c>
      <c r="Q104" t="s">
        <v>74</v>
      </c>
      <c r="R104" t="s">
        <v>74</v>
      </c>
      <c r="S104" t="s">
        <v>74</v>
      </c>
      <c r="T104" t="s">
        <v>74</v>
      </c>
      <c r="U104" t="s">
        <v>2169</v>
      </c>
      <c r="V104" t="s">
        <v>2170</v>
      </c>
      <c r="W104" t="s">
        <v>2171</v>
      </c>
      <c r="X104" t="s">
        <v>2172</v>
      </c>
      <c r="Y104" t="s">
        <v>2173</v>
      </c>
      <c r="Z104" t="s">
        <v>2174</v>
      </c>
      <c r="AA104" t="s">
        <v>2175</v>
      </c>
      <c r="AB104" t="s">
        <v>2176</v>
      </c>
      <c r="AC104" t="s">
        <v>2177</v>
      </c>
      <c r="AD104" t="s">
        <v>2178</v>
      </c>
      <c r="AE104" t="s">
        <v>2179</v>
      </c>
      <c r="AF104" t="s">
        <v>74</v>
      </c>
      <c r="AG104">
        <v>83</v>
      </c>
      <c r="AH104">
        <v>54</v>
      </c>
      <c r="AI104">
        <v>68</v>
      </c>
      <c r="AJ104">
        <v>3</v>
      </c>
      <c r="AK104">
        <v>131</v>
      </c>
      <c r="AL104" t="s">
        <v>1245</v>
      </c>
      <c r="AM104" t="s">
        <v>1246</v>
      </c>
      <c r="AN104" t="s">
        <v>1247</v>
      </c>
      <c r="AO104" t="s">
        <v>1248</v>
      </c>
      <c r="AP104" t="s">
        <v>1249</v>
      </c>
      <c r="AQ104" t="s">
        <v>74</v>
      </c>
      <c r="AR104" t="s">
        <v>1250</v>
      </c>
      <c r="AS104" t="s">
        <v>1251</v>
      </c>
      <c r="AT104" t="s">
        <v>867</v>
      </c>
      <c r="AU104">
        <v>2012</v>
      </c>
      <c r="AV104">
        <v>44</v>
      </c>
      <c r="AW104">
        <v>4</v>
      </c>
      <c r="AX104" t="s">
        <v>74</v>
      </c>
      <c r="AY104" t="s">
        <v>74</v>
      </c>
      <c r="AZ104" t="s">
        <v>74</v>
      </c>
      <c r="BA104" t="s">
        <v>74</v>
      </c>
      <c r="BB104">
        <v>469</v>
      </c>
      <c r="BC104">
        <v>482</v>
      </c>
      <c r="BD104" t="s">
        <v>74</v>
      </c>
      <c r="BE104" t="s">
        <v>2180</v>
      </c>
      <c r="BF104" t="str">
        <f>HYPERLINK("http://dx.doi.org/10.1657/1938-4246-44.4.469","http://dx.doi.org/10.1657/1938-4246-44.4.469")</f>
        <v>http://dx.doi.org/10.1657/1938-4246-44.4.469</v>
      </c>
      <c r="BG104" t="s">
        <v>74</v>
      </c>
      <c r="BH104" t="s">
        <v>74</v>
      </c>
      <c r="BI104">
        <v>14</v>
      </c>
      <c r="BJ104" t="s">
        <v>995</v>
      </c>
      <c r="BK104" t="s">
        <v>98</v>
      </c>
      <c r="BL104" t="s">
        <v>996</v>
      </c>
      <c r="BM104" t="s">
        <v>1253</v>
      </c>
      <c r="BN104" t="s">
        <v>74</v>
      </c>
      <c r="BO104" t="s">
        <v>1254</v>
      </c>
      <c r="BP104" t="s">
        <v>74</v>
      </c>
      <c r="BQ104" t="s">
        <v>74</v>
      </c>
      <c r="BR104" t="s">
        <v>101</v>
      </c>
      <c r="BS104" t="s">
        <v>2181</v>
      </c>
      <c r="BT104" t="str">
        <f>HYPERLINK("https%3A%2F%2Fwww.webofscience.com%2Fwos%2Fwoscc%2Ffull-record%2FWOS:000311010700008","View Full Record in Web of Science")</f>
        <v>View Full Record in Web of Science</v>
      </c>
    </row>
    <row r="105" spans="1:72" x14ac:dyDescent="0.15">
      <c r="A105" t="s">
        <v>72</v>
      </c>
      <c r="B105" t="s">
        <v>2182</v>
      </c>
      <c r="C105" t="s">
        <v>74</v>
      </c>
      <c r="D105" t="s">
        <v>74</v>
      </c>
      <c r="E105" t="s">
        <v>74</v>
      </c>
      <c r="F105" t="s">
        <v>2183</v>
      </c>
      <c r="G105" t="s">
        <v>74</v>
      </c>
      <c r="H105" t="s">
        <v>74</v>
      </c>
      <c r="I105" t="s">
        <v>2184</v>
      </c>
      <c r="J105" t="s">
        <v>2185</v>
      </c>
      <c r="K105" t="s">
        <v>74</v>
      </c>
      <c r="L105" t="s">
        <v>74</v>
      </c>
      <c r="M105" t="s">
        <v>78</v>
      </c>
      <c r="N105" t="s">
        <v>79</v>
      </c>
      <c r="O105" t="s">
        <v>74</v>
      </c>
      <c r="P105" t="s">
        <v>74</v>
      </c>
      <c r="Q105" t="s">
        <v>74</v>
      </c>
      <c r="R105" t="s">
        <v>74</v>
      </c>
      <c r="S105" t="s">
        <v>74</v>
      </c>
      <c r="T105" t="s">
        <v>2186</v>
      </c>
      <c r="U105" t="s">
        <v>2187</v>
      </c>
      <c r="V105" t="s">
        <v>2188</v>
      </c>
      <c r="W105" t="s">
        <v>2189</v>
      </c>
      <c r="X105" t="s">
        <v>2190</v>
      </c>
      <c r="Y105" t="s">
        <v>2191</v>
      </c>
      <c r="Z105" t="s">
        <v>2192</v>
      </c>
      <c r="AA105" t="s">
        <v>2193</v>
      </c>
      <c r="AB105" t="s">
        <v>2194</v>
      </c>
      <c r="AC105" t="s">
        <v>2195</v>
      </c>
      <c r="AD105" t="s">
        <v>2196</v>
      </c>
      <c r="AE105" t="s">
        <v>2197</v>
      </c>
      <c r="AF105" t="s">
        <v>74</v>
      </c>
      <c r="AG105">
        <v>63</v>
      </c>
      <c r="AH105">
        <v>79</v>
      </c>
      <c r="AI105">
        <v>90</v>
      </c>
      <c r="AJ105">
        <v>2</v>
      </c>
      <c r="AK105">
        <v>205</v>
      </c>
      <c r="AL105" t="s">
        <v>1034</v>
      </c>
      <c r="AM105" t="s">
        <v>90</v>
      </c>
      <c r="AN105" t="s">
        <v>1035</v>
      </c>
      <c r="AO105" t="s">
        <v>2198</v>
      </c>
      <c r="AP105" t="s">
        <v>2199</v>
      </c>
      <c r="AQ105" t="s">
        <v>74</v>
      </c>
      <c r="AR105" t="s">
        <v>2200</v>
      </c>
      <c r="AS105" t="s">
        <v>2201</v>
      </c>
      <c r="AT105" t="s">
        <v>1087</v>
      </c>
      <c r="AU105">
        <v>2012</v>
      </c>
      <c r="AV105">
        <v>156</v>
      </c>
      <c r="AW105" t="s">
        <v>74</v>
      </c>
      <c r="AX105" t="s">
        <v>74</v>
      </c>
      <c r="AY105" t="s">
        <v>74</v>
      </c>
      <c r="AZ105" t="s">
        <v>1019</v>
      </c>
      <c r="BA105" t="s">
        <v>74</v>
      </c>
      <c r="BB105">
        <v>62</v>
      </c>
      <c r="BC105">
        <v>71</v>
      </c>
      <c r="BD105" t="s">
        <v>74</v>
      </c>
      <c r="BE105" t="s">
        <v>2202</v>
      </c>
      <c r="BF105" t="str">
        <f>HYPERLINK("http://dx.doi.org/10.1016/j.biocon.2011.12.001","http://dx.doi.org/10.1016/j.biocon.2011.12.001")</f>
        <v>http://dx.doi.org/10.1016/j.biocon.2011.12.001</v>
      </c>
      <c r="BG105" t="s">
        <v>74</v>
      </c>
      <c r="BH105" t="s">
        <v>74</v>
      </c>
      <c r="BI105">
        <v>10</v>
      </c>
      <c r="BJ105" t="s">
        <v>2203</v>
      </c>
      <c r="BK105" t="s">
        <v>98</v>
      </c>
      <c r="BL105" t="s">
        <v>1880</v>
      </c>
      <c r="BM105" t="s">
        <v>2204</v>
      </c>
      <c r="BN105" t="s">
        <v>74</v>
      </c>
      <c r="BO105" t="s">
        <v>74</v>
      </c>
      <c r="BP105" t="s">
        <v>74</v>
      </c>
      <c r="BQ105" t="s">
        <v>74</v>
      </c>
      <c r="BR105" t="s">
        <v>101</v>
      </c>
      <c r="BS105" t="s">
        <v>2205</v>
      </c>
      <c r="BT105" t="str">
        <f>HYPERLINK("https%3A%2F%2Fwww.webofscience.com%2Fwos%2Fwoscc%2Ffull-record%2FWOS:000313599000008","View Full Record in Web of Science")</f>
        <v>View Full Record in Web of Science</v>
      </c>
    </row>
    <row r="106" spans="1:72" x14ac:dyDescent="0.15">
      <c r="A106" t="s">
        <v>72</v>
      </c>
      <c r="B106" t="s">
        <v>2206</v>
      </c>
      <c r="C106" t="s">
        <v>74</v>
      </c>
      <c r="D106" t="s">
        <v>74</v>
      </c>
      <c r="E106" t="s">
        <v>74</v>
      </c>
      <c r="F106" t="s">
        <v>2207</v>
      </c>
      <c r="G106" t="s">
        <v>74</v>
      </c>
      <c r="H106" t="s">
        <v>74</v>
      </c>
      <c r="I106" t="s">
        <v>2208</v>
      </c>
      <c r="J106" t="s">
        <v>2209</v>
      </c>
      <c r="K106" t="s">
        <v>74</v>
      </c>
      <c r="L106" t="s">
        <v>74</v>
      </c>
      <c r="M106" t="s">
        <v>78</v>
      </c>
      <c r="N106" t="s">
        <v>79</v>
      </c>
      <c r="O106" t="s">
        <v>74</v>
      </c>
      <c r="P106" t="s">
        <v>74</v>
      </c>
      <c r="Q106" t="s">
        <v>74</v>
      </c>
      <c r="R106" t="s">
        <v>74</v>
      </c>
      <c r="S106" t="s">
        <v>74</v>
      </c>
      <c r="T106" t="s">
        <v>2210</v>
      </c>
      <c r="U106" t="s">
        <v>2211</v>
      </c>
      <c r="V106" t="s">
        <v>2212</v>
      </c>
      <c r="W106" t="s">
        <v>2213</v>
      </c>
      <c r="X106" t="s">
        <v>2214</v>
      </c>
      <c r="Y106" t="s">
        <v>2215</v>
      </c>
      <c r="Z106" t="s">
        <v>2216</v>
      </c>
      <c r="AA106" t="s">
        <v>2217</v>
      </c>
      <c r="AB106" t="s">
        <v>2218</v>
      </c>
      <c r="AC106" t="s">
        <v>2219</v>
      </c>
      <c r="AD106" t="s">
        <v>2220</v>
      </c>
      <c r="AE106" t="s">
        <v>2221</v>
      </c>
      <c r="AF106" t="s">
        <v>74</v>
      </c>
      <c r="AG106">
        <v>67</v>
      </c>
      <c r="AH106">
        <v>29</v>
      </c>
      <c r="AI106">
        <v>30</v>
      </c>
      <c r="AJ106">
        <v>0</v>
      </c>
      <c r="AK106">
        <v>30</v>
      </c>
      <c r="AL106" t="s">
        <v>935</v>
      </c>
      <c r="AM106" t="s">
        <v>371</v>
      </c>
      <c r="AN106" t="s">
        <v>1873</v>
      </c>
      <c r="AO106" t="s">
        <v>2222</v>
      </c>
      <c r="AP106" t="s">
        <v>2223</v>
      </c>
      <c r="AQ106" t="s">
        <v>74</v>
      </c>
      <c r="AR106" t="s">
        <v>2224</v>
      </c>
      <c r="AS106" t="s">
        <v>2225</v>
      </c>
      <c r="AT106" t="s">
        <v>867</v>
      </c>
      <c r="AU106">
        <v>2012</v>
      </c>
      <c r="AV106">
        <v>74</v>
      </c>
      <c r="AW106">
        <v>9</v>
      </c>
      <c r="AX106" t="s">
        <v>74</v>
      </c>
      <c r="AY106" t="s">
        <v>74</v>
      </c>
      <c r="AZ106" t="s">
        <v>74</v>
      </c>
      <c r="BA106" t="s">
        <v>74</v>
      </c>
      <c r="BB106">
        <v>1985</v>
      </c>
      <c r="BC106">
        <v>2005</v>
      </c>
      <c r="BD106" t="s">
        <v>74</v>
      </c>
      <c r="BE106" t="s">
        <v>2226</v>
      </c>
      <c r="BF106" t="str">
        <f>HYPERLINK("http://dx.doi.org/10.1007/s00445-012-0643-8","http://dx.doi.org/10.1007/s00445-012-0643-8")</f>
        <v>http://dx.doi.org/10.1007/s00445-012-0643-8</v>
      </c>
      <c r="BG106" t="s">
        <v>74</v>
      </c>
      <c r="BH106" t="s">
        <v>74</v>
      </c>
      <c r="BI106">
        <v>21</v>
      </c>
      <c r="BJ106" t="s">
        <v>461</v>
      </c>
      <c r="BK106" t="s">
        <v>98</v>
      </c>
      <c r="BL106" t="s">
        <v>462</v>
      </c>
      <c r="BM106" t="s">
        <v>2227</v>
      </c>
      <c r="BN106" t="s">
        <v>74</v>
      </c>
      <c r="BO106" t="s">
        <v>74</v>
      </c>
      <c r="BP106" t="s">
        <v>74</v>
      </c>
      <c r="BQ106" t="s">
        <v>74</v>
      </c>
      <c r="BR106" t="s">
        <v>101</v>
      </c>
      <c r="BS106" t="s">
        <v>2228</v>
      </c>
      <c r="BT106" t="str">
        <f>HYPERLINK("https%3A%2F%2Fwww.webofscience.com%2Fwos%2Fwoscc%2Ffull-record%2FWOS:000310225400005","View Full Record in Web of Science")</f>
        <v>View Full Record in Web of Science</v>
      </c>
    </row>
    <row r="107" spans="1:72" x14ac:dyDescent="0.15">
      <c r="A107" t="s">
        <v>72</v>
      </c>
      <c r="B107" t="s">
        <v>2229</v>
      </c>
      <c r="C107" t="s">
        <v>74</v>
      </c>
      <c r="D107" t="s">
        <v>74</v>
      </c>
      <c r="E107" t="s">
        <v>74</v>
      </c>
      <c r="F107" t="s">
        <v>2230</v>
      </c>
      <c r="G107" t="s">
        <v>74</v>
      </c>
      <c r="H107" t="s">
        <v>74</v>
      </c>
      <c r="I107" t="s">
        <v>2231</v>
      </c>
      <c r="J107" t="s">
        <v>2232</v>
      </c>
      <c r="K107" t="s">
        <v>74</v>
      </c>
      <c r="L107" t="s">
        <v>74</v>
      </c>
      <c r="M107" t="s">
        <v>2233</v>
      </c>
      <c r="N107" t="s">
        <v>79</v>
      </c>
      <c r="O107" t="s">
        <v>74</v>
      </c>
      <c r="P107" t="s">
        <v>74</v>
      </c>
      <c r="Q107" t="s">
        <v>74</v>
      </c>
      <c r="R107" t="s">
        <v>74</v>
      </c>
      <c r="S107" t="s">
        <v>74</v>
      </c>
      <c r="T107" t="s">
        <v>2234</v>
      </c>
      <c r="U107" t="s">
        <v>2235</v>
      </c>
      <c r="V107" t="s">
        <v>2236</v>
      </c>
      <c r="W107" t="s">
        <v>2237</v>
      </c>
      <c r="X107" t="s">
        <v>2238</v>
      </c>
      <c r="Y107" t="s">
        <v>2239</v>
      </c>
      <c r="Z107" t="s">
        <v>2240</v>
      </c>
      <c r="AA107" t="s">
        <v>2241</v>
      </c>
      <c r="AB107" t="s">
        <v>2242</v>
      </c>
      <c r="AC107" t="s">
        <v>74</v>
      </c>
      <c r="AD107" t="s">
        <v>74</v>
      </c>
      <c r="AE107" t="s">
        <v>74</v>
      </c>
      <c r="AF107" t="s">
        <v>74</v>
      </c>
      <c r="AG107">
        <v>48</v>
      </c>
      <c r="AH107">
        <v>33</v>
      </c>
      <c r="AI107">
        <v>50</v>
      </c>
      <c r="AJ107">
        <v>3</v>
      </c>
      <c r="AK107">
        <v>38</v>
      </c>
      <c r="AL107" t="s">
        <v>1932</v>
      </c>
      <c r="AM107" t="s">
        <v>1933</v>
      </c>
      <c r="AN107" t="s">
        <v>1934</v>
      </c>
      <c r="AO107" t="s">
        <v>2243</v>
      </c>
      <c r="AP107" t="s">
        <v>74</v>
      </c>
      <c r="AQ107" t="s">
        <v>74</v>
      </c>
      <c r="AR107" t="s">
        <v>2244</v>
      </c>
      <c r="AS107" t="s">
        <v>2245</v>
      </c>
      <c r="AT107" t="s">
        <v>867</v>
      </c>
      <c r="AU107">
        <v>2012</v>
      </c>
      <c r="AV107">
        <v>55</v>
      </c>
      <c r="AW107">
        <v>11</v>
      </c>
      <c r="AX107" t="s">
        <v>74</v>
      </c>
      <c r="AY107" t="s">
        <v>74</v>
      </c>
      <c r="AZ107" t="s">
        <v>74</v>
      </c>
      <c r="BA107" t="s">
        <v>74</v>
      </c>
      <c r="BB107">
        <v>3542</v>
      </c>
      <c r="BC107">
        <v>3557</v>
      </c>
      <c r="BD107" t="s">
        <v>74</v>
      </c>
      <c r="BE107" t="s">
        <v>2246</v>
      </c>
      <c r="BF107" t="str">
        <f>HYPERLINK("http://dx.doi.org/10.6038/j.issn.0001-5733.2012.11.004","http://dx.doi.org/10.6038/j.issn.0001-5733.2012.11.004")</f>
        <v>http://dx.doi.org/10.6038/j.issn.0001-5733.2012.11.004</v>
      </c>
      <c r="BG107" t="s">
        <v>74</v>
      </c>
      <c r="BH107" t="s">
        <v>74</v>
      </c>
      <c r="BI107">
        <v>16</v>
      </c>
      <c r="BJ107" t="s">
        <v>241</v>
      </c>
      <c r="BK107" t="s">
        <v>98</v>
      </c>
      <c r="BL107" t="s">
        <v>241</v>
      </c>
      <c r="BM107" t="s">
        <v>2247</v>
      </c>
      <c r="BN107" t="s">
        <v>74</v>
      </c>
      <c r="BO107" t="s">
        <v>74</v>
      </c>
      <c r="BP107" t="s">
        <v>74</v>
      </c>
      <c r="BQ107" t="s">
        <v>74</v>
      </c>
      <c r="BR107" t="s">
        <v>101</v>
      </c>
      <c r="BS107" t="s">
        <v>2248</v>
      </c>
      <c r="BT107" t="str">
        <f>HYPERLINK("https%3A%2F%2Fwww.webofscience.com%2Fwos%2Fwoscc%2Ffull-record%2FWOS:000311811400004","View Full Record in Web of Science")</f>
        <v>View Full Record in Web of Science</v>
      </c>
    </row>
    <row r="108" spans="1:72" x14ac:dyDescent="0.15">
      <c r="A108" t="s">
        <v>72</v>
      </c>
      <c r="B108" t="s">
        <v>2249</v>
      </c>
      <c r="C108" t="s">
        <v>74</v>
      </c>
      <c r="D108" t="s">
        <v>74</v>
      </c>
      <c r="E108" t="s">
        <v>74</v>
      </c>
      <c r="F108" t="s">
        <v>2250</v>
      </c>
      <c r="G108" t="s">
        <v>74</v>
      </c>
      <c r="H108" t="s">
        <v>74</v>
      </c>
      <c r="I108" t="s">
        <v>2251</v>
      </c>
      <c r="J108" t="s">
        <v>1463</v>
      </c>
      <c r="K108" t="s">
        <v>74</v>
      </c>
      <c r="L108" t="s">
        <v>74</v>
      </c>
      <c r="M108" t="s">
        <v>78</v>
      </c>
      <c r="N108" t="s">
        <v>79</v>
      </c>
      <c r="O108" t="s">
        <v>74</v>
      </c>
      <c r="P108" t="s">
        <v>74</v>
      </c>
      <c r="Q108" t="s">
        <v>74</v>
      </c>
      <c r="R108" t="s">
        <v>74</v>
      </c>
      <c r="S108" t="s">
        <v>74</v>
      </c>
      <c r="T108" t="s">
        <v>2252</v>
      </c>
      <c r="U108" t="s">
        <v>2253</v>
      </c>
      <c r="V108" t="s">
        <v>2254</v>
      </c>
      <c r="W108" t="s">
        <v>2255</v>
      </c>
      <c r="X108" t="s">
        <v>2256</v>
      </c>
      <c r="Y108" t="s">
        <v>2257</v>
      </c>
      <c r="Z108" t="s">
        <v>2258</v>
      </c>
      <c r="AA108" t="s">
        <v>2259</v>
      </c>
      <c r="AB108" t="s">
        <v>2260</v>
      </c>
      <c r="AC108" t="s">
        <v>2261</v>
      </c>
      <c r="AD108" t="s">
        <v>2262</v>
      </c>
      <c r="AE108" t="s">
        <v>2263</v>
      </c>
      <c r="AF108" t="s">
        <v>74</v>
      </c>
      <c r="AG108">
        <v>56</v>
      </c>
      <c r="AH108">
        <v>12</v>
      </c>
      <c r="AI108">
        <v>12</v>
      </c>
      <c r="AJ108">
        <v>1</v>
      </c>
      <c r="AK108">
        <v>80</v>
      </c>
      <c r="AL108" t="s">
        <v>89</v>
      </c>
      <c r="AM108" t="s">
        <v>90</v>
      </c>
      <c r="AN108" t="s">
        <v>91</v>
      </c>
      <c r="AO108" t="s">
        <v>1476</v>
      </c>
      <c r="AP108" t="s">
        <v>1497</v>
      </c>
      <c r="AQ108" t="s">
        <v>74</v>
      </c>
      <c r="AR108" t="s">
        <v>1477</v>
      </c>
      <c r="AS108" t="s">
        <v>1478</v>
      </c>
      <c r="AT108" t="s">
        <v>867</v>
      </c>
      <c r="AU108">
        <v>2012</v>
      </c>
      <c r="AV108">
        <v>69</v>
      </c>
      <c r="AW108" t="s">
        <v>74</v>
      </c>
      <c r="AX108" t="s">
        <v>74</v>
      </c>
      <c r="AY108" t="s">
        <v>74</v>
      </c>
      <c r="AZ108" t="s">
        <v>74</v>
      </c>
      <c r="BA108" t="s">
        <v>74</v>
      </c>
      <c r="BB108">
        <v>1</v>
      </c>
      <c r="BC108">
        <v>11</v>
      </c>
      <c r="BD108" t="s">
        <v>74</v>
      </c>
      <c r="BE108" t="s">
        <v>2264</v>
      </c>
      <c r="BF108" t="str">
        <f>HYPERLINK("http://dx.doi.org/10.1016/j.dsr.2012.04.008","http://dx.doi.org/10.1016/j.dsr.2012.04.008")</f>
        <v>http://dx.doi.org/10.1016/j.dsr.2012.04.008</v>
      </c>
      <c r="BG108" t="s">
        <v>74</v>
      </c>
      <c r="BH108" t="s">
        <v>74</v>
      </c>
      <c r="BI108">
        <v>11</v>
      </c>
      <c r="BJ108" t="s">
        <v>941</v>
      </c>
      <c r="BK108" t="s">
        <v>98</v>
      </c>
      <c r="BL108" t="s">
        <v>941</v>
      </c>
      <c r="BM108" t="s">
        <v>1480</v>
      </c>
      <c r="BN108" t="s">
        <v>74</v>
      </c>
      <c r="BO108" t="s">
        <v>74</v>
      </c>
      <c r="BP108" t="s">
        <v>74</v>
      </c>
      <c r="BQ108" t="s">
        <v>74</v>
      </c>
      <c r="BR108" t="s">
        <v>101</v>
      </c>
      <c r="BS108" t="s">
        <v>2265</v>
      </c>
      <c r="BT108" t="str">
        <f>HYPERLINK("https%3A%2F%2Fwww.webofscience.com%2Fwos%2Fwoscc%2Ffull-record%2FWOS:000310665500001","View Full Record in Web of Science")</f>
        <v>View Full Record in Web of Science</v>
      </c>
    </row>
    <row r="109" spans="1:72" x14ac:dyDescent="0.15">
      <c r="A109" t="s">
        <v>72</v>
      </c>
      <c r="B109" t="s">
        <v>2266</v>
      </c>
      <c r="C109" t="s">
        <v>74</v>
      </c>
      <c r="D109" t="s">
        <v>74</v>
      </c>
      <c r="E109" t="s">
        <v>74</v>
      </c>
      <c r="F109" t="s">
        <v>2267</v>
      </c>
      <c r="G109" t="s">
        <v>74</v>
      </c>
      <c r="H109" t="s">
        <v>74</v>
      </c>
      <c r="I109" t="s">
        <v>2268</v>
      </c>
      <c r="J109" t="s">
        <v>1463</v>
      </c>
      <c r="K109" t="s">
        <v>74</v>
      </c>
      <c r="L109" t="s">
        <v>74</v>
      </c>
      <c r="M109" t="s">
        <v>78</v>
      </c>
      <c r="N109" t="s">
        <v>79</v>
      </c>
      <c r="O109" t="s">
        <v>74</v>
      </c>
      <c r="P109" t="s">
        <v>74</v>
      </c>
      <c r="Q109" t="s">
        <v>74</v>
      </c>
      <c r="R109" t="s">
        <v>74</v>
      </c>
      <c r="S109" t="s">
        <v>74</v>
      </c>
      <c r="T109" t="s">
        <v>2269</v>
      </c>
      <c r="U109" t="s">
        <v>2270</v>
      </c>
      <c r="V109" t="s">
        <v>2271</v>
      </c>
      <c r="W109" t="s">
        <v>2272</v>
      </c>
      <c r="X109" t="s">
        <v>2273</v>
      </c>
      <c r="Y109" t="s">
        <v>2274</v>
      </c>
      <c r="Z109" t="s">
        <v>2275</v>
      </c>
      <c r="AA109" t="s">
        <v>2276</v>
      </c>
      <c r="AB109" t="s">
        <v>2277</v>
      </c>
      <c r="AC109" t="s">
        <v>2278</v>
      </c>
      <c r="AD109" t="s">
        <v>2279</v>
      </c>
      <c r="AE109" t="s">
        <v>2280</v>
      </c>
      <c r="AF109" t="s">
        <v>74</v>
      </c>
      <c r="AG109">
        <v>64</v>
      </c>
      <c r="AH109">
        <v>22</v>
      </c>
      <c r="AI109">
        <v>24</v>
      </c>
      <c r="AJ109">
        <v>1</v>
      </c>
      <c r="AK109">
        <v>51</v>
      </c>
      <c r="AL109" t="s">
        <v>89</v>
      </c>
      <c r="AM109" t="s">
        <v>90</v>
      </c>
      <c r="AN109" t="s">
        <v>91</v>
      </c>
      <c r="AO109" t="s">
        <v>1476</v>
      </c>
      <c r="AP109" t="s">
        <v>1497</v>
      </c>
      <c r="AQ109" t="s">
        <v>74</v>
      </c>
      <c r="AR109" t="s">
        <v>1477</v>
      </c>
      <c r="AS109" t="s">
        <v>1478</v>
      </c>
      <c r="AT109" t="s">
        <v>867</v>
      </c>
      <c r="AU109">
        <v>2012</v>
      </c>
      <c r="AV109">
        <v>69</v>
      </c>
      <c r="AW109" t="s">
        <v>74</v>
      </c>
      <c r="AX109" t="s">
        <v>74</v>
      </c>
      <c r="AY109" t="s">
        <v>74</v>
      </c>
      <c r="AZ109" t="s">
        <v>74</v>
      </c>
      <c r="BA109" t="s">
        <v>74</v>
      </c>
      <c r="BB109">
        <v>70</v>
      </c>
      <c r="BC109">
        <v>81</v>
      </c>
      <c r="BD109" t="s">
        <v>74</v>
      </c>
      <c r="BE109" t="s">
        <v>2281</v>
      </c>
      <c r="BF109" t="str">
        <f>HYPERLINK("http://dx.doi.org/10.1016/j.dsr.2012.07.002","http://dx.doi.org/10.1016/j.dsr.2012.07.002")</f>
        <v>http://dx.doi.org/10.1016/j.dsr.2012.07.002</v>
      </c>
      <c r="BG109" t="s">
        <v>74</v>
      </c>
      <c r="BH109" t="s">
        <v>74</v>
      </c>
      <c r="BI109">
        <v>12</v>
      </c>
      <c r="BJ109" t="s">
        <v>941</v>
      </c>
      <c r="BK109" t="s">
        <v>98</v>
      </c>
      <c r="BL109" t="s">
        <v>941</v>
      </c>
      <c r="BM109" t="s">
        <v>1480</v>
      </c>
      <c r="BN109" t="s">
        <v>74</v>
      </c>
      <c r="BO109" t="s">
        <v>74</v>
      </c>
      <c r="BP109" t="s">
        <v>74</v>
      </c>
      <c r="BQ109" t="s">
        <v>74</v>
      </c>
      <c r="BR109" t="s">
        <v>101</v>
      </c>
      <c r="BS109" t="s">
        <v>2282</v>
      </c>
      <c r="BT109" t="str">
        <f>HYPERLINK("https%3A%2F%2Fwww.webofscience.com%2Fwos%2Fwoscc%2Ffull-record%2FWOS:000310665500007","View Full Record in Web of Science")</f>
        <v>View Full Record in Web of Science</v>
      </c>
    </row>
    <row r="110" spans="1:72" x14ac:dyDescent="0.15">
      <c r="A110" t="s">
        <v>72</v>
      </c>
      <c r="B110" t="s">
        <v>2283</v>
      </c>
      <c r="C110" t="s">
        <v>74</v>
      </c>
      <c r="D110" t="s">
        <v>74</v>
      </c>
      <c r="E110" t="s">
        <v>74</v>
      </c>
      <c r="F110" t="s">
        <v>2284</v>
      </c>
      <c r="G110" t="s">
        <v>74</v>
      </c>
      <c r="H110" t="s">
        <v>74</v>
      </c>
      <c r="I110" t="s">
        <v>2285</v>
      </c>
      <c r="J110" t="s">
        <v>222</v>
      </c>
      <c r="K110" t="s">
        <v>74</v>
      </c>
      <c r="L110" t="s">
        <v>74</v>
      </c>
      <c r="M110" t="s">
        <v>78</v>
      </c>
      <c r="N110" t="s">
        <v>79</v>
      </c>
      <c r="O110" t="s">
        <v>74</v>
      </c>
      <c r="P110" t="s">
        <v>74</v>
      </c>
      <c r="Q110" t="s">
        <v>74</v>
      </c>
      <c r="R110" t="s">
        <v>74</v>
      </c>
      <c r="S110" t="s">
        <v>74</v>
      </c>
      <c r="T110" t="s">
        <v>2286</v>
      </c>
      <c r="U110" t="s">
        <v>2287</v>
      </c>
      <c r="V110" t="s">
        <v>2288</v>
      </c>
      <c r="W110" t="s">
        <v>2289</v>
      </c>
      <c r="X110" t="s">
        <v>2290</v>
      </c>
      <c r="Y110" t="s">
        <v>2291</v>
      </c>
      <c r="Z110" t="s">
        <v>2292</v>
      </c>
      <c r="AA110" t="s">
        <v>2293</v>
      </c>
      <c r="AB110" t="s">
        <v>2294</v>
      </c>
      <c r="AC110" t="s">
        <v>2295</v>
      </c>
      <c r="AD110" t="s">
        <v>2296</v>
      </c>
      <c r="AE110" t="s">
        <v>74</v>
      </c>
      <c r="AF110" t="s">
        <v>74</v>
      </c>
      <c r="AG110">
        <v>68</v>
      </c>
      <c r="AH110">
        <v>70</v>
      </c>
      <c r="AI110">
        <v>75</v>
      </c>
      <c r="AJ110">
        <v>0</v>
      </c>
      <c r="AK110">
        <v>72</v>
      </c>
      <c r="AL110" t="s">
        <v>188</v>
      </c>
      <c r="AM110" t="s">
        <v>189</v>
      </c>
      <c r="AN110" t="s">
        <v>190</v>
      </c>
      <c r="AO110" t="s">
        <v>235</v>
      </c>
      <c r="AP110" t="s">
        <v>236</v>
      </c>
      <c r="AQ110" t="s">
        <v>74</v>
      </c>
      <c r="AR110" t="s">
        <v>237</v>
      </c>
      <c r="AS110" t="s">
        <v>238</v>
      </c>
      <c r="AT110" t="s">
        <v>964</v>
      </c>
      <c r="AU110">
        <v>2012</v>
      </c>
      <c r="AV110">
        <v>353</v>
      </c>
      <c r="AW110" t="s">
        <v>74</v>
      </c>
      <c r="AX110" t="s">
        <v>74</v>
      </c>
      <c r="AY110" t="s">
        <v>74</v>
      </c>
      <c r="AZ110" t="s">
        <v>74</v>
      </c>
      <c r="BA110" t="s">
        <v>74</v>
      </c>
      <c r="BB110">
        <v>108</v>
      </c>
      <c r="BC110">
        <v>120</v>
      </c>
      <c r="BD110" t="s">
        <v>74</v>
      </c>
      <c r="BE110" t="s">
        <v>2297</v>
      </c>
      <c r="BF110" t="str">
        <f>HYPERLINK("http://dx.doi.org/10.1016/j.epsl.2012.08.011","http://dx.doi.org/10.1016/j.epsl.2012.08.011")</f>
        <v>http://dx.doi.org/10.1016/j.epsl.2012.08.011</v>
      </c>
      <c r="BG110" t="s">
        <v>74</v>
      </c>
      <c r="BH110" t="s">
        <v>74</v>
      </c>
      <c r="BI110">
        <v>13</v>
      </c>
      <c r="BJ110" t="s">
        <v>241</v>
      </c>
      <c r="BK110" t="s">
        <v>98</v>
      </c>
      <c r="BL110" t="s">
        <v>241</v>
      </c>
      <c r="BM110" t="s">
        <v>2298</v>
      </c>
      <c r="BN110" t="s">
        <v>74</v>
      </c>
      <c r="BO110" t="s">
        <v>2299</v>
      </c>
      <c r="BP110" t="s">
        <v>74</v>
      </c>
      <c r="BQ110" t="s">
        <v>74</v>
      </c>
      <c r="BR110" t="s">
        <v>101</v>
      </c>
      <c r="BS110" t="s">
        <v>2300</v>
      </c>
      <c r="BT110" t="str">
        <f>HYPERLINK("https%3A%2F%2Fwww.webofscience.com%2Fwos%2Fwoscc%2Ffull-record%2FWOS:000311014300012","View Full Record in Web of Science")</f>
        <v>View Full Record in Web of Science</v>
      </c>
    </row>
    <row r="111" spans="1:72" x14ac:dyDescent="0.15">
      <c r="A111" t="s">
        <v>72</v>
      </c>
      <c r="B111" t="s">
        <v>2301</v>
      </c>
      <c r="C111" t="s">
        <v>74</v>
      </c>
      <c r="D111" t="s">
        <v>74</v>
      </c>
      <c r="E111" t="s">
        <v>74</v>
      </c>
      <c r="F111" t="s">
        <v>2302</v>
      </c>
      <c r="G111" t="s">
        <v>74</v>
      </c>
      <c r="H111" t="s">
        <v>74</v>
      </c>
      <c r="I111" t="s">
        <v>2303</v>
      </c>
      <c r="J111" t="s">
        <v>2304</v>
      </c>
      <c r="K111" t="s">
        <v>74</v>
      </c>
      <c r="L111" t="s">
        <v>74</v>
      </c>
      <c r="M111" t="s">
        <v>78</v>
      </c>
      <c r="N111" t="s">
        <v>79</v>
      </c>
      <c r="O111" t="s">
        <v>74</v>
      </c>
      <c r="P111" t="s">
        <v>74</v>
      </c>
      <c r="Q111" t="s">
        <v>74</v>
      </c>
      <c r="R111" t="s">
        <v>74</v>
      </c>
      <c r="S111" t="s">
        <v>74</v>
      </c>
      <c r="T111" t="s">
        <v>74</v>
      </c>
      <c r="U111" t="s">
        <v>2305</v>
      </c>
      <c r="V111" t="s">
        <v>2306</v>
      </c>
      <c r="W111" t="s">
        <v>2307</v>
      </c>
      <c r="X111" t="s">
        <v>2308</v>
      </c>
      <c r="Y111" t="s">
        <v>2309</v>
      </c>
      <c r="Z111" t="s">
        <v>2310</v>
      </c>
      <c r="AA111" t="s">
        <v>2311</v>
      </c>
      <c r="AB111" t="s">
        <v>2312</v>
      </c>
      <c r="AC111" t="s">
        <v>2313</v>
      </c>
      <c r="AD111" t="s">
        <v>2296</v>
      </c>
      <c r="AE111" t="s">
        <v>74</v>
      </c>
      <c r="AF111" t="s">
        <v>74</v>
      </c>
      <c r="AG111">
        <v>93</v>
      </c>
      <c r="AH111">
        <v>69</v>
      </c>
      <c r="AI111">
        <v>77</v>
      </c>
      <c r="AJ111">
        <v>0</v>
      </c>
      <c r="AK111">
        <v>118</v>
      </c>
      <c r="AL111" t="s">
        <v>898</v>
      </c>
      <c r="AM111" t="s">
        <v>899</v>
      </c>
      <c r="AN111" t="s">
        <v>900</v>
      </c>
      <c r="AO111" t="s">
        <v>2314</v>
      </c>
      <c r="AP111" t="s">
        <v>2315</v>
      </c>
      <c r="AQ111" t="s">
        <v>74</v>
      </c>
      <c r="AR111" t="s">
        <v>2304</v>
      </c>
      <c r="AS111" t="s">
        <v>2316</v>
      </c>
      <c r="AT111" t="s">
        <v>867</v>
      </c>
      <c r="AU111">
        <v>2012</v>
      </c>
      <c r="AV111">
        <v>35</v>
      </c>
      <c r="AW111">
        <v>11</v>
      </c>
      <c r="AX111" t="s">
        <v>74</v>
      </c>
      <c r="AY111" t="s">
        <v>74</v>
      </c>
      <c r="AZ111" t="s">
        <v>74</v>
      </c>
      <c r="BA111" t="s">
        <v>74</v>
      </c>
      <c r="BB111">
        <v>983</v>
      </c>
      <c r="BC111">
        <v>993</v>
      </c>
      <c r="BD111" t="s">
        <v>74</v>
      </c>
      <c r="BE111" t="s">
        <v>2317</v>
      </c>
      <c r="BF111" t="str">
        <f>HYPERLINK("http://dx.doi.org/10.1111/j.1600-0587.2012.07330.x","http://dx.doi.org/10.1111/j.1600-0587.2012.07330.x")</f>
        <v>http://dx.doi.org/10.1111/j.1600-0587.2012.07330.x</v>
      </c>
      <c r="BG111" t="s">
        <v>74</v>
      </c>
      <c r="BH111" t="s">
        <v>74</v>
      </c>
      <c r="BI111">
        <v>11</v>
      </c>
      <c r="BJ111" t="s">
        <v>1879</v>
      </c>
      <c r="BK111" t="s">
        <v>98</v>
      </c>
      <c r="BL111" t="s">
        <v>1880</v>
      </c>
      <c r="BM111" t="s">
        <v>2318</v>
      </c>
      <c r="BN111" t="s">
        <v>74</v>
      </c>
      <c r="BO111" t="s">
        <v>74</v>
      </c>
      <c r="BP111" t="s">
        <v>74</v>
      </c>
      <c r="BQ111" t="s">
        <v>74</v>
      </c>
      <c r="BR111" t="s">
        <v>101</v>
      </c>
      <c r="BS111" t="s">
        <v>2319</v>
      </c>
      <c r="BT111" t="str">
        <f>HYPERLINK("https%3A%2F%2Fwww.webofscience.com%2Fwos%2Fwoscc%2Ffull-record%2FWOS:000310602800003","View Full Record in Web of Science")</f>
        <v>View Full Record in Web of Science</v>
      </c>
    </row>
    <row r="112" spans="1:72" x14ac:dyDescent="0.15">
      <c r="A112" t="s">
        <v>72</v>
      </c>
      <c r="B112" t="s">
        <v>2320</v>
      </c>
      <c r="C112" t="s">
        <v>74</v>
      </c>
      <c r="D112" t="s">
        <v>74</v>
      </c>
      <c r="E112" t="s">
        <v>74</v>
      </c>
      <c r="F112" t="s">
        <v>2321</v>
      </c>
      <c r="G112" t="s">
        <v>74</v>
      </c>
      <c r="H112" t="s">
        <v>74</v>
      </c>
      <c r="I112" t="s">
        <v>2322</v>
      </c>
      <c r="J112" t="s">
        <v>2323</v>
      </c>
      <c r="K112" t="s">
        <v>74</v>
      </c>
      <c r="L112" t="s">
        <v>74</v>
      </c>
      <c r="M112" t="s">
        <v>78</v>
      </c>
      <c r="N112" t="s">
        <v>79</v>
      </c>
      <c r="O112" t="s">
        <v>74</v>
      </c>
      <c r="P112" t="s">
        <v>74</v>
      </c>
      <c r="Q112" t="s">
        <v>74</v>
      </c>
      <c r="R112" t="s">
        <v>74</v>
      </c>
      <c r="S112" t="s">
        <v>74</v>
      </c>
      <c r="T112" t="s">
        <v>2324</v>
      </c>
      <c r="U112" t="s">
        <v>2325</v>
      </c>
      <c r="V112" t="s">
        <v>2326</v>
      </c>
      <c r="W112" t="s">
        <v>2327</v>
      </c>
      <c r="X112" t="s">
        <v>2328</v>
      </c>
      <c r="Y112" t="s">
        <v>2329</v>
      </c>
      <c r="Z112" t="s">
        <v>2330</v>
      </c>
      <c r="AA112" t="s">
        <v>2331</v>
      </c>
      <c r="AB112" t="s">
        <v>2332</v>
      </c>
      <c r="AC112" t="s">
        <v>2333</v>
      </c>
      <c r="AD112" t="s">
        <v>2334</v>
      </c>
      <c r="AE112" t="s">
        <v>2335</v>
      </c>
      <c r="AF112" t="s">
        <v>74</v>
      </c>
      <c r="AG112">
        <v>27</v>
      </c>
      <c r="AH112">
        <v>52</v>
      </c>
      <c r="AI112">
        <v>57</v>
      </c>
      <c r="AJ112">
        <v>3</v>
      </c>
      <c r="AK112">
        <v>46</v>
      </c>
      <c r="AL112" t="s">
        <v>2336</v>
      </c>
      <c r="AM112" t="s">
        <v>119</v>
      </c>
      <c r="AN112" t="s">
        <v>2337</v>
      </c>
      <c r="AO112" t="s">
        <v>2338</v>
      </c>
      <c r="AP112" t="s">
        <v>2339</v>
      </c>
      <c r="AQ112" t="s">
        <v>74</v>
      </c>
      <c r="AR112" t="s">
        <v>2340</v>
      </c>
      <c r="AS112" t="s">
        <v>2341</v>
      </c>
      <c r="AT112" t="s">
        <v>867</v>
      </c>
      <c r="AU112">
        <v>2012</v>
      </c>
      <c r="AV112">
        <v>82</v>
      </c>
      <c r="AW112">
        <v>4</v>
      </c>
      <c r="AX112" t="s">
        <v>74</v>
      </c>
      <c r="AY112" t="s">
        <v>74</v>
      </c>
      <c r="AZ112" t="s">
        <v>74</v>
      </c>
      <c r="BA112" t="s">
        <v>74</v>
      </c>
      <c r="BB112">
        <v>505</v>
      </c>
      <c r="BC112">
        <v>519</v>
      </c>
      <c r="BD112" t="s">
        <v>74</v>
      </c>
      <c r="BE112" t="s">
        <v>2342</v>
      </c>
      <c r="BF112" t="str">
        <f>HYPERLINK("http://dx.doi.org/10.1890/12-0207.1","http://dx.doi.org/10.1890/12-0207.1")</f>
        <v>http://dx.doi.org/10.1890/12-0207.1</v>
      </c>
      <c r="BG112" t="s">
        <v>74</v>
      </c>
      <c r="BH112" t="s">
        <v>74</v>
      </c>
      <c r="BI112">
        <v>15</v>
      </c>
      <c r="BJ112" t="s">
        <v>515</v>
      </c>
      <c r="BK112" t="s">
        <v>98</v>
      </c>
      <c r="BL112" t="s">
        <v>333</v>
      </c>
      <c r="BM112" t="s">
        <v>2343</v>
      </c>
      <c r="BN112" t="s">
        <v>74</v>
      </c>
      <c r="BO112" t="s">
        <v>74</v>
      </c>
      <c r="BP112" t="s">
        <v>74</v>
      </c>
      <c r="BQ112" t="s">
        <v>74</v>
      </c>
      <c r="BR112" t="s">
        <v>101</v>
      </c>
      <c r="BS112" t="s">
        <v>2344</v>
      </c>
      <c r="BT112" t="str">
        <f>HYPERLINK("https%3A%2F%2Fwww.webofscience.com%2Fwos%2Fwoscc%2Ffull-record%2FWOS:000312012400006","View Full Record in Web of Science")</f>
        <v>View Full Record in Web of Science</v>
      </c>
    </row>
    <row r="113" spans="1:72" x14ac:dyDescent="0.15">
      <c r="A113" t="s">
        <v>72</v>
      </c>
      <c r="B113" t="s">
        <v>2345</v>
      </c>
      <c r="C113" t="s">
        <v>74</v>
      </c>
      <c r="D113" t="s">
        <v>74</v>
      </c>
      <c r="E113" t="s">
        <v>74</v>
      </c>
      <c r="F113" t="s">
        <v>2346</v>
      </c>
      <c r="G113" t="s">
        <v>74</v>
      </c>
      <c r="H113" t="s">
        <v>74</v>
      </c>
      <c r="I113" t="s">
        <v>2347</v>
      </c>
      <c r="J113" t="s">
        <v>2348</v>
      </c>
      <c r="K113" t="s">
        <v>74</v>
      </c>
      <c r="L113" t="s">
        <v>74</v>
      </c>
      <c r="M113" t="s">
        <v>78</v>
      </c>
      <c r="N113" t="s">
        <v>79</v>
      </c>
      <c r="O113" t="s">
        <v>74</v>
      </c>
      <c r="P113" t="s">
        <v>74</v>
      </c>
      <c r="Q113" t="s">
        <v>74</v>
      </c>
      <c r="R113" t="s">
        <v>74</v>
      </c>
      <c r="S113" t="s">
        <v>74</v>
      </c>
      <c r="T113" t="s">
        <v>2349</v>
      </c>
      <c r="U113" t="s">
        <v>2350</v>
      </c>
      <c r="V113" t="s">
        <v>2351</v>
      </c>
      <c r="W113" t="s">
        <v>2352</v>
      </c>
      <c r="X113" t="s">
        <v>2353</v>
      </c>
      <c r="Y113" t="s">
        <v>2354</v>
      </c>
      <c r="Z113" t="s">
        <v>2355</v>
      </c>
      <c r="AA113" t="s">
        <v>2356</v>
      </c>
      <c r="AB113" t="s">
        <v>2357</v>
      </c>
      <c r="AC113" t="s">
        <v>2358</v>
      </c>
      <c r="AD113" t="s">
        <v>2359</v>
      </c>
      <c r="AE113" t="s">
        <v>2360</v>
      </c>
      <c r="AF113" t="s">
        <v>74</v>
      </c>
      <c r="AG113">
        <v>77</v>
      </c>
      <c r="AH113">
        <v>48</v>
      </c>
      <c r="AI113">
        <v>54</v>
      </c>
      <c r="AJ113">
        <v>1</v>
      </c>
      <c r="AK113">
        <v>37</v>
      </c>
      <c r="AL113" t="s">
        <v>898</v>
      </c>
      <c r="AM113" t="s">
        <v>899</v>
      </c>
      <c r="AN113" t="s">
        <v>900</v>
      </c>
      <c r="AO113" t="s">
        <v>2361</v>
      </c>
      <c r="AP113" t="s">
        <v>74</v>
      </c>
      <c r="AQ113" t="s">
        <v>74</v>
      </c>
      <c r="AR113" t="s">
        <v>2348</v>
      </c>
      <c r="AS113" t="s">
        <v>2362</v>
      </c>
      <c r="AT113" t="s">
        <v>867</v>
      </c>
      <c r="AU113">
        <v>2012</v>
      </c>
      <c r="AV113">
        <v>3</v>
      </c>
      <c r="AW113">
        <v>11</v>
      </c>
      <c r="AX113" t="s">
        <v>74</v>
      </c>
      <c r="AY113" t="s">
        <v>74</v>
      </c>
      <c r="AZ113" t="s">
        <v>74</v>
      </c>
      <c r="BA113" t="s">
        <v>74</v>
      </c>
      <c r="BB113" t="s">
        <v>74</v>
      </c>
      <c r="BC113" t="s">
        <v>74</v>
      </c>
      <c r="BD113">
        <v>103</v>
      </c>
      <c r="BE113" t="s">
        <v>2363</v>
      </c>
      <c r="BF113" t="str">
        <f>HYPERLINK("http://dx.doi.org/10.1890/ES12-00234.1","http://dx.doi.org/10.1890/ES12-00234.1")</f>
        <v>http://dx.doi.org/10.1890/ES12-00234.1</v>
      </c>
      <c r="BG113" t="s">
        <v>74</v>
      </c>
      <c r="BH113" t="s">
        <v>74</v>
      </c>
      <c r="BI113">
        <v>25</v>
      </c>
      <c r="BJ113" t="s">
        <v>515</v>
      </c>
      <c r="BK113" t="s">
        <v>98</v>
      </c>
      <c r="BL113" t="s">
        <v>333</v>
      </c>
      <c r="BM113" t="s">
        <v>2364</v>
      </c>
      <c r="BN113" t="s">
        <v>74</v>
      </c>
      <c r="BO113" t="s">
        <v>2365</v>
      </c>
      <c r="BP113" t="s">
        <v>74</v>
      </c>
      <c r="BQ113" t="s">
        <v>74</v>
      </c>
      <c r="BR113" t="s">
        <v>101</v>
      </c>
      <c r="BS113" t="s">
        <v>2366</v>
      </c>
      <c r="BT113" t="str">
        <f>HYPERLINK("https%3A%2F%2Fwww.webofscience.com%2Fwos%2Fwoscc%2Ffull-record%2FWOS:000327304100011","View Full Record in Web of Science")</f>
        <v>View Full Record in Web of Science</v>
      </c>
    </row>
    <row r="114" spans="1:72" x14ac:dyDescent="0.15">
      <c r="A114" t="s">
        <v>72</v>
      </c>
      <c r="B114" t="s">
        <v>2367</v>
      </c>
      <c r="C114" t="s">
        <v>74</v>
      </c>
      <c r="D114" t="s">
        <v>74</v>
      </c>
      <c r="E114" t="s">
        <v>74</v>
      </c>
      <c r="F114" t="s">
        <v>2368</v>
      </c>
      <c r="G114" t="s">
        <v>74</v>
      </c>
      <c r="H114" t="s">
        <v>74</v>
      </c>
      <c r="I114" t="s">
        <v>2369</v>
      </c>
      <c r="J114" t="s">
        <v>2370</v>
      </c>
      <c r="K114" t="s">
        <v>74</v>
      </c>
      <c r="L114" t="s">
        <v>74</v>
      </c>
      <c r="M114" t="s">
        <v>78</v>
      </c>
      <c r="N114" t="s">
        <v>79</v>
      </c>
      <c r="O114" t="s">
        <v>74</v>
      </c>
      <c r="P114" t="s">
        <v>74</v>
      </c>
      <c r="Q114" t="s">
        <v>74</v>
      </c>
      <c r="R114" t="s">
        <v>74</v>
      </c>
      <c r="S114" t="s">
        <v>74</v>
      </c>
      <c r="T114" t="s">
        <v>2371</v>
      </c>
      <c r="U114" t="s">
        <v>2372</v>
      </c>
      <c r="V114" t="s">
        <v>2373</v>
      </c>
      <c r="W114" t="s">
        <v>2374</v>
      </c>
      <c r="X114" t="s">
        <v>2375</v>
      </c>
      <c r="Y114" t="s">
        <v>2376</v>
      </c>
      <c r="Z114" t="s">
        <v>2377</v>
      </c>
      <c r="AA114" t="s">
        <v>2378</v>
      </c>
      <c r="AB114" t="s">
        <v>74</v>
      </c>
      <c r="AC114" t="s">
        <v>2379</v>
      </c>
      <c r="AD114" t="s">
        <v>2380</v>
      </c>
      <c r="AE114" t="s">
        <v>2381</v>
      </c>
      <c r="AF114" t="s">
        <v>74</v>
      </c>
      <c r="AG114">
        <v>29</v>
      </c>
      <c r="AH114">
        <v>56</v>
      </c>
      <c r="AI114">
        <v>58</v>
      </c>
      <c r="AJ114">
        <v>1</v>
      </c>
      <c r="AK114">
        <v>47</v>
      </c>
      <c r="AL114" t="s">
        <v>935</v>
      </c>
      <c r="AM114" t="s">
        <v>2382</v>
      </c>
      <c r="AN114" t="s">
        <v>2383</v>
      </c>
      <c r="AO114" t="s">
        <v>2384</v>
      </c>
      <c r="AP114" t="s">
        <v>74</v>
      </c>
      <c r="AQ114" t="s">
        <v>74</v>
      </c>
      <c r="AR114" t="s">
        <v>2385</v>
      </c>
      <c r="AS114" t="s">
        <v>2386</v>
      </c>
      <c r="AT114" t="s">
        <v>867</v>
      </c>
      <c r="AU114">
        <v>2012</v>
      </c>
      <c r="AV114">
        <v>184</v>
      </c>
      <c r="AW114">
        <v>11</v>
      </c>
      <c r="AX114" t="s">
        <v>74</v>
      </c>
      <c r="AY114" t="s">
        <v>74</v>
      </c>
      <c r="AZ114" t="s">
        <v>74</v>
      </c>
      <c r="BA114" t="s">
        <v>74</v>
      </c>
      <c r="BB114">
        <v>7013</v>
      </c>
      <c r="BC114">
        <v>7021</v>
      </c>
      <c r="BD114" t="s">
        <v>74</v>
      </c>
      <c r="BE114" t="s">
        <v>2387</v>
      </c>
      <c r="BF114" t="str">
        <f>HYPERLINK("http://dx.doi.org/10.1007/s10661-011-2476-x","http://dx.doi.org/10.1007/s10661-011-2476-x")</f>
        <v>http://dx.doi.org/10.1007/s10661-011-2476-x</v>
      </c>
      <c r="BG114" t="s">
        <v>74</v>
      </c>
      <c r="BH114" t="s">
        <v>74</v>
      </c>
      <c r="BI114">
        <v>9</v>
      </c>
      <c r="BJ114" t="s">
        <v>332</v>
      </c>
      <c r="BK114" t="s">
        <v>98</v>
      </c>
      <c r="BL114" t="s">
        <v>333</v>
      </c>
      <c r="BM114" t="s">
        <v>2388</v>
      </c>
      <c r="BN114">
        <v>22160386</v>
      </c>
      <c r="BO114" t="s">
        <v>74</v>
      </c>
      <c r="BP114" t="s">
        <v>74</v>
      </c>
      <c r="BQ114" t="s">
        <v>74</v>
      </c>
      <c r="BR114" t="s">
        <v>101</v>
      </c>
      <c r="BS114" t="s">
        <v>2389</v>
      </c>
      <c r="BT114" t="str">
        <f>HYPERLINK("https%3A%2F%2Fwww.webofscience.com%2Fwos%2Fwoscc%2Ffull-record%2FWOS:000309476100042","View Full Record in Web of Science")</f>
        <v>View Full Record in Web of Science</v>
      </c>
    </row>
    <row r="115" spans="1:72" x14ac:dyDescent="0.15">
      <c r="A115" t="s">
        <v>72</v>
      </c>
      <c r="B115" t="s">
        <v>2390</v>
      </c>
      <c r="C115" t="s">
        <v>74</v>
      </c>
      <c r="D115" t="s">
        <v>74</v>
      </c>
      <c r="E115" t="s">
        <v>74</v>
      </c>
      <c r="F115" t="s">
        <v>2391</v>
      </c>
      <c r="G115" t="s">
        <v>74</v>
      </c>
      <c r="H115" t="s">
        <v>74</v>
      </c>
      <c r="I115" t="s">
        <v>2392</v>
      </c>
      <c r="J115" t="s">
        <v>2393</v>
      </c>
      <c r="K115" t="s">
        <v>74</v>
      </c>
      <c r="L115" t="s">
        <v>74</v>
      </c>
      <c r="M115" t="s">
        <v>78</v>
      </c>
      <c r="N115" t="s">
        <v>79</v>
      </c>
      <c r="O115" t="s">
        <v>74</v>
      </c>
      <c r="P115" t="s">
        <v>74</v>
      </c>
      <c r="Q115" t="s">
        <v>74</v>
      </c>
      <c r="R115" t="s">
        <v>74</v>
      </c>
      <c r="S115" t="s">
        <v>74</v>
      </c>
      <c r="T115" t="s">
        <v>2394</v>
      </c>
      <c r="U115" t="s">
        <v>2395</v>
      </c>
      <c r="V115" t="s">
        <v>2396</v>
      </c>
      <c r="W115" t="s">
        <v>2397</v>
      </c>
      <c r="X115" t="s">
        <v>2398</v>
      </c>
      <c r="Y115" t="s">
        <v>2399</v>
      </c>
      <c r="Z115" t="s">
        <v>2400</v>
      </c>
      <c r="AA115" t="s">
        <v>2401</v>
      </c>
      <c r="AB115" t="s">
        <v>2402</v>
      </c>
      <c r="AC115" t="s">
        <v>74</v>
      </c>
      <c r="AD115" t="s">
        <v>74</v>
      </c>
      <c r="AE115" t="s">
        <v>74</v>
      </c>
      <c r="AF115" t="s">
        <v>74</v>
      </c>
      <c r="AG115">
        <v>52</v>
      </c>
      <c r="AH115">
        <v>118</v>
      </c>
      <c r="AI115">
        <v>132</v>
      </c>
      <c r="AJ115">
        <v>16</v>
      </c>
      <c r="AK115">
        <v>250</v>
      </c>
      <c r="AL115" t="s">
        <v>1034</v>
      </c>
      <c r="AM115" t="s">
        <v>90</v>
      </c>
      <c r="AN115" t="s">
        <v>1035</v>
      </c>
      <c r="AO115" t="s">
        <v>2403</v>
      </c>
      <c r="AP115" t="s">
        <v>2404</v>
      </c>
      <c r="AQ115" t="s">
        <v>74</v>
      </c>
      <c r="AR115" t="s">
        <v>2405</v>
      </c>
      <c r="AS115" t="s">
        <v>2406</v>
      </c>
      <c r="AT115" t="s">
        <v>867</v>
      </c>
      <c r="AU115">
        <v>2012</v>
      </c>
      <c r="AV115">
        <v>170</v>
      </c>
      <c r="AW115" t="s">
        <v>74</v>
      </c>
      <c r="AX115" t="s">
        <v>74</v>
      </c>
      <c r="AY115" t="s">
        <v>74</v>
      </c>
      <c r="AZ115" t="s">
        <v>74</v>
      </c>
      <c r="BA115" t="s">
        <v>74</v>
      </c>
      <c r="BB115">
        <v>71</v>
      </c>
      <c r="BC115">
        <v>77</v>
      </c>
      <c r="BD115" t="s">
        <v>74</v>
      </c>
      <c r="BE115" t="s">
        <v>2407</v>
      </c>
      <c r="BF115" t="str">
        <f>HYPERLINK("http://dx.doi.org/10.1016/j.envpol.2012.06.004","http://dx.doi.org/10.1016/j.envpol.2012.06.004")</f>
        <v>http://dx.doi.org/10.1016/j.envpol.2012.06.004</v>
      </c>
      <c r="BG115" t="s">
        <v>74</v>
      </c>
      <c r="BH115" t="s">
        <v>74</v>
      </c>
      <c r="BI115">
        <v>7</v>
      </c>
      <c r="BJ115" t="s">
        <v>332</v>
      </c>
      <c r="BK115" t="s">
        <v>98</v>
      </c>
      <c r="BL115" t="s">
        <v>333</v>
      </c>
      <c r="BM115" t="s">
        <v>2408</v>
      </c>
      <c r="BN115">
        <v>22771353</v>
      </c>
      <c r="BO115" t="s">
        <v>1254</v>
      </c>
      <c r="BP115" t="s">
        <v>74</v>
      </c>
      <c r="BQ115" t="s">
        <v>74</v>
      </c>
      <c r="BR115" t="s">
        <v>101</v>
      </c>
      <c r="BS115" t="s">
        <v>2409</v>
      </c>
      <c r="BT115" t="str">
        <f>HYPERLINK("https%3A%2F%2Fwww.webofscience.com%2Fwos%2Fwoscc%2Ffull-record%2FWOS:000308450100010","View Full Record in Web of Science")</f>
        <v>View Full Record in Web of Science</v>
      </c>
    </row>
    <row r="116" spans="1:72" x14ac:dyDescent="0.15">
      <c r="A116" t="s">
        <v>72</v>
      </c>
      <c r="B116" t="s">
        <v>2410</v>
      </c>
      <c r="C116" t="s">
        <v>74</v>
      </c>
      <c r="D116" t="s">
        <v>74</v>
      </c>
      <c r="E116" t="s">
        <v>74</v>
      </c>
      <c r="F116" t="s">
        <v>2411</v>
      </c>
      <c r="G116" t="s">
        <v>74</v>
      </c>
      <c r="H116" t="s">
        <v>74</v>
      </c>
      <c r="I116" t="s">
        <v>2412</v>
      </c>
      <c r="J116" t="s">
        <v>1759</v>
      </c>
      <c r="K116" t="s">
        <v>74</v>
      </c>
      <c r="L116" t="s">
        <v>74</v>
      </c>
      <c r="M116" t="s">
        <v>78</v>
      </c>
      <c r="N116" t="s">
        <v>974</v>
      </c>
      <c r="O116" t="s">
        <v>74</v>
      </c>
      <c r="P116" t="s">
        <v>74</v>
      </c>
      <c r="Q116" t="s">
        <v>74</v>
      </c>
      <c r="R116" t="s">
        <v>74</v>
      </c>
      <c r="S116" t="s">
        <v>74</v>
      </c>
      <c r="T116" t="s">
        <v>2413</v>
      </c>
      <c r="U116" t="s">
        <v>2414</v>
      </c>
      <c r="V116" t="s">
        <v>2415</v>
      </c>
      <c r="W116" t="s">
        <v>2416</v>
      </c>
      <c r="X116" t="s">
        <v>2417</v>
      </c>
      <c r="Y116" t="s">
        <v>2418</v>
      </c>
      <c r="Z116" t="s">
        <v>2419</v>
      </c>
      <c r="AA116" t="s">
        <v>2420</v>
      </c>
      <c r="AB116" t="s">
        <v>2421</v>
      </c>
      <c r="AC116" t="s">
        <v>74</v>
      </c>
      <c r="AD116" t="s">
        <v>74</v>
      </c>
      <c r="AE116" t="s">
        <v>74</v>
      </c>
      <c r="AF116" t="s">
        <v>74</v>
      </c>
      <c r="AG116">
        <v>146</v>
      </c>
      <c r="AH116">
        <v>153</v>
      </c>
      <c r="AI116">
        <v>177</v>
      </c>
      <c r="AJ116">
        <v>5</v>
      </c>
      <c r="AK116">
        <v>92</v>
      </c>
      <c r="AL116" t="s">
        <v>1771</v>
      </c>
      <c r="AM116" t="s">
        <v>90</v>
      </c>
      <c r="AN116" t="s">
        <v>1772</v>
      </c>
      <c r="AO116" t="s">
        <v>1773</v>
      </c>
      <c r="AP116" t="s">
        <v>1774</v>
      </c>
      <c r="AQ116" t="s">
        <v>74</v>
      </c>
      <c r="AR116" t="s">
        <v>1775</v>
      </c>
      <c r="AS116" t="s">
        <v>1776</v>
      </c>
      <c r="AT116" t="s">
        <v>867</v>
      </c>
      <c r="AU116">
        <v>2012</v>
      </c>
      <c r="AV116">
        <v>82</v>
      </c>
      <c r="AW116">
        <v>2</v>
      </c>
      <c r="AX116" t="s">
        <v>74</v>
      </c>
      <c r="AY116" t="s">
        <v>74</v>
      </c>
      <c r="AZ116" t="s">
        <v>74</v>
      </c>
      <c r="BA116" t="s">
        <v>74</v>
      </c>
      <c r="BB116">
        <v>217</v>
      </c>
      <c r="BC116">
        <v>241</v>
      </c>
      <c r="BD116" t="s">
        <v>74</v>
      </c>
      <c r="BE116" t="s">
        <v>2422</v>
      </c>
      <c r="BF116" t="str">
        <f>HYPERLINK("http://dx.doi.org/10.1111/j.1574-6941.2012.01348.x","http://dx.doi.org/10.1111/j.1574-6941.2012.01348.x")</f>
        <v>http://dx.doi.org/10.1111/j.1574-6941.2012.01348.x</v>
      </c>
      <c r="BG116" t="s">
        <v>74</v>
      </c>
      <c r="BH116" t="s">
        <v>74</v>
      </c>
      <c r="BI116">
        <v>25</v>
      </c>
      <c r="BJ116" t="s">
        <v>775</v>
      </c>
      <c r="BK116" t="s">
        <v>98</v>
      </c>
      <c r="BL116" t="s">
        <v>775</v>
      </c>
      <c r="BM116" t="s">
        <v>1778</v>
      </c>
      <c r="BN116">
        <v>22385361</v>
      </c>
      <c r="BO116" t="s">
        <v>607</v>
      </c>
      <c r="BP116" t="s">
        <v>74</v>
      </c>
      <c r="BQ116" t="s">
        <v>74</v>
      </c>
      <c r="BR116" t="s">
        <v>101</v>
      </c>
      <c r="BS116" t="s">
        <v>2423</v>
      </c>
      <c r="BT116" t="str">
        <f>HYPERLINK("https%3A%2F%2Fwww.webofscience.com%2Fwos%2Fwoscc%2Ffull-record%2FWOS:000310261900002","View Full Record in Web of Science")</f>
        <v>View Full Record in Web of Science</v>
      </c>
    </row>
    <row r="117" spans="1:72" x14ac:dyDescent="0.15">
      <c r="A117" t="s">
        <v>72</v>
      </c>
      <c r="B117" t="s">
        <v>2424</v>
      </c>
      <c r="C117" t="s">
        <v>74</v>
      </c>
      <c r="D117" t="s">
        <v>74</v>
      </c>
      <c r="E117" t="s">
        <v>74</v>
      </c>
      <c r="F117" t="s">
        <v>2425</v>
      </c>
      <c r="G117" t="s">
        <v>74</v>
      </c>
      <c r="H117" t="s">
        <v>74</v>
      </c>
      <c r="I117" t="s">
        <v>2426</v>
      </c>
      <c r="J117" t="s">
        <v>1759</v>
      </c>
      <c r="K117" t="s">
        <v>74</v>
      </c>
      <c r="L117" t="s">
        <v>74</v>
      </c>
      <c r="M117" t="s">
        <v>78</v>
      </c>
      <c r="N117" t="s">
        <v>79</v>
      </c>
      <c r="O117" t="s">
        <v>74</v>
      </c>
      <c r="P117" t="s">
        <v>74</v>
      </c>
      <c r="Q117" t="s">
        <v>74</v>
      </c>
      <c r="R117" t="s">
        <v>74</v>
      </c>
      <c r="S117" t="s">
        <v>74</v>
      </c>
      <c r="T117" t="s">
        <v>2427</v>
      </c>
      <c r="U117" t="s">
        <v>2428</v>
      </c>
      <c r="V117" t="s">
        <v>2429</v>
      </c>
      <c r="W117" t="s">
        <v>2430</v>
      </c>
      <c r="X117" t="s">
        <v>2431</v>
      </c>
      <c r="Y117" t="s">
        <v>2432</v>
      </c>
      <c r="Z117" t="s">
        <v>2433</v>
      </c>
      <c r="AA117" t="s">
        <v>2434</v>
      </c>
      <c r="AB117" t="s">
        <v>2435</v>
      </c>
      <c r="AC117" t="s">
        <v>2436</v>
      </c>
      <c r="AD117" t="s">
        <v>2437</v>
      </c>
      <c r="AE117" t="s">
        <v>2438</v>
      </c>
      <c r="AF117" t="s">
        <v>74</v>
      </c>
      <c r="AG117">
        <v>73</v>
      </c>
      <c r="AH117">
        <v>118</v>
      </c>
      <c r="AI117">
        <v>126</v>
      </c>
      <c r="AJ117">
        <v>2</v>
      </c>
      <c r="AK117">
        <v>112</v>
      </c>
      <c r="AL117" t="s">
        <v>1771</v>
      </c>
      <c r="AM117" t="s">
        <v>90</v>
      </c>
      <c r="AN117" t="s">
        <v>1772</v>
      </c>
      <c r="AO117" t="s">
        <v>1773</v>
      </c>
      <c r="AP117" t="s">
        <v>1774</v>
      </c>
      <c r="AQ117" t="s">
        <v>74</v>
      </c>
      <c r="AR117" t="s">
        <v>1775</v>
      </c>
      <c r="AS117" t="s">
        <v>1776</v>
      </c>
      <c r="AT117" t="s">
        <v>867</v>
      </c>
      <c r="AU117">
        <v>2012</v>
      </c>
      <c r="AV117">
        <v>82</v>
      </c>
      <c r="AW117">
        <v>2</v>
      </c>
      <c r="AX117" t="s">
        <v>74</v>
      </c>
      <c r="AY117" t="s">
        <v>74</v>
      </c>
      <c r="AZ117" t="s">
        <v>74</v>
      </c>
      <c r="BA117" t="s">
        <v>74</v>
      </c>
      <c r="BB117">
        <v>254</v>
      </c>
      <c r="BC117">
        <v>267</v>
      </c>
      <c r="BD117" t="s">
        <v>74</v>
      </c>
      <c r="BE117" t="s">
        <v>2439</v>
      </c>
      <c r="BF117" t="str">
        <f>HYPERLINK("http://dx.doi.org/10.1111/j.1574-6941.2011.01277.x","http://dx.doi.org/10.1111/j.1574-6941.2011.01277.x")</f>
        <v>http://dx.doi.org/10.1111/j.1574-6941.2011.01277.x</v>
      </c>
      <c r="BG117" t="s">
        <v>74</v>
      </c>
      <c r="BH117" t="s">
        <v>74</v>
      </c>
      <c r="BI117">
        <v>14</v>
      </c>
      <c r="BJ117" t="s">
        <v>775</v>
      </c>
      <c r="BK117" t="s">
        <v>98</v>
      </c>
      <c r="BL117" t="s">
        <v>775</v>
      </c>
      <c r="BM117" t="s">
        <v>1778</v>
      </c>
      <c r="BN117">
        <v>22168226</v>
      </c>
      <c r="BO117" t="s">
        <v>607</v>
      </c>
      <c r="BP117" t="s">
        <v>74</v>
      </c>
      <c r="BQ117" t="s">
        <v>74</v>
      </c>
      <c r="BR117" t="s">
        <v>101</v>
      </c>
      <c r="BS117" t="s">
        <v>2440</v>
      </c>
      <c r="BT117" t="str">
        <f>HYPERLINK("https%3A%2F%2Fwww.webofscience.com%2Fwos%2Fwoscc%2Ffull-record%2FWOS:000310261900004","View Full Record in Web of Science")</f>
        <v>View Full Record in Web of Science</v>
      </c>
    </row>
    <row r="118" spans="1:72" x14ac:dyDescent="0.15">
      <c r="A118" t="s">
        <v>72</v>
      </c>
      <c r="B118" t="s">
        <v>2441</v>
      </c>
      <c r="C118" t="s">
        <v>74</v>
      </c>
      <c r="D118" t="s">
        <v>74</v>
      </c>
      <c r="E118" t="s">
        <v>74</v>
      </c>
      <c r="F118" t="s">
        <v>2442</v>
      </c>
      <c r="G118" t="s">
        <v>74</v>
      </c>
      <c r="H118" t="s">
        <v>74</v>
      </c>
      <c r="I118" t="s">
        <v>2443</v>
      </c>
      <c r="J118" t="s">
        <v>1759</v>
      </c>
      <c r="K118" t="s">
        <v>74</v>
      </c>
      <c r="L118" t="s">
        <v>74</v>
      </c>
      <c r="M118" t="s">
        <v>78</v>
      </c>
      <c r="N118" t="s">
        <v>974</v>
      </c>
      <c r="O118" t="s">
        <v>74</v>
      </c>
      <c r="P118" t="s">
        <v>74</v>
      </c>
      <c r="Q118" t="s">
        <v>74</v>
      </c>
      <c r="R118" t="s">
        <v>74</v>
      </c>
      <c r="S118" t="s">
        <v>74</v>
      </c>
      <c r="T118" t="s">
        <v>2444</v>
      </c>
      <c r="U118" t="s">
        <v>2445</v>
      </c>
      <c r="V118" t="s">
        <v>2446</v>
      </c>
      <c r="W118" t="s">
        <v>2447</v>
      </c>
      <c r="X118" t="s">
        <v>2448</v>
      </c>
      <c r="Y118" t="s">
        <v>2449</v>
      </c>
      <c r="Z118" t="s">
        <v>2450</v>
      </c>
      <c r="AA118" t="s">
        <v>2451</v>
      </c>
      <c r="AB118" t="s">
        <v>2452</v>
      </c>
      <c r="AC118" t="s">
        <v>2453</v>
      </c>
      <c r="AD118" t="s">
        <v>2454</v>
      </c>
      <c r="AE118" t="s">
        <v>2455</v>
      </c>
      <c r="AF118" t="s">
        <v>74</v>
      </c>
      <c r="AG118">
        <v>101</v>
      </c>
      <c r="AH118">
        <v>57</v>
      </c>
      <c r="AI118">
        <v>64</v>
      </c>
      <c r="AJ118">
        <v>0</v>
      </c>
      <c r="AK118">
        <v>93</v>
      </c>
      <c r="AL118" t="s">
        <v>1771</v>
      </c>
      <c r="AM118" t="s">
        <v>90</v>
      </c>
      <c r="AN118" t="s">
        <v>1772</v>
      </c>
      <c r="AO118" t="s">
        <v>1773</v>
      </c>
      <c r="AP118" t="s">
        <v>1774</v>
      </c>
      <c r="AQ118" t="s">
        <v>74</v>
      </c>
      <c r="AR118" t="s">
        <v>1775</v>
      </c>
      <c r="AS118" t="s">
        <v>1776</v>
      </c>
      <c r="AT118" t="s">
        <v>867</v>
      </c>
      <c r="AU118">
        <v>2012</v>
      </c>
      <c r="AV118">
        <v>82</v>
      </c>
      <c r="AW118">
        <v>2</v>
      </c>
      <c r="AX118" t="s">
        <v>74</v>
      </c>
      <c r="AY118" t="s">
        <v>74</v>
      </c>
      <c r="AZ118" t="s">
        <v>74</v>
      </c>
      <c r="BA118" t="s">
        <v>74</v>
      </c>
      <c r="BB118">
        <v>326</v>
      </c>
      <c r="BC118">
        <v>340</v>
      </c>
      <c r="BD118" t="s">
        <v>74</v>
      </c>
      <c r="BE118" t="s">
        <v>2456</v>
      </c>
      <c r="BF118" t="str">
        <f>HYPERLINK("http://dx.doi.org/10.1111/j.1574-6941.2012.01360.x","http://dx.doi.org/10.1111/j.1574-6941.2012.01360.x")</f>
        <v>http://dx.doi.org/10.1111/j.1574-6941.2012.01360.x</v>
      </c>
      <c r="BG118" t="s">
        <v>74</v>
      </c>
      <c r="BH118" t="s">
        <v>74</v>
      </c>
      <c r="BI118">
        <v>15</v>
      </c>
      <c r="BJ118" t="s">
        <v>775</v>
      </c>
      <c r="BK118" t="s">
        <v>98</v>
      </c>
      <c r="BL118" t="s">
        <v>775</v>
      </c>
      <c r="BM118" t="s">
        <v>1778</v>
      </c>
      <c r="BN118">
        <v>22428950</v>
      </c>
      <c r="BO118" t="s">
        <v>607</v>
      </c>
      <c r="BP118" t="s">
        <v>74</v>
      </c>
      <c r="BQ118" t="s">
        <v>74</v>
      </c>
      <c r="BR118" t="s">
        <v>101</v>
      </c>
      <c r="BS118" t="s">
        <v>2457</v>
      </c>
      <c r="BT118" t="str">
        <f>HYPERLINK("https%3A%2F%2Fwww.webofscience.com%2Fwos%2Fwoscc%2Ffull-record%2FWOS:000310261900010","View Full Record in Web of Science")</f>
        <v>View Full Record in Web of Science</v>
      </c>
    </row>
    <row r="119" spans="1:72" x14ac:dyDescent="0.15">
      <c r="A119" t="s">
        <v>72</v>
      </c>
      <c r="B119" t="s">
        <v>2458</v>
      </c>
      <c r="C119" t="s">
        <v>74</v>
      </c>
      <c r="D119" t="s">
        <v>74</v>
      </c>
      <c r="E119" t="s">
        <v>74</v>
      </c>
      <c r="F119" t="s">
        <v>2459</v>
      </c>
      <c r="G119" t="s">
        <v>74</v>
      </c>
      <c r="H119" t="s">
        <v>74</v>
      </c>
      <c r="I119" t="s">
        <v>2460</v>
      </c>
      <c r="J119" t="s">
        <v>1759</v>
      </c>
      <c r="K119" t="s">
        <v>74</v>
      </c>
      <c r="L119" t="s">
        <v>74</v>
      </c>
      <c r="M119" t="s">
        <v>78</v>
      </c>
      <c r="N119" t="s">
        <v>79</v>
      </c>
      <c r="O119" t="s">
        <v>74</v>
      </c>
      <c r="P119" t="s">
        <v>74</v>
      </c>
      <c r="Q119" t="s">
        <v>74</v>
      </c>
      <c r="R119" t="s">
        <v>74</v>
      </c>
      <c r="S119" t="s">
        <v>74</v>
      </c>
      <c r="T119" t="s">
        <v>2461</v>
      </c>
      <c r="U119" t="s">
        <v>2462</v>
      </c>
      <c r="V119" t="s">
        <v>2463</v>
      </c>
      <c r="W119" t="s">
        <v>2464</v>
      </c>
      <c r="X119" t="s">
        <v>2465</v>
      </c>
      <c r="Y119" t="s">
        <v>2466</v>
      </c>
      <c r="Z119" t="s">
        <v>2467</v>
      </c>
      <c r="AA119" t="s">
        <v>74</v>
      </c>
      <c r="AB119" t="s">
        <v>2468</v>
      </c>
      <c r="AC119" t="s">
        <v>2469</v>
      </c>
      <c r="AD119" t="s">
        <v>2470</v>
      </c>
      <c r="AE119" t="s">
        <v>2471</v>
      </c>
      <c r="AF119" t="s">
        <v>74</v>
      </c>
      <c r="AG119">
        <v>66</v>
      </c>
      <c r="AH119">
        <v>49</v>
      </c>
      <c r="AI119">
        <v>54</v>
      </c>
      <c r="AJ119">
        <v>1</v>
      </c>
      <c r="AK119">
        <v>56</v>
      </c>
      <c r="AL119" t="s">
        <v>1771</v>
      </c>
      <c r="AM119" t="s">
        <v>90</v>
      </c>
      <c r="AN119" t="s">
        <v>1772</v>
      </c>
      <c r="AO119" t="s">
        <v>1773</v>
      </c>
      <c r="AP119" t="s">
        <v>1774</v>
      </c>
      <c r="AQ119" t="s">
        <v>74</v>
      </c>
      <c r="AR119" t="s">
        <v>1775</v>
      </c>
      <c r="AS119" t="s">
        <v>1776</v>
      </c>
      <c r="AT119" t="s">
        <v>867</v>
      </c>
      <c r="AU119">
        <v>2012</v>
      </c>
      <c r="AV119">
        <v>82</v>
      </c>
      <c r="AW119">
        <v>2</v>
      </c>
      <c r="AX119" t="s">
        <v>74</v>
      </c>
      <c r="AY119" t="s">
        <v>74</v>
      </c>
      <c r="AZ119" t="s">
        <v>74</v>
      </c>
      <c r="BA119" t="s">
        <v>74</v>
      </c>
      <c r="BB119">
        <v>376</v>
      </c>
      <c r="BC119">
        <v>390</v>
      </c>
      <c r="BD119" t="s">
        <v>74</v>
      </c>
      <c r="BE119" t="s">
        <v>2472</v>
      </c>
      <c r="BF119" t="str">
        <f>HYPERLINK("http://dx.doi.org/10.1111/j.1574-6941.2012.01390.x","http://dx.doi.org/10.1111/j.1574-6941.2012.01390.x")</f>
        <v>http://dx.doi.org/10.1111/j.1574-6941.2012.01390.x</v>
      </c>
      <c r="BG119" t="s">
        <v>74</v>
      </c>
      <c r="BH119" t="s">
        <v>74</v>
      </c>
      <c r="BI119">
        <v>15</v>
      </c>
      <c r="BJ119" t="s">
        <v>775</v>
      </c>
      <c r="BK119" t="s">
        <v>98</v>
      </c>
      <c r="BL119" t="s">
        <v>775</v>
      </c>
      <c r="BM119" t="s">
        <v>1778</v>
      </c>
      <c r="BN119">
        <v>22500944</v>
      </c>
      <c r="BO119" t="s">
        <v>607</v>
      </c>
      <c r="BP119" t="s">
        <v>74</v>
      </c>
      <c r="BQ119" t="s">
        <v>74</v>
      </c>
      <c r="BR119" t="s">
        <v>101</v>
      </c>
      <c r="BS119" t="s">
        <v>2473</v>
      </c>
      <c r="BT119" t="str">
        <f>HYPERLINK("https%3A%2F%2Fwww.webofscience.com%2Fwos%2Fwoscc%2Ffull-record%2FWOS:000310261900014","View Full Record in Web of Science")</f>
        <v>View Full Record in Web of Science</v>
      </c>
    </row>
    <row r="120" spans="1:72" x14ac:dyDescent="0.15">
      <c r="A120" t="s">
        <v>72</v>
      </c>
      <c r="B120" t="s">
        <v>2474</v>
      </c>
      <c r="C120" t="s">
        <v>74</v>
      </c>
      <c r="D120" t="s">
        <v>74</v>
      </c>
      <c r="E120" t="s">
        <v>74</v>
      </c>
      <c r="F120" t="s">
        <v>2475</v>
      </c>
      <c r="G120" t="s">
        <v>74</v>
      </c>
      <c r="H120" t="s">
        <v>74</v>
      </c>
      <c r="I120" t="s">
        <v>2476</v>
      </c>
      <c r="J120" t="s">
        <v>1759</v>
      </c>
      <c r="K120" t="s">
        <v>74</v>
      </c>
      <c r="L120" t="s">
        <v>74</v>
      </c>
      <c r="M120" t="s">
        <v>78</v>
      </c>
      <c r="N120" t="s">
        <v>79</v>
      </c>
      <c r="O120" t="s">
        <v>74</v>
      </c>
      <c r="P120" t="s">
        <v>74</v>
      </c>
      <c r="Q120" t="s">
        <v>74</v>
      </c>
      <c r="R120" t="s">
        <v>74</v>
      </c>
      <c r="S120" t="s">
        <v>74</v>
      </c>
      <c r="T120" t="s">
        <v>2477</v>
      </c>
      <c r="U120" t="s">
        <v>2478</v>
      </c>
      <c r="V120" t="s">
        <v>2479</v>
      </c>
      <c r="W120" t="s">
        <v>2480</v>
      </c>
      <c r="X120" t="s">
        <v>2481</v>
      </c>
      <c r="Y120" t="s">
        <v>2482</v>
      </c>
      <c r="Z120" t="s">
        <v>2483</v>
      </c>
      <c r="AA120" t="s">
        <v>74</v>
      </c>
      <c r="AB120" t="s">
        <v>74</v>
      </c>
      <c r="AC120" t="s">
        <v>2484</v>
      </c>
      <c r="AD120" t="s">
        <v>2485</v>
      </c>
      <c r="AE120" t="s">
        <v>2486</v>
      </c>
      <c r="AF120" t="s">
        <v>74</v>
      </c>
      <c r="AG120">
        <v>70</v>
      </c>
      <c r="AH120">
        <v>59</v>
      </c>
      <c r="AI120">
        <v>62</v>
      </c>
      <c r="AJ120">
        <v>0</v>
      </c>
      <c r="AK120">
        <v>49</v>
      </c>
      <c r="AL120" t="s">
        <v>1771</v>
      </c>
      <c r="AM120" t="s">
        <v>90</v>
      </c>
      <c r="AN120" t="s">
        <v>1772</v>
      </c>
      <c r="AO120" t="s">
        <v>1773</v>
      </c>
      <c r="AP120" t="s">
        <v>1774</v>
      </c>
      <c r="AQ120" t="s">
        <v>74</v>
      </c>
      <c r="AR120" t="s">
        <v>1775</v>
      </c>
      <c r="AS120" t="s">
        <v>1776</v>
      </c>
      <c r="AT120" t="s">
        <v>867</v>
      </c>
      <c r="AU120">
        <v>2012</v>
      </c>
      <c r="AV120">
        <v>82</v>
      </c>
      <c r="AW120">
        <v>2</v>
      </c>
      <c r="AX120" t="s">
        <v>74</v>
      </c>
      <c r="AY120" t="s">
        <v>74</v>
      </c>
      <c r="AZ120" t="s">
        <v>74</v>
      </c>
      <c r="BA120" t="s">
        <v>74</v>
      </c>
      <c r="BB120">
        <v>391</v>
      </c>
      <c r="BC120">
        <v>404</v>
      </c>
      <c r="BD120" t="s">
        <v>74</v>
      </c>
      <c r="BE120" t="s">
        <v>2487</v>
      </c>
      <c r="BF120" t="str">
        <f>HYPERLINK("http://dx.doi.org/10.1111/j.1574-6941.2012.01394.x","http://dx.doi.org/10.1111/j.1574-6941.2012.01394.x")</f>
        <v>http://dx.doi.org/10.1111/j.1574-6941.2012.01394.x</v>
      </c>
      <c r="BG120" t="s">
        <v>74</v>
      </c>
      <c r="BH120" t="s">
        <v>74</v>
      </c>
      <c r="BI120">
        <v>14</v>
      </c>
      <c r="BJ120" t="s">
        <v>775</v>
      </c>
      <c r="BK120" t="s">
        <v>98</v>
      </c>
      <c r="BL120" t="s">
        <v>775</v>
      </c>
      <c r="BM120" t="s">
        <v>1778</v>
      </c>
      <c r="BN120">
        <v>22512730</v>
      </c>
      <c r="BO120" t="s">
        <v>607</v>
      </c>
      <c r="BP120" t="s">
        <v>74</v>
      </c>
      <c r="BQ120" t="s">
        <v>74</v>
      </c>
      <c r="BR120" t="s">
        <v>101</v>
      </c>
      <c r="BS120" t="s">
        <v>2488</v>
      </c>
      <c r="BT120" t="str">
        <f>HYPERLINK("https%3A%2F%2Fwww.webofscience.com%2Fwos%2Fwoscc%2Ffull-record%2FWOS:000310261900015","View Full Record in Web of Science")</f>
        <v>View Full Record in Web of Science</v>
      </c>
    </row>
    <row r="121" spans="1:72" x14ac:dyDescent="0.15">
      <c r="A121" t="s">
        <v>72</v>
      </c>
      <c r="B121" t="s">
        <v>2489</v>
      </c>
      <c r="C121" t="s">
        <v>74</v>
      </c>
      <c r="D121" t="s">
        <v>74</v>
      </c>
      <c r="E121" t="s">
        <v>74</v>
      </c>
      <c r="F121" t="s">
        <v>2490</v>
      </c>
      <c r="G121" t="s">
        <v>74</v>
      </c>
      <c r="H121" t="s">
        <v>74</v>
      </c>
      <c r="I121" t="s">
        <v>2491</v>
      </c>
      <c r="J121" t="s">
        <v>1759</v>
      </c>
      <c r="K121" t="s">
        <v>74</v>
      </c>
      <c r="L121" t="s">
        <v>74</v>
      </c>
      <c r="M121" t="s">
        <v>78</v>
      </c>
      <c r="N121" t="s">
        <v>79</v>
      </c>
      <c r="O121" t="s">
        <v>74</v>
      </c>
      <c r="P121" t="s">
        <v>74</v>
      </c>
      <c r="Q121" t="s">
        <v>74</v>
      </c>
      <c r="R121" t="s">
        <v>74</v>
      </c>
      <c r="S121" t="s">
        <v>74</v>
      </c>
      <c r="T121" t="s">
        <v>2492</v>
      </c>
      <c r="U121" t="s">
        <v>2493</v>
      </c>
      <c r="V121" t="s">
        <v>2494</v>
      </c>
      <c r="W121" t="s">
        <v>2495</v>
      </c>
      <c r="X121" t="s">
        <v>2496</v>
      </c>
      <c r="Y121" t="s">
        <v>1765</v>
      </c>
      <c r="Z121" t="s">
        <v>1766</v>
      </c>
      <c r="AA121" t="s">
        <v>2497</v>
      </c>
      <c r="AB121" t="s">
        <v>2498</v>
      </c>
      <c r="AC121" t="s">
        <v>2499</v>
      </c>
      <c r="AD121" t="s">
        <v>2500</v>
      </c>
      <c r="AE121" t="s">
        <v>2501</v>
      </c>
      <c r="AF121" t="s">
        <v>74</v>
      </c>
      <c r="AG121">
        <v>57</v>
      </c>
      <c r="AH121">
        <v>40</v>
      </c>
      <c r="AI121">
        <v>41</v>
      </c>
      <c r="AJ121">
        <v>1</v>
      </c>
      <c r="AK121">
        <v>74</v>
      </c>
      <c r="AL121" t="s">
        <v>1771</v>
      </c>
      <c r="AM121" t="s">
        <v>90</v>
      </c>
      <c r="AN121" t="s">
        <v>1772</v>
      </c>
      <c r="AO121" t="s">
        <v>1773</v>
      </c>
      <c r="AP121" t="s">
        <v>1774</v>
      </c>
      <c r="AQ121" t="s">
        <v>74</v>
      </c>
      <c r="AR121" t="s">
        <v>1775</v>
      </c>
      <c r="AS121" t="s">
        <v>1776</v>
      </c>
      <c r="AT121" t="s">
        <v>867</v>
      </c>
      <c r="AU121">
        <v>2012</v>
      </c>
      <c r="AV121">
        <v>82</v>
      </c>
      <c r="AW121">
        <v>2</v>
      </c>
      <c r="AX121" t="s">
        <v>74</v>
      </c>
      <c r="AY121" t="s">
        <v>74</v>
      </c>
      <c r="AZ121" t="s">
        <v>74</v>
      </c>
      <c r="BA121" t="s">
        <v>74</v>
      </c>
      <c r="BB121">
        <v>416</v>
      </c>
      <c r="BC121">
        <v>428</v>
      </c>
      <c r="BD121" t="s">
        <v>74</v>
      </c>
      <c r="BE121" t="s">
        <v>2502</v>
      </c>
      <c r="BF121" t="str">
        <f>HYPERLINK("http://dx.doi.org/10.1111/j.1574-6941.2012.01418.x","http://dx.doi.org/10.1111/j.1574-6941.2012.01418.x")</f>
        <v>http://dx.doi.org/10.1111/j.1574-6941.2012.01418.x</v>
      </c>
      <c r="BG121" t="s">
        <v>74</v>
      </c>
      <c r="BH121" t="s">
        <v>74</v>
      </c>
      <c r="BI121">
        <v>13</v>
      </c>
      <c r="BJ121" t="s">
        <v>775</v>
      </c>
      <c r="BK121" t="s">
        <v>98</v>
      </c>
      <c r="BL121" t="s">
        <v>775</v>
      </c>
      <c r="BM121" t="s">
        <v>1778</v>
      </c>
      <c r="BN121">
        <v>22630054</v>
      </c>
      <c r="BO121" t="s">
        <v>607</v>
      </c>
      <c r="BP121" t="s">
        <v>74</v>
      </c>
      <c r="BQ121" t="s">
        <v>74</v>
      </c>
      <c r="BR121" t="s">
        <v>101</v>
      </c>
      <c r="BS121" t="s">
        <v>2503</v>
      </c>
      <c r="BT121" t="str">
        <f>HYPERLINK("https%3A%2F%2Fwww.webofscience.com%2Fwos%2Fwoscc%2Ffull-record%2FWOS:000310261900017","View Full Record in Web of Science")</f>
        <v>View Full Record in Web of Science</v>
      </c>
    </row>
    <row r="122" spans="1:72" x14ac:dyDescent="0.15">
      <c r="A122" t="s">
        <v>72</v>
      </c>
      <c r="B122" t="s">
        <v>2504</v>
      </c>
      <c r="C122" t="s">
        <v>74</v>
      </c>
      <c r="D122" t="s">
        <v>74</v>
      </c>
      <c r="E122" t="s">
        <v>74</v>
      </c>
      <c r="F122" t="s">
        <v>2505</v>
      </c>
      <c r="G122" t="s">
        <v>74</v>
      </c>
      <c r="H122" t="s">
        <v>74</v>
      </c>
      <c r="I122" t="s">
        <v>2506</v>
      </c>
      <c r="J122" t="s">
        <v>1759</v>
      </c>
      <c r="K122" t="s">
        <v>74</v>
      </c>
      <c r="L122" t="s">
        <v>74</v>
      </c>
      <c r="M122" t="s">
        <v>78</v>
      </c>
      <c r="N122" t="s">
        <v>79</v>
      </c>
      <c r="O122" t="s">
        <v>74</v>
      </c>
      <c r="P122" t="s">
        <v>74</v>
      </c>
      <c r="Q122" t="s">
        <v>74</v>
      </c>
      <c r="R122" t="s">
        <v>74</v>
      </c>
      <c r="S122" t="s">
        <v>74</v>
      </c>
      <c r="T122" t="s">
        <v>2507</v>
      </c>
      <c r="U122" t="s">
        <v>2508</v>
      </c>
      <c r="V122" t="s">
        <v>2509</v>
      </c>
      <c r="W122" t="s">
        <v>2510</v>
      </c>
      <c r="X122" t="s">
        <v>2511</v>
      </c>
      <c r="Y122" t="s">
        <v>2512</v>
      </c>
      <c r="Z122" t="s">
        <v>2513</v>
      </c>
      <c r="AA122" t="s">
        <v>2514</v>
      </c>
      <c r="AB122" t="s">
        <v>74</v>
      </c>
      <c r="AC122" t="s">
        <v>2515</v>
      </c>
      <c r="AD122" t="s">
        <v>2516</v>
      </c>
      <c r="AE122" t="s">
        <v>2517</v>
      </c>
      <c r="AF122" t="s">
        <v>74</v>
      </c>
      <c r="AG122">
        <v>44</v>
      </c>
      <c r="AH122">
        <v>103</v>
      </c>
      <c r="AI122">
        <v>112</v>
      </c>
      <c r="AJ122">
        <v>0</v>
      </c>
      <c r="AK122">
        <v>49</v>
      </c>
      <c r="AL122" t="s">
        <v>1771</v>
      </c>
      <c r="AM122" t="s">
        <v>90</v>
      </c>
      <c r="AN122" t="s">
        <v>1772</v>
      </c>
      <c r="AO122" t="s">
        <v>1773</v>
      </c>
      <c r="AP122" t="s">
        <v>1774</v>
      </c>
      <c r="AQ122" t="s">
        <v>74</v>
      </c>
      <c r="AR122" t="s">
        <v>1775</v>
      </c>
      <c r="AS122" t="s">
        <v>1776</v>
      </c>
      <c r="AT122" t="s">
        <v>867</v>
      </c>
      <c r="AU122">
        <v>2012</v>
      </c>
      <c r="AV122">
        <v>82</v>
      </c>
      <c r="AW122">
        <v>2</v>
      </c>
      <c r="AX122" t="s">
        <v>74</v>
      </c>
      <c r="AY122" t="s">
        <v>74</v>
      </c>
      <c r="AZ122" t="s">
        <v>74</v>
      </c>
      <c r="BA122" t="s">
        <v>74</v>
      </c>
      <c r="BB122">
        <v>459</v>
      </c>
      <c r="BC122">
        <v>471</v>
      </c>
      <c r="BD122" t="s">
        <v>74</v>
      </c>
      <c r="BE122" t="s">
        <v>2518</v>
      </c>
      <c r="BF122" t="str">
        <f>HYPERLINK("http://dx.doi.org/10.1111/j.1574-6941.2012.01424.x","http://dx.doi.org/10.1111/j.1574-6941.2012.01424.x")</f>
        <v>http://dx.doi.org/10.1111/j.1574-6941.2012.01424.x</v>
      </c>
      <c r="BG122" t="s">
        <v>74</v>
      </c>
      <c r="BH122" t="s">
        <v>74</v>
      </c>
      <c r="BI122">
        <v>13</v>
      </c>
      <c r="BJ122" t="s">
        <v>775</v>
      </c>
      <c r="BK122" t="s">
        <v>98</v>
      </c>
      <c r="BL122" t="s">
        <v>775</v>
      </c>
      <c r="BM122" t="s">
        <v>1778</v>
      </c>
      <c r="BN122">
        <v>22671312</v>
      </c>
      <c r="BO122" t="s">
        <v>607</v>
      </c>
      <c r="BP122" t="s">
        <v>74</v>
      </c>
      <c r="BQ122" t="s">
        <v>74</v>
      </c>
      <c r="BR122" t="s">
        <v>101</v>
      </c>
      <c r="BS122" t="s">
        <v>2519</v>
      </c>
      <c r="BT122" t="str">
        <f>HYPERLINK("https%3A%2F%2Fwww.webofscience.com%2Fwos%2Fwoscc%2Ffull-record%2FWOS:000310261900020","View Full Record in Web of Science")</f>
        <v>View Full Record in Web of Science</v>
      </c>
    </row>
    <row r="123" spans="1:72" x14ac:dyDescent="0.15">
      <c r="A123" t="s">
        <v>72</v>
      </c>
      <c r="B123" t="s">
        <v>2520</v>
      </c>
      <c r="C123" t="s">
        <v>74</v>
      </c>
      <c r="D123" t="s">
        <v>74</v>
      </c>
      <c r="E123" t="s">
        <v>74</v>
      </c>
      <c r="F123" t="s">
        <v>2521</v>
      </c>
      <c r="G123" t="s">
        <v>74</v>
      </c>
      <c r="H123" t="s">
        <v>74</v>
      </c>
      <c r="I123" t="s">
        <v>2522</v>
      </c>
      <c r="J123" t="s">
        <v>1759</v>
      </c>
      <c r="K123" t="s">
        <v>74</v>
      </c>
      <c r="L123" t="s">
        <v>74</v>
      </c>
      <c r="M123" t="s">
        <v>78</v>
      </c>
      <c r="N123" t="s">
        <v>79</v>
      </c>
      <c r="O123" t="s">
        <v>74</v>
      </c>
      <c r="P123" t="s">
        <v>74</v>
      </c>
      <c r="Q123" t="s">
        <v>74</v>
      </c>
      <c r="R123" t="s">
        <v>74</v>
      </c>
      <c r="S123" t="s">
        <v>74</v>
      </c>
      <c r="T123" t="s">
        <v>2523</v>
      </c>
      <c r="U123" t="s">
        <v>2524</v>
      </c>
      <c r="V123" t="s">
        <v>2525</v>
      </c>
      <c r="W123" t="s">
        <v>2526</v>
      </c>
      <c r="X123" t="s">
        <v>2527</v>
      </c>
      <c r="Y123" t="s">
        <v>2528</v>
      </c>
      <c r="Z123" t="s">
        <v>2529</v>
      </c>
      <c r="AA123" t="s">
        <v>2530</v>
      </c>
      <c r="AB123" t="s">
        <v>2531</v>
      </c>
      <c r="AC123" t="s">
        <v>2532</v>
      </c>
      <c r="AD123" t="s">
        <v>2533</v>
      </c>
      <c r="AE123" t="s">
        <v>2534</v>
      </c>
      <c r="AF123" t="s">
        <v>74</v>
      </c>
      <c r="AG123">
        <v>70</v>
      </c>
      <c r="AH123">
        <v>26</v>
      </c>
      <c r="AI123">
        <v>29</v>
      </c>
      <c r="AJ123">
        <v>0</v>
      </c>
      <c r="AK123">
        <v>49</v>
      </c>
      <c r="AL123" t="s">
        <v>1771</v>
      </c>
      <c r="AM123" t="s">
        <v>90</v>
      </c>
      <c r="AN123" t="s">
        <v>1772</v>
      </c>
      <c r="AO123" t="s">
        <v>1773</v>
      </c>
      <c r="AP123" t="s">
        <v>1774</v>
      </c>
      <c r="AQ123" t="s">
        <v>74</v>
      </c>
      <c r="AR123" t="s">
        <v>1775</v>
      </c>
      <c r="AS123" t="s">
        <v>1776</v>
      </c>
      <c r="AT123" t="s">
        <v>867</v>
      </c>
      <c r="AU123">
        <v>2012</v>
      </c>
      <c r="AV123">
        <v>82</v>
      </c>
      <c r="AW123">
        <v>2</v>
      </c>
      <c r="AX123" t="s">
        <v>74</v>
      </c>
      <c r="AY123" t="s">
        <v>74</v>
      </c>
      <c r="AZ123" t="s">
        <v>74</v>
      </c>
      <c r="BA123" t="s">
        <v>74</v>
      </c>
      <c r="BB123">
        <v>482</v>
      </c>
      <c r="BC123">
        <v>490</v>
      </c>
      <c r="BD123" t="s">
        <v>74</v>
      </c>
      <c r="BE123" t="s">
        <v>2535</v>
      </c>
      <c r="BF123" t="str">
        <f>HYPERLINK("http://dx.doi.org/10.1111/j.1574-6941.2012.01426.x","http://dx.doi.org/10.1111/j.1574-6941.2012.01426.x")</f>
        <v>http://dx.doi.org/10.1111/j.1574-6941.2012.01426.x</v>
      </c>
      <c r="BG123" t="s">
        <v>74</v>
      </c>
      <c r="BH123" t="s">
        <v>74</v>
      </c>
      <c r="BI123">
        <v>9</v>
      </c>
      <c r="BJ123" t="s">
        <v>775</v>
      </c>
      <c r="BK123" t="s">
        <v>98</v>
      </c>
      <c r="BL123" t="s">
        <v>775</v>
      </c>
      <c r="BM123" t="s">
        <v>1778</v>
      </c>
      <c r="BN123">
        <v>22671691</v>
      </c>
      <c r="BO123" t="s">
        <v>607</v>
      </c>
      <c r="BP123" t="s">
        <v>74</v>
      </c>
      <c r="BQ123" t="s">
        <v>74</v>
      </c>
      <c r="BR123" t="s">
        <v>101</v>
      </c>
      <c r="BS123" t="s">
        <v>2536</v>
      </c>
      <c r="BT123" t="str">
        <f>HYPERLINK("https%3A%2F%2Fwww.webofscience.com%2Fwos%2Fwoscc%2Ffull-record%2FWOS:000310261900022","View Full Record in Web of Science")</f>
        <v>View Full Record in Web of Science</v>
      </c>
    </row>
    <row r="124" spans="1:72" x14ac:dyDescent="0.15">
      <c r="A124" t="s">
        <v>72</v>
      </c>
      <c r="B124" t="s">
        <v>2537</v>
      </c>
      <c r="C124" t="s">
        <v>74</v>
      </c>
      <c r="D124" t="s">
        <v>74</v>
      </c>
      <c r="E124" t="s">
        <v>74</v>
      </c>
      <c r="F124" t="s">
        <v>2538</v>
      </c>
      <c r="G124" t="s">
        <v>74</v>
      </c>
      <c r="H124" t="s">
        <v>74</v>
      </c>
      <c r="I124" t="s">
        <v>2539</v>
      </c>
      <c r="J124" t="s">
        <v>1759</v>
      </c>
      <c r="K124" t="s">
        <v>74</v>
      </c>
      <c r="L124" t="s">
        <v>74</v>
      </c>
      <c r="M124" t="s">
        <v>78</v>
      </c>
      <c r="N124" t="s">
        <v>79</v>
      </c>
      <c r="O124" t="s">
        <v>74</v>
      </c>
      <c r="P124" t="s">
        <v>74</v>
      </c>
      <c r="Q124" t="s">
        <v>74</v>
      </c>
      <c r="R124" t="s">
        <v>74</v>
      </c>
      <c r="S124" t="s">
        <v>74</v>
      </c>
      <c r="T124" t="s">
        <v>2540</v>
      </c>
      <c r="U124" t="s">
        <v>2541</v>
      </c>
      <c r="V124" t="s">
        <v>2542</v>
      </c>
      <c r="W124" t="s">
        <v>2543</v>
      </c>
      <c r="X124" t="s">
        <v>2544</v>
      </c>
      <c r="Y124" t="s">
        <v>2545</v>
      </c>
      <c r="Z124" t="s">
        <v>2546</v>
      </c>
      <c r="AA124" t="s">
        <v>2547</v>
      </c>
      <c r="AB124" t="s">
        <v>2548</v>
      </c>
      <c r="AC124" t="s">
        <v>2549</v>
      </c>
      <c r="AD124" t="s">
        <v>2550</v>
      </c>
      <c r="AE124" t="s">
        <v>2551</v>
      </c>
      <c r="AF124" t="s">
        <v>74</v>
      </c>
      <c r="AG124">
        <v>32</v>
      </c>
      <c r="AH124">
        <v>44</v>
      </c>
      <c r="AI124">
        <v>50</v>
      </c>
      <c r="AJ124">
        <v>1</v>
      </c>
      <c r="AK124">
        <v>38</v>
      </c>
      <c r="AL124" t="s">
        <v>1771</v>
      </c>
      <c r="AM124" t="s">
        <v>90</v>
      </c>
      <c r="AN124" t="s">
        <v>1772</v>
      </c>
      <c r="AO124" t="s">
        <v>1773</v>
      </c>
      <c r="AP124" t="s">
        <v>1774</v>
      </c>
      <c r="AQ124" t="s">
        <v>74</v>
      </c>
      <c r="AR124" t="s">
        <v>1775</v>
      </c>
      <c r="AS124" t="s">
        <v>1776</v>
      </c>
      <c r="AT124" t="s">
        <v>867</v>
      </c>
      <c r="AU124">
        <v>2012</v>
      </c>
      <c r="AV124">
        <v>82</v>
      </c>
      <c r="AW124">
        <v>2</v>
      </c>
      <c r="AX124" t="s">
        <v>74</v>
      </c>
      <c r="AY124" t="s">
        <v>74</v>
      </c>
      <c r="AZ124" t="s">
        <v>74</v>
      </c>
      <c r="BA124" t="s">
        <v>74</v>
      </c>
      <c r="BB124">
        <v>501</v>
      </c>
      <c r="BC124">
        <v>509</v>
      </c>
      <c r="BD124" t="s">
        <v>74</v>
      </c>
      <c r="BE124" t="s">
        <v>2552</v>
      </c>
      <c r="BF124" t="str">
        <f>HYPERLINK("http://dx.doi.org/10.1111/j.1574-6941.2012.01442.x","http://dx.doi.org/10.1111/j.1574-6941.2012.01442.x")</f>
        <v>http://dx.doi.org/10.1111/j.1574-6941.2012.01442.x</v>
      </c>
      <c r="BG124" t="s">
        <v>74</v>
      </c>
      <c r="BH124" t="s">
        <v>74</v>
      </c>
      <c r="BI124">
        <v>9</v>
      </c>
      <c r="BJ124" t="s">
        <v>775</v>
      </c>
      <c r="BK124" t="s">
        <v>98</v>
      </c>
      <c r="BL124" t="s">
        <v>775</v>
      </c>
      <c r="BM124" t="s">
        <v>1778</v>
      </c>
      <c r="BN124">
        <v>22757669</v>
      </c>
      <c r="BO124" t="s">
        <v>607</v>
      </c>
      <c r="BP124" t="s">
        <v>74</v>
      </c>
      <c r="BQ124" t="s">
        <v>74</v>
      </c>
      <c r="BR124" t="s">
        <v>101</v>
      </c>
      <c r="BS124" t="s">
        <v>2553</v>
      </c>
      <c r="BT124" t="str">
        <f>HYPERLINK("https%3A%2F%2Fwww.webofscience.com%2Fwos%2Fwoscc%2Ffull-record%2FWOS:000310261900024","View Full Record in Web of Science")</f>
        <v>View Full Record in Web of Science</v>
      </c>
    </row>
    <row r="125" spans="1:72" x14ac:dyDescent="0.15">
      <c r="A125" t="s">
        <v>72</v>
      </c>
      <c r="B125" t="s">
        <v>2554</v>
      </c>
      <c r="C125" t="s">
        <v>74</v>
      </c>
      <c r="D125" t="s">
        <v>74</v>
      </c>
      <c r="E125" t="s">
        <v>74</v>
      </c>
      <c r="F125" t="s">
        <v>2555</v>
      </c>
      <c r="G125" t="s">
        <v>74</v>
      </c>
      <c r="H125" t="s">
        <v>74</v>
      </c>
      <c r="I125" t="s">
        <v>2556</v>
      </c>
      <c r="J125" t="s">
        <v>2557</v>
      </c>
      <c r="K125" t="s">
        <v>74</v>
      </c>
      <c r="L125" t="s">
        <v>74</v>
      </c>
      <c r="M125" t="s">
        <v>78</v>
      </c>
      <c r="N125" t="s">
        <v>79</v>
      </c>
      <c r="O125" t="s">
        <v>74</v>
      </c>
      <c r="P125" t="s">
        <v>74</v>
      </c>
      <c r="Q125" t="s">
        <v>74</v>
      </c>
      <c r="R125" t="s">
        <v>74</v>
      </c>
      <c r="S125" t="s">
        <v>74</v>
      </c>
      <c r="T125" t="s">
        <v>74</v>
      </c>
      <c r="U125" t="s">
        <v>2558</v>
      </c>
      <c r="V125" t="s">
        <v>2559</v>
      </c>
      <c r="W125" t="s">
        <v>2560</v>
      </c>
      <c r="X125" t="s">
        <v>2561</v>
      </c>
      <c r="Y125" t="s">
        <v>2562</v>
      </c>
      <c r="Z125" t="s">
        <v>2563</v>
      </c>
      <c r="AA125" t="s">
        <v>2564</v>
      </c>
      <c r="AB125" t="s">
        <v>2565</v>
      </c>
      <c r="AC125" t="s">
        <v>2566</v>
      </c>
      <c r="AD125" t="s">
        <v>2567</v>
      </c>
      <c r="AE125" t="s">
        <v>2568</v>
      </c>
      <c r="AF125" t="s">
        <v>74</v>
      </c>
      <c r="AG125">
        <v>80</v>
      </c>
      <c r="AH125">
        <v>26</v>
      </c>
      <c r="AI125">
        <v>30</v>
      </c>
      <c r="AJ125">
        <v>2</v>
      </c>
      <c r="AK125">
        <v>40</v>
      </c>
      <c r="AL125" t="s">
        <v>898</v>
      </c>
      <c r="AM125" t="s">
        <v>899</v>
      </c>
      <c r="AN125" t="s">
        <v>900</v>
      </c>
      <c r="AO125" t="s">
        <v>2569</v>
      </c>
      <c r="AP125" t="s">
        <v>2570</v>
      </c>
      <c r="AQ125" t="s">
        <v>74</v>
      </c>
      <c r="AR125" t="s">
        <v>2557</v>
      </c>
      <c r="AS125" t="s">
        <v>2571</v>
      </c>
      <c r="AT125" t="s">
        <v>867</v>
      </c>
      <c r="AU125">
        <v>2012</v>
      </c>
      <c r="AV125">
        <v>10</v>
      </c>
      <c r="AW125">
        <v>6</v>
      </c>
      <c r="AX125" t="s">
        <v>74</v>
      </c>
      <c r="AY125" t="s">
        <v>74</v>
      </c>
      <c r="AZ125" t="s">
        <v>74</v>
      </c>
      <c r="BA125" t="s">
        <v>74</v>
      </c>
      <c r="BB125">
        <v>479</v>
      </c>
      <c r="BC125">
        <v>495</v>
      </c>
      <c r="BD125" t="s">
        <v>74</v>
      </c>
      <c r="BE125" t="s">
        <v>2572</v>
      </c>
      <c r="BF125" t="str">
        <f>HYPERLINK("http://dx.doi.org/10.1111/j.1472-4669.2012.00338.x","http://dx.doi.org/10.1111/j.1472-4669.2012.00338.x")</f>
        <v>http://dx.doi.org/10.1111/j.1472-4669.2012.00338.x</v>
      </c>
      <c r="BG125" t="s">
        <v>74</v>
      </c>
      <c r="BH125" t="s">
        <v>74</v>
      </c>
      <c r="BI125">
        <v>17</v>
      </c>
      <c r="BJ125" t="s">
        <v>2573</v>
      </c>
      <c r="BK125" t="s">
        <v>98</v>
      </c>
      <c r="BL125" t="s">
        <v>2574</v>
      </c>
      <c r="BM125" t="s">
        <v>2575</v>
      </c>
      <c r="BN125">
        <v>22845834</v>
      </c>
      <c r="BO125" t="s">
        <v>74</v>
      </c>
      <c r="BP125" t="s">
        <v>74</v>
      </c>
      <c r="BQ125" t="s">
        <v>74</v>
      </c>
      <c r="BR125" t="s">
        <v>101</v>
      </c>
      <c r="BS125" t="s">
        <v>2576</v>
      </c>
      <c r="BT125" t="str">
        <f>HYPERLINK("https%3A%2F%2Fwww.webofscience.com%2Fwos%2Fwoscc%2Ffull-record%2FWOS:000309917100002","View Full Record in Web of Science")</f>
        <v>View Full Record in Web of Science</v>
      </c>
    </row>
    <row r="126" spans="1:72" x14ac:dyDescent="0.15">
      <c r="A126" t="s">
        <v>72</v>
      </c>
      <c r="B126" t="s">
        <v>2577</v>
      </c>
      <c r="C126" t="s">
        <v>74</v>
      </c>
      <c r="D126" t="s">
        <v>74</v>
      </c>
      <c r="E126" t="s">
        <v>74</v>
      </c>
      <c r="F126" t="s">
        <v>2578</v>
      </c>
      <c r="G126" t="s">
        <v>74</v>
      </c>
      <c r="H126" t="s">
        <v>74</v>
      </c>
      <c r="I126" t="s">
        <v>2579</v>
      </c>
      <c r="J126" t="s">
        <v>2580</v>
      </c>
      <c r="K126" t="s">
        <v>74</v>
      </c>
      <c r="L126" t="s">
        <v>74</v>
      </c>
      <c r="M126" t="s">
        <v>78</v>
      </c>
      <c r="N126" t="s">
        <v>79</v>
      </c>
      <c r="O126" t="s">
        <v>74</v>
      </c>
      <c r="P126" t="s">
        <v>74</v>
      </c>
      <c r="Q126" t="s">
        <v>74</v>
      </c>
      <c r="R126" t="s">
        <v>74</v>
      </c>
      <c r="S126" t="s">
        <v>74</v>
      </c>
      <c r="T126" t="s">
        <v>74</v>
      </c>
      <c r="U126" t="s">
        <v>2581</v>
      </c>
      <c r="V126" t="s">
        <v>2582</v>
      </c>
      <c r="W126" t="s">
        <v>2583</v>
      </c>
      <c r="X126" t="s">
        <v>2584</v>
      </c>
      <c r="Y126" t="s">
        <v>2585</v>
      </c>
      <c r="Z126" t="s">
        <v>2586</v>
      </c>
      <c r="AA126" t="s">
        <v>2587</v>
      </c>
      <c r="AB126" t="s">
        <v>2588</v>
      </c>
      <c r="AC126" t="s">
        <v>2589</v>
      </c>
      <c r="AD126" t="s">
        <v>2590</v>
      </c>
      <c r="AE126" t="s">
        <v>2591</v>
      </c>
      <c r="AF126" t="s">
        <v>74</v>
      </c>
      <c r="AG126">
        <v>59</v>
      </c>
      <c r="AH126">
        <v>56</v>
      </c>
      <c r="AI126">
        <v>58</v>
      </c>
      <c r="AJ126">
        <v>0</v>
      </c>
      <c r="AK126">
        <v>64</v>
      </c>
      <c r="AL126" t="s">
        <v>89</v>
      </c>
      <c r="AM126" t="s">
        <v>90</v>
      </c>
      <c r="AN126" t="s">
        <v>91</v>
      </c>
      <c r="AO126" t="s">
        <v>2592</v>
      </c>
      <c r="AP126" t="s">
        <v>2593</v>
      </c>
      <c r="AQ126" t="s">
        <v>74</v>
      </c>
      <c r="AR126" t="s">
        <v>2594</v>
      </c>
      <c r="AS126" t="s">
        <v>2595</v>
      </c>
      <c r="AT126" t="s">
        <v>964</v>
      </c>
      <c r="AU126">
        <v>2012</v>
      </c>
      <c r="AV126">
        <v>96</v>
      </c>
      <c r="AW126" t="s">
        <v>74</v>
      </c>
      <c r="AX126" t="s">
        <v>74</v>
      </c>
      <c r="AY126" t="s">
        <v>74</v>
      </c>
      <c r="AZ126" t="s">
        <v>74</v>
      </c>
      <c r="BA126" t="s">
        <v>74</v>
      </c>
      <c r="BB126">
        <v>174</v>
      </c>
      <c r="BC126">
        <v>192</v>
      </c>
      <c r="BD126" t="s">
        <v>74</v>
      </c>
      <c r="BE126" t="s">
        <v>2596</v>
      </c>
      <c r="BF126" t="str">
        <f>HYPERLINK("http://dx.doi.org/10.1016/j.gca.2012.08.002","http://dx.doi.org/10.1016/j.gca.2012.08.002")</f>
        <v>http://dx.doi.org/10.1016/j.gca.2012.08.002</v>
      </c>
      <c r="BG126" t="s">
        <v>74</v>
      </c>
      <c r="BH126" t="s">
        <v>74</v>
      </c>
      <c r="BI126">
        <v>19</v>
      </c>
      <c r="BJ126" t="s">
        <v>241</v>
      </c>
      <c r="BK126" t="s">
        <v>98</v>
      </c>
      <c r="BL126" t="s">
        <v>241</v>
      </c>
      <c r="BM126" t="s">
        <v>2597</v>
      </c>
      <c r="BN126" t="s">
        <v>74</v>
      </c>
      <c r="BO126" t="s">
        <v>217</v>
      </c>
      <c r="BP126" t="s">
        <v>74</v>
      </c>
      <c r="BQ126" t="s">
        <v>74</v>
      </c>
      <c r="BR126" t="s">
        <v>101</v>
      </c>
      <c r="BS126" t="s">
        <v>2598</v>
      </c>
      <c r="BT126" t="str">
        <f>HYPERLINK("https%3A%2F%2Fwww.webofscience.com%2Fwos%2Fwoscc%2Ffull-record%2FWOS:000310427200012","View Full Record in Web of Science")</f>
        <v>View Full Record in Web of Science</v>
      </c>
    </row>
    <row r="127" spans="1:72" x14ac:dyDescent="0.15">
      <c r="A127" t="s">
        <v>72</v>
      </c>
      <c r="B127" t="s">
        <v>2599</v>
      </c>
      <c r="C127" t="s">
        <v>74</v>
      </c>
      <c r="D127" t="s">
        <v>74</v>
      </c>
      <c r="E127" t="s">
        <v>74</v>
      </c>
      <c r="F127" t="s">
        <v>2600</v>
      </c>
      <c r="G127" t="s">
        <v>74</v>
      </c>
      <c r="H127" t="s">
        <v>74</v>
      </c>
      <c r="I127" t="s">
        <v>2601</v>
      </c>
      <c r="J127" t="s">
        <v>2602</v>
      </c>
      <c r="K127" t="s">
        <v>74</v>
      </c>
      <c r="L127" t="s">
        <v>74</v>
      </c>
      <c r="M127" t="s">
        <v>78</v>
      </c>
      <c r="N127" t="s">
        <v>79</v>
      </c>
      <c r="O127" t="s">
        <v>74</v>
      </c>
      <c r="P127" t="s">
        <v>74</v>
      </c>
      <c r="Q127" t="s">
        <v>74</v>
      </c>
      <c r="R127" t="s">
        <v>74</v>
      </c>
      <c r="S127" t="s">
        <v>74</v>
      </c>
      <c r="T127" t="s">
        <v>2603</v>
      </c>
      <c r="U127" t="s">
        <v>2604</v>
      </c>
      <c r="V127" t="s">
        <v>2605</v>
      </c>
      <c r="W127" t="s">
        <v>2606</v>
      </c>
      <c r="X127" t="s">
        <v>2607</v>
      </c>
      <c r="Y127" t="s">
        <v>2608</v>
      </c>
      <c r="Z127" t="s">
        <v>2609</v>
      </c>
      <c r="AA127" t="s">
        <v>2610</v>
      </c>
      <c r="AB127" t="s">
        <v>2611</v>
      </c>
      <c r="AC127" t="s">
        <v>2612</v>
      </c>
      <c r="AD127" t="s">
        <v>2613</v>
      </c>
      <c r="AE127" t="s">
        <v>2614</v>
      </c>
      <c r="AF127" t="s">
        <v>74</v>
      </c>
      <c r="AG127">
        <v>71</v>
      </c>
      <c r="AH127">
        <v>25</v>
      </c>
      <c r="AI127">
        <v>33</v>
      </c>
      <c r="AJ127">
        <v>6</v>
      </c>
      <c r="AK127">
        <v>73</v>
      </c>
      <c r="AL127" t="s">
        <v>188</v>
      </c>
      <c r="AM127" t="s">
        <v>189</v>
      </c>
      <c r="AN127" t="s">
        <v>190</v>
      </c>
      <c r="AO127" t="s">
        <v>2615</v>
      </c>
      <c r="AP127" t="s">
        <v>2616</v>
      </c>
      <c r="AQ127" t="s">
        <v>74</v>
      </c>
      <c r="AR127" t="s">
        <v>2602</v>
      </c>
      <c r="AS127" t="s">
        <v>2617</v>
      </c>
      <c r="AT127" t="s">
        <v>867</v>
      </c>
      <c r="AU127">
        <v>2012</v>
      </c>
      <c r="AV127">
        <v>189</v>
      </c>
      <c r="AW127" t="s">
        <v>74</v>
      </c>
      <c r="AX127" t="s">
        <v>74</v>
      </c>
      <c r="AY127" t="s">
        <v>74</v>
      </c>
      <c r="AZ127" t="s">
        <v>74</v>
      </c>
      <c r="BA127" t="s">
        <v>74</v>
      </c>
      <c r="BB127">
        <v>595</v>
      </c>
      <c r="BC127">
        <v>605</v>
      </c>
      <c r="BD127" t="s">
        <v>74</v>
      </c>
      <c r="BE127" t="s">
        <v>2618</v>
      </c>
      <c r="BF127" t="str">
        <f>HYPERLINK("http://dx.doi.org/10.1016/j.geoderma.2012.06.026","http://dx.doi.org/10.1016/j.geoderma.2012.06.026")</f>
        <v>http://dx.doi.org/10.1016/j.geoderma.2012.06.026</v>
      </c>
      <c r="BG127" t="s">
        <v>74</v>
      </c>
      <c r="BH127" t="s">
        <v>74</v>
      </c>
      <c r="BI127">
        <v>11</v>
      </c>
      <c r="BJ127" t="s">
        <v>2619</v>
      </c>
      <c r="BK127" t="s">
        <v>98</v>
      </c>
      <c r="BL127" t="s">
        <v>2620</v>
      </c>
      <c r="BM127" t="s">
        <v>2621</v>
      </c>
      <c r="BN127" t="s">
        <v>74</v>
      </c>
      <c r="BO127" t="s">
        <v>74</v>
      </c>
      <c r="BP127" t="s">
        <v>74</v>
      </c>
      <c r="BQ127" t="s">
        <v>74</v>
      </c>
      <c r="BR127" t="s">
        <v>101</v>
      </c>
      <c r="BS127" t="s">
        <v>2622</v>
      </c>
      <c r="BT127" t="str">
        <f>HYPERLINK("https%3A%2F%2Fwww.webofscience.com%2Fwos%2Fwoscc%2Ffull-record%2FWOS:000311875900067","View Full Record in Web of Science")</f>
        <v>View Full Record in Web of Science</v>
      </c>
    </row>
    <row r="128" spans="1:72" x14ac:dyDescent="0.15">
      <c r="A128" t="s">
        <v>72</v>
      </c>
      <c r="B128" t="s">
        <v>2623</v>
      </c>
      <c r="C128" t="s">
        <v>74</v>
      </c>
      <c r="D128" t="s">
        <v>74</v>
      </c>
      <c r="E128" t="s">
        <v>74</v>
      </c>
      <c r="F128" t="s">
        <v>2624</v>
      </c>
      <c r="G128" t="s">
        <v>74</v>
      </c>
      <c r="H128" t="s">
        <v>74</v>
      </c>
      <c r="I128" t="s">
        <v>2625</v>
      </c>
      <c r="J128" t="s">
        <v>2626</v>
      </c>
      <c r="K128" t="s">
        <v>74</v>
      </c>
      <c r="L128" t="s">
        <v>74</v>
      </c>
      <c r="M128" t="s">
        <v>78</v>
      </c>
      <c r="N128" t="s">
        <v>79</v>
      </c>
      <c r="O128" t="s">
        <v>74</v>
      </c>
      <c r="P128" t="s">
        <v>74</v>
      </c>
      <c r="Q128" t="s">
        <v>74</v>
      </c>
      <c r="R128" t="s">
        <v>74</v>
      </c>
      <c r="S128" t="s">
        <v>74</v>
      </c>
      <c r="T128" t="s">
        <v>74</v>
      </c>
      <c r="U128" t="s">
        <v>2627</v>
      </c>
      <c r="V128" t="s">
        <v>2628</v>
      </c>
      <c r="W128" t="s">
        <v>2629</v>
      </c>
      <c r="X128" t="s">
        <v>2630</v>
      </c>
      <c r="Y128" t="s">
        <v>2631</v>
      </c>
      <c r="Z128" t="s">
        <v>2632</v>
      </c>
      <c r="AA128" t="s">
        <v>2633</v>
      </c>
      <c r="AB128" t="s">
        <v>2634</v>
      </c>
      <c r="AC128" t="s">
        <v>2635</v>
      </c>
      <c r="AD128" t="s">
        <v>2636</v>
      </c>
      <c r="AE128" t="s">
        <v>2637</v>
      </c>
      <c r="AF128" t="s">
        <v>74</v>
      </c>
      <c r="AG128">
        <v>73</v>
      </c>
      <c r="AH128">
        <v>46</v>
      </c>
      <c r="AI128">
        <v>53</v>
      </c>
      <c r="AJ128">
        <v>0</v>
      </c>
      <c r="AK128">
        <v>28</v>
      </c>
      <c r="AL128" t="s">
        <v>1624</v>
      </c>
      <c r="AM128" t="s">
        <v>1268</v>
      </c>
      <c r="AN128" t="s">
        <v>1625</v>
      </c>
      <c r="AO128" t="s">
        <v>2638</v>
      </c>
      <c r="AP128" t="s">
        <v>2639</v>
      </c>
      <c r="AQ128" t="s">
        <v>74</v>
      </c>
      <c r="AR128" t="s">
        <v>2640</v>
      </c>
      <c r="AS128" t="s">
        <v>2641</v>
      </c>
      <c r="AT128" t="s">
        <v>1087</v>
      </c>
      <c r="AU128">
        <v>2012</v>
      </c>
      <c r="AV128">
        <v>124</v>
      </c>
      <c r="AW128" t="s">
        <v>868</v>
      </c>
      <c r="AX128" t="s">
        <v>74</v>
      </c>
      <c r="AY128" t="s">
        <v>74</v>
      </c>
      <c r="AZ128" t="s">
        <v>74</v>
      </c>
      <c r="BA128" t="s">
        <v>74</v>
      </c>
      <c r="BB128">
        <v>1736</v>
      </c>
      <c r="BC128">
        <v>1749</v>
      </c>
      <c r="BD128" t="s">
        <v>74</v>
      </c>
      <c r="BE128" t="s">
        <v>2642</v>
      </c>
      <c r="BF128" t="str">
        <f>HYPERLINK("http://dx.doi.org/10.1130/B30643.1","http://dx.doi.org/10.1130/B30643.1")</f>
        <v>http://dx.doi.org/10.1130/B30643.1</v>
      </c>
      <c r="BG128" t="s">
        <v>74</v>
      </c>
      <c r="BH128" t="s">
        <v>74</v>
      </c>
      <c r="BI128">
        <v>14</v>
      </c>
      <c r="BJ128" t="s">
        <v>461</v>
      </c>
      <c r="BK128" t="s">
        <v>98</v>
      </c>
      <c r="BL128" t="s">
        <v>462</v>
      </c>
      <c r="BM128" t="s">
        <v>2643</v>
      </c>
      <c r="BN128" t="s">
        <v>74</v>
      </c>
      <c r="BO128" t="s">
        <v>74</v>
      </c>
      <c r="BP128" t="s">
        <v>74</v>
      </c>
      <c r="BQ128" t="s">
        <v>74</v>
      </c>
      <c r="BR128" t="s">
        <v>101</v>
      </c>
      <c r="BS128" t="s">
        <v>2644</v>
      </c>
      <c r="BT128" t="str">
        <f>HYPERLINK("https%3A%2F%2Fwww.webofscience.com%2Fwos%2Fwoscc%2Ffull-record%2FWOS:000310410100005","View Full Record in Web of Science")</f>
        <v>View Full Record in Web of Science</v>
      </c>
    </row>
    <row r="129" spans="1:72" x14ac:dyDescent="0.15">
      <c r="A129" t="s">
        <v>72</v>
      </c>
      <c r="B129" t="s">
        <v>2645</v>
      </c>
      <c r="C129" t="s">
        <v>74</v>
      </c>
      <c r="D129" t="s">
        <v>74</v>
      </c>
      <c r="E129" t="s">
        <v>74</v>
      </c>
      <c r="F129" t="s">
        <v>2646</v>
      </c>
      <c r="G129" t="s">
        <v>74</v>
      </c>
      <c r="H129" t="s">
        <v>74</v>
      </c>
      <c r="I129" t="s">
        <v>2647</v>
      </c>
      <c r="J129" t="s">
        <v>2648</v>
      </c>
      <c r="K129" t="s">
        <v>74</v>
      </c>
      <c r="L129" t="s">
        <v>74</v>
      </c>
      <c r="M129" t="s">
        <v>78</v>
      </c>
      <c r="N129" t="s">
        <v>79</v>
      </c>
      <c r="O129" t="s">
        <v>74</v>
      </c>
      <c r="P129" t="s">
        <v>74</v>
      </c>
      <c r="Q129" t="s">
        <v>74</v>
      </c>
      <c r="R129" t="s">
        <v>74</v>
      </c>
      <c r="S129" t="s">
        <v>74</v>
      </c>
      <c r="T129" t="s">
        <v>2649</v>
      </c>
      <c r="U129" t="s">
        <v>2650</v>
      </c>
      <c r="V129" t="s">
        <v>2651</v>
      </c>
      <c r="W129" t="s">
        <v>2652</v>
      </c>
      <c r="X129" t="s">
        <v>2653</v>
      </c>
      <c r="Y129" t="s">
        <v>2654</v>
      </c>
      <c r="Z129" t="s">
        <v>2655</v>
      </c>
      <c r="AA129" t="s">
        <v>2656</v>
      </c>
      <c r="AB129" t="s">
        <v>2657</v>
      </c>
      <c r="AC129" t="s">
        <v>2658</v>
      </c>
      <c r="AD129" t="s">
        <v>2659</v>
      </c>
      <c r="AE129" t="s">
        <v>2660</v>
      </c>
      <c r="AF129" t="s">
        <v>74</v>
      </c>
      <c r="AG129">
        <v>64</v>
      </c>
      <c r="AH129">
        <v>69</v>
      </c>
      <c r="AI129">
        <v>77</v>
      </c>
      <c r="AJ129">
        <v>1</v>
      </c>
      <c r="AK129">
        <v>175</v>
      </c>
      <c r="AL129" t="s">
        <v>898</v>
      </c>
      <c r="AM129" t="s">
        <v>899</v>
      </c>
      <c r="AN129" t="s">
        <v>900</v>
      </c>
      <c r="AO129" t="s">
        <v>2661</v>
      </c>
      <c r="AP129" t="s">
        <v>2662</v>
      </c>
      <c r="AQ129" t="s">
        <v>74</v>
      </c>
      <c r="AR129" t="s">
        <v>2663</v>
      </c>
      <c r="AS129" t="s">
        <v>2664</v>
      </c>
      <c r="AT129" t="s">
        <v>867</v>
      </c>
      <c r="AU129">
        <v>2012</v>
      </c>
      <c r="AV129">
        <v>18</v>
      </c>
      <c r="AW129">
        <v>11</v>
      </c>
      <c r="AX129" t="s">
        <v>74</v>
      </c>
      <c r="AY129" t="s">
        <v>74</v>
      </c>
      <c r="AZ129" t="s">
        <v>74</v>
      </c>
      <c r="BA129" t="s">
        <v>74</v>
      </c>
      <c r="BB129">
        <v>3332</v>
      </c>
      <c r="BC129">
        <v>3345</v>
      </c>
      <c r="BD129" t="s">
        <v>74</v>
      </c>
      <c r="BE129" t="s">
        <v>2665</v>
      </c>
      <c r="BF129" t="str">
        <f>HYPERLINK("http://dx.doi.org/10.1111/j.1365-2486.2012.02763.x","http://dx.doi.org/10.1111/j.1365-2486.2012.02763.x")</f>
        <v>http://dx.doi.org/10.1111/j.1365-2486.2012.02763.x</v>
      </c>
      <c r="BG129" t="s">
        <v>74</v>
      </c>
      <c r="BH129" t="s">
        <v>74</v>
      </c>
      <c r="BI129">
        <v>14</v>
      </c>
      <c r="BJ129" t="s">
        <v>2203</v>
      </c>
      <c r="BK129" t="s">
        <v>98</v>
      </c>
      <c r="BL129" t="s">
        <v>1880</v>
      </c>
      <c r="BM129" t="s">
        <v>2666</v>
      </c>
      <c r="BN129" t="s">
        <v>74</v>
      </c>
      <c r="BO129" t="s">
        <v>74</v>
      </c>
      <c r="BP129" t="s">
        <v>74</v>
      </c>
      <c r="BQ129" t="s">
        <v>74</v>
      </c>
      <c r="BR129" t="s">
        <v>101</v>
      </c>
      <c r="BS129" t="s">
        <v>2667</v>
      </c>
      <c r="BT129" t="str">
        <f>HYPERLINK("https%3A%2F%2Fwww.webofscience.com%2Fwos%2Fwoscc%2Ffull-record%2FWOS:000309450300008","View Full Record in Web of Science")</f>
        <v>View Full Record in Web of Science</v>
      </c>
    </row>
    <row r="130" spans="1:72" x14ac:dyDescent="0.15">
      <c r="A130" t="s">
        <v>72</v>
      </c>
      <c r="B130" t="s">
        <v>2668</v>
      </c>
      <c r="C130" t="s">
        <v>74</v>
      </c>
      <c r="D130" t="s">
        <v>74</v>
      </c>
      <c r="E130" t="s">
        <v>74</v>
      </c>
      <c r="F130" t="s">
        <v>2669</v>
      </c>
      <c r="G130" t="s">
        <v>74</v>
      </c>
      <c r="H130" t="s">
        <v>74</v>
      </c>
      <c r="I130" t="s">
        <v>2670</v>
      </c>
      <c r="J130" t="s">
        <v>2671</v>
      </c>
      <c r="K130" t="s">
        <v>74</v>
      </c>
      <c r="L130" t="s">
        <v>74</v>
      </c>
      <c r="M130" t="s">
        <v>78</v>
      </c>
      <c r="N130" t="s">
        <v>79</v>
      </c>
      <c r="O130" t="s">
        <v>74</v>
      </c>
      <c r="P130" t="s">
        <v>74</v>
      </c>
      <c r="Q130" t="s">
        <v>74</v>
      </c>
      <c r="R130" t="s">
        <v>74</v>
      </c>
      <c r="S130" t="s">
        <v>74</v>
      </c>
      <c r="T130" t="s">
        <v>2672</v>
      </c>
      <c r="U130" t="s">
        <v>2673</v>
      </c>
      <c r="V130" t="s">
        <v>2674</v>
      </c>
      <c r="W130" t="s">
        <v>2675</v>
      </c>
      <c r="X130" t="s">
        <v>2676</v>
      </c>
      <c r="Y130" t="s">
        <v>2677</v>
      </c>
      <c r="Z130" t="s">
        <v>2678</v>
      </c>
      <c r="AA130" t="s">
        <v>2679</v>
      </c>
      <c r="AB130" t="s">
        <v>2680</v>
      </c>
      <c r="AC130" t="s">
        <v>2681</v>
      </c>
      <c r="AD130" t="s">
        <v>2682</v>
      </c>
      <c r="AE130" t="s">
        <v>2683</v>
      </c>
      <c r="AF130" t="s">
        <v>74</v>
      </c>
      <c r="AG130">
        <v>55</v>
      </c>
      <c r="AH130">
        <v>39</v>
      </c>
      <c r="AI130">
        <v>45</v>
      </c>
      <c r="AJ130">
        <v>0</v>
      </c>
      <c r="AK130">
        <v>86</v>
      </c>
      <c r="AL130" t="s">
        <v>1034</v>
      </c>
      <c r="AM130" t="s">
        <v>90</v>
      </c>
      <c r="AN130" t="s">
        <v>1035</v>
      </c>
      <c r="AO130" t="s">
        <v>2684</v>
      </c>
      <c r="AP130" t="s">
        <v>2685</v>
      </c>
      <c r="AQ130" t="s">
        <v>74</v>
      </c>
      <c r="AR130" t="s">
        <v>2686</v>
      </c>
      <c r="AS130" t="s">
        <v>2687</v>
      </c>
      <c r="AT130" t="s">
        <v>867</v>
      </c>
      <c r="AU130">
        <v>2012</v>
      </c>
      <c r="AV130">
        <v>75</v>
      </c>
      <c r="AW130" t="s">
        <v>74</v>
      </c>
      <c r="AX130" t="s">
        <v>74</v>
      </c>
      <c r="AY130" t="s">
        <v>74</v>
      </c>
      <c r="AZ130" t="s">
        <v>74</v>
      </c>
      <c r="BA130" t="s">
        <v>74</v>
      </c>
      <c r="BB130">
        <v>96</v>
      </c>
      <c r="BC130">
        <v>103</v>
      </c>
      <c r="BD130" t="s">
        <v>74</v>
      </c>
      <c r="BE130" t="s">
        <v>2688</v>
      </c>
      <c r="BF130" t="str">
        <f>HYPERLINK("http://dx.doi.org/10.1016/j.ibiod.2012.07.020","http://dx.doi.org/10.1016/j.ibiod.2012.07.020")</f>
        <v>http://dx.doi.org/10.1016/j.ibiod.2012.07.020</v>
      </c>
      <c r="BG130" t="s">
        <v>74</v>
      </c>
      <c r="BH130" t="s">
        <v>74</v>
      </c>
      <c r="BI130">
        <v>8</v>
      </c>
      <c r="BJ130" t="s">
        <v>2689</v>
      </c>
      <c r="BK130" t="s">
        <v>98</v>
      </c>
      <c r="BL130" t="s">
        <v>2690</v>
      </c>
      <c r="BM130" t="s">
        <v>2691</v>
      </c>
      <c r="BN130" t="s">
        <v>74</v>
      </c>
      <c r="BO130" t="s">
        <v>74</v>
      </c>
      <c r="BP130" t="s">
        <v>74</v>
      </c>
      <c r="BQ130" t="s">
        <v>74</v>
      </c>
      <c r="BR130" t="s">
        <v>101</v>
      </c>
      <c r="BS130" t="s">
        <v>2692</v>
      </c>
      <c r="BT130" t="str">
        <f>HYPERLINK("https%3A%2F%2Fwww.webofscience.com%2Fwos%2Fwoscc%2Ffull-record%2FWOS:000313383100015","View Full Record in Web of Science")</f>
        <v>View Full Record in Web of Science</v>
      </c>
    </row>
    <row r="131" spans="1:72" x14ac:dyDescent="0.15">
      <c r="A131" t="s">
        <v>72</v>
      </c>
      <c r="B131" t="s">
        <v>2693</v>
      </c>
      <c r="C131" t="s">
        <v>74</v>
      </c>
      <c r="D131" t="s">
        <v>74</v>
      </c>
      <c r="E131" t="s">
        <v>74</v>
      </c>
      <c r="F131" t="s">
        <v>2694</v>
      </c>
      <c r="G131" t="s">
        <v>74</v>
      </c>
      <c r="H131" t="s">
        <v>74</v>
      </c>
      <c r="I131" t="s">
        <v>2695</v>
      </c>
      <c r="J131" t="s">
        <v>2696</v>
      </c>
      <c r="K131" t="s">
        <v>74</v>
      </c>
      <c r="L131" t="s">
        <v>74</v>
      </c>
      <c r="M131" t="s">
        <v>78</v>
      </c>
      <c r="N131" t="s">
        <v>974</v>
      </c>
      <c r="O131" t="s">
        <v>74</v>
      </c>
      <c r="P131" t="s">
        <v>74</v>
      </c>
      <c r="Q131" t="s">
        <v>74</v>
      </c>
      <c r="R131" t="s">
        <v>74</v>
      </c>
      <c r="S131" t="s">
        <v>74</v>
      </c>
      <c r="T131" t="s">
        <v>2697</v>
      </c>
      <c r="U131" t="s">
        <v>2698</v>
      </c>
      <c r="V131" t="s">
        <v>2699</v>
      </c>
      <c r="W131" t="s">
        <v>2700</v>
      </c>
      <c r="X131" t="s">
        <v>2701</v>
      </c>
      <c r="Y131" t="s">
        <v>2702</v>
      </c>
      <c r="Z131" t="s">
        <v>2703</v>
      </c>
      <c r="AA131" t="s">
        <v>2704</v>
      </c>
      <c r="AB131" t="s">
        <v>2705</v>
      </c>
      <c r="AC131" t="s">
        <v>2706</v>
      </c>
      <c r="AD131" t="s">
        <v>2707</v>
      </c>
      <c r="AE131" t="s">
        <v>2708</v>
      </c>
      <c r="AF131" t="s">
        <v>74</v>
      </c>
      <c r="AG131">
        <v>55</v>
      </c>
      <c r="AH131">
        <v>43</v>
      </c>
      <c r="AI131">
        <v>48</v>
      </c>
      <c r="AJ131">
        <v>0</v>
      </c>
      <c r="AK131">
        <v>32</v>
      </c>
      <c r="AL131" t="s">
        <v>916</v>
      </c>
      <c r="AM131" t="s">
        <v>899</v>
      </c>
      <c r="AN131" t="s">
        <v>900</v>
      </c>
      <c r="AO131" t="s">
        <v>2709</v>
      </c>
      <c r="AP131" t="s">
        <v>74</v>
      </c>
      <c r="AQ131" t="s">
        <v>74</v>
      </c>
      <c r="AR131" t="s">
        <v>2710</v>
      </c>
      <c r="AS131" t="s">
        <v>2711</v>
      </c>
      <c r="AT131" t="s">
        <v>1087</v>
      </c>
      <c r="AU131">
        <v>2012</v>
      </c>
      <c r="AV131">
        <v>59</v>
      </c>
      <c r="AW131">
        <v>6</v>
      </c>
      <c r="AX131" t="s">
        <v>74</v>
      </c>
      <c r="AY131" t="s">
        <v>74</v>
      </c>
      <c r="AZ131" t="s">
        <v>74</v>
      </c>
      <c r="BA131" t="s">
        <v>74</v>
      </c>
      <c r="BB131">
        <v>511</v>
      </c>
      <c r="BC131">
        <v>519</v>
      </c>
      <c r="BD131" t="s">
        <v>74</v>
      </c>
      <c r="BE131" t="s">
        <v>2712</v>
      </c>
      <c r="BF131" t="str">
        <f>HYPERLINK("http://dx.doi.org/10.1111/j.1550-7408.2012.00646.x","http://dx.doi.org/10.1111/j.1550-7408.2012.00646.x")</f>
        <v>http://dx.doi.org/10.1111/j.1550-7408.2012.00646.x</v>
      </c>
      <c r="BG131" t="s">
        <v>74</v>
      </c>
      <c r="BH131" t="s">
        <v>74</v>
      </c>
      <c r="BI131">
        <v>9</v>
      </c>
      <c r="BJ131" t="s">
        <v>775</v>
      </c>
      <c r="BK131" t="s">
        <v>98</v>
      </c>
      <c r="BL131" t="s">
        <v>775</v>
      </c>
      <c r="BM131" t="s">
        <v>2713</v>
      </c>
      <c r="BN131">
        <v>23039094</v>
      </c>
      <c r="BO131" t="s">
        <v>607</v>
      </c>
      <c r="BP131" t="s">
        <v>74</v>
      </c>
      <c r="BQ131" t="s">
        <v>74</v>
      </c>
      <c r="BR131" t="s">
        <v>101</v>
      </c>
      <c r="BS131" t="s">
        <v>2714</v>
      </c>
      <c r="BT131" t="str">
        <f>HYPERLINK("https%3A%2F%2Fwww.webofscience.com%2Fwos%2Fwoscc%2Ffull-record%2FWOS:000310806800002","View Full Record in Web of Science")</f>
        <v>View Full Record in Web of Science</v>
      </c>
    </row>
    <row r="132" spans="1:72" x14ac:dyDescent="0.15">
      <c r="A132" t="s">
        <v>72</v>
      </c>
      <c r="B132" t="s">
        <v>2715</v>
      </c>
      <c r="C132" t="s">
        <v>74</v>
      </c>
      <c r="D132" t="s">
        <v>74</v>
      </c>
      <c r="E132" t="s">
        <v>74</v>
      </c>
      <c r="F132" t="s">
        <v>2716</v>
      </c>
      <c r="G132" t="s">
        <v>74</v>
      </c>
      <c r="H132" t="s">
        <v>74</v>
      </c>
      <c r="I132" t="s">
        <v>2717</v>
      </c>
      <c r="J132" t="s">
        <v>2718</v>
      </c>
      <c r="K132" t="s">
        <v>74</v>
      </c>
      <c r="L132" t="s">
        <v>74</v>
      </c>
      <c r="M132" t="s">
        <v>78</v>
      </c>
      <c r="N132" t="s">
        <v>79</v>
      </c>
      <c r="O132" t="s">
        <v>74</v>
      </c>
      <c r="P132" t="s">
        <v>74</v>
      </c>
      <c r="Q132" t="s">
        <v>74</v>
      </c>
      <c r="R132" t="s">
        <v>74</v>
      </c>
      <c r="S132" t="s">
        <v>74</v>
      </c>
      <c r="T132" t="s">
        <v>74</v>
      </c>
      <c r="U132" t="s">
        <v>2719</v>
      </c>
      <c r="V132" t="s">
        <v>2720</v>
      </c>
      <c r="W132" t="s">
        <v>2721</v>
      </c>
      <c r="X132" t="s">
        <v>2722</v>
      </c>
      <c r="Y132" t="s">
        <v>2723</v>
      </c>
      <c r="Z132" t="s">
        <v>2724</v>
      </c>
      <c r="AA132" t="s">
        <v>2725</v>
      </c>
      <c r="AB132" t="s">
        <v>2726</v>
      </c>
      <c r="AC132" t="s">
        <v>2727</v>
      </c>
      <c r="AD132" t="s">
        <v>2727</v>
      </c>
      <c r="AE132" t="s">
        <v>2728</v>
      </c>
      <c r="AF132" t="s">
        <v>74</v>
      </c>
      <c r="AG132">
        <v>30</v>
      </c>
      <c r="AH132">
        <v>4</v>
      </c>
      <c r="AI132">
        <v>4</v>
      </c>
      <c r="AJ132">
        <v>1</v>
      </c>
      <c r="AK132">
        <v>5</v>
      </c>
      <c r="AL132" t="s">
        <v>2729</v>
      </c>
      <c r="AM132" t="s">
        <v>2730</v>
      </c>
      <c r="AN132" t="s">
        <v>2731</v>
      </c>
      <c r="AO132" t="s">
        <v>2732</v>
      </c>
      <c r="AP132" t="s">
        <v>2733</v>
      </c>
      <c r="AQ132" t="s">
        <v>74</v>
      </c>
      <c r="AR132" t="s">
        <v>2734</v>
      </c>
      <c r="AS132" t="s">
        <v>2735</v>
      </c>
      <c r="AT132" t="s">
        <v>867</v>
      </c>
      <c r="AU132">
        <v>2012</v>
      </c>
      <c r="AV132">
        <v>70</v>
      </c>
      <c r="AW132">
        <v>6</v>
      </c>
      <c r="AX132" t="s">
        <v>74</v>
      </c>
      <c r="AY132" t="s">
        <v>74</v>
      </c>
      <c r="AZ132" t="s">
        <v>74</v>
      </c>
      <c r="BA132" t="s">
        <v>74</v>
      </c>
      <c r="BB132">
        <v>779</v>
      </c>
      <c r="BC132">
        <v>793</v>
      </c>
      <c r="BD132" t="s">
        <v>74</v>
      </c>
      <c r="BE132" t="s">
        <v>2736</v>
      </c>
      <c r="BF132" t="str">
        <f>HYPERLINK("http://dx.doi.org/10.1357/002224012806770928","http://dx.doi.org/10.1357/002224012806770928")</f>
        <v>http://dx.doi.org/10.1357/002224012806770928</v>
      </c>
      <c r="BG132" t="s">
        <v>74</v>
      </c>
      <c r="BH132" t="s">
        <v>74</v>
      </c>
      <c r="BI132">
        <v>15</v>
      </c>
      <c r="BJ132" t="s">
        <v>941</v>
      </c>
      <c r="BK132" t="s">
        <v>98</v>
      </c>
      <c r="BL132" t="s">
        <v>941</v>
      </c>
      <c r="BM132" t="s">
        <v>2737</v>
      </c>
      <c r="BN132" t="s">
        <v>74</v>
      </c>
      <c r="BO132" t="s">
        <v>74</v>
      </c>
      <c r="BP132" t="s">
        <v>74</v>
      </c>
      <c r="BQ132" t="s">
        <v>74</v>
      </c>
      <c r="BR132" t="s">
        <v>101</v>
      </c>
      <c r="BS132" t="s">
        <v>2738</v>
      </c>
      <c r="BT132" t="str">
        <f>HYPERLINK("https%3A%2F%2Fwww.webofscience.com%2Fwos%2Fwoscc%2Ffull-record%2FWOS:000209058500001","View Full Record in Web of Science")</f>
        <v>View Full Record in Web of Science</v>
      </c>
    </row>
    <row r="133" spans="1:72" x14ac:dyDescent="0.15">
      <c r="A133" t="s">
        <v>72</v>
      </c>
      <c r="B133" t="s">
        <v>1164</v>
      </c>
      <c r="C133" t="s">
        <v>74</v>
      </c>
      <c r="D133" t="s">
        <v>74</v>
      </c>
      <c r="E133" t="s">
        <v>74</v>
      </c>
      <c r="F133" t="s">
        <v>1165</v>
      </c>
      <c r="G133" t="s">
        <v>74</v>
      </c>
      <c r="H133" t="s">
        <v>74</v>
      </c>
      <c r="I133" t="s">
        <v>2739</v>
      </c>
      <c r="J133" t="s">
        <v>1167</v>
      </c>
      <c r="K133" t="s">
        <v>74</v>
      </c>
      <c r="L133" t="s">
        <v>74</v>
      </c>
      <c r="M133" t="s">
        <v>78</v>
      </c>
      <c r="N133" t="s">
        <v>79</v>
      </c>
      <c r="O133" t="s">
        <v>74</v>
      </c>
      <c r="P133" t="s">
        <v>74</v>
      </c>
      <c r="Q133" t="s">
        <v>74</v>
      </c>
      <c r="R133" t="s">
        <v>74</v>
      </c>
      <c r="S133" t="s">
        <v>74</v>
      </c>
      <c r="T133" t="s">
        <v>74</v>
      </c>
      <c r="U133" t="s">
        <v>2740</v>
      </c>
      <c r="V133" t="s">
        <v>2741</v>
      </c>
      <c r="W133" t="s">
        <v>2742</v>
      </c>
      <c r="X133" t="s">
        <v>2743</v>
      </c>
      <c r="Y133" t="s">
        <v>2744</v>
      </c>
      <c r="Z133" t="s">
        <v>1170</v>
      </c>
      <c r="AA133" t="s">
        <v>74</v>
      </c>
      <c r="AB133" t="s">
        <v>74</v>
      </c>
      <c r="AC133" t="s">
        <v>2745</v>
      </c>
      <c r="AD133" t="s">
        <v>2746</v>
      </c>
      <c r="AE133" t="s">
        <v>74</v>
      </c>
      <c r="AF133" t="s">
        <v>74</v>
      </c>
      <c r="AG133">
        <v>67</v>
      </c>
      <c r="AH133">
        <v>1</v>
      </c>
      <c r="AI133">
        <v>1</v>
      </c>
      <c r="AJ133">
        <v>0</v>
      </c>
      <c r="AK133">
        <v>1</v>
      </c>
      <c r="AL133" t="s">
        <v>1171</v>
      </c>
      <c r="AM133" t="s">
        <v>434</v>
      </c>
      <c r="AN133" t="s">
        <v>1172</v>
      </c>
      <c r="AO133" t="s">
        <v>1173</v>
      </c>
      <c r="AP133" t="s">
        <v>74</v>
      </c>
      <c r="AQ133" t="s">
        <v>74</v>
      </c>
      <c r="AR133" t="s">
        <v>1174</v>
      </c>
      <c r="AS133" t="s">
        <v>1175</v>
      </c>
      <c r="AT133" t="s">
        <v>867</v>
      </c>
      <c r="AU133">
        <v>2012</v>
      </c>
      <c r="AV133">
        <v>20</v>
      </c>
      <c r="AW133">
        <v>4</v>
      </c>
      <c r="AX133" t="s">
        <v>74</v>
      </c>
      <c r="AY133" t="s">
        <v>74</v>
      </c>
      <c r="AZ133" t="s">
        <v>74</v>
      </c>
      <c r="BA133" t="s">
        <v>74</v>
      </c>
      <c r="BB133">
        <v>141</v>
      </c>
      <c r="BC133">
        <v>147</v>
      </c>
      <c r="BD133" t="s">
        <v>74</v>
      </c>
      <c r="BE133" t="s">
        <v>2747</v>
      </c>
      <c r="BF133" t="str">
        <f>HYPERLINK("http://dx.doi.org/10.1258/jmb.2011.011010","http://dx.doi.org/10.1258/jmb.2011.011010")</f>
        <v>http://dx.doi.org/10.1258/jmb.2011.011010</v>
      </c>
      <c r="BG133" t="s">
        <v>74</v>
      </c>
      <c r="BH133" t="s">
        <v>74</v>
      </c>
      <c r="BI133">
        <v>7</v>
      </c>
      <c r="BJ133" t="s">
        <v>1177</v>
      </c>
      <c r="BK133" t="s">
        <v>1178</v>
      </c>
      <c r="BL133" t="s">
        <v>1179</v>
      </c>
      <c r="BM133" t="s">
        <v>1180</v>
      </c>
      <c r="BN133">
        <v>23143315</v>
      </c>
      <c r="BO133" t="s">
        <v>74</v>
      </c>
      <c r="BP133" t="s">
        <v>74</v>
      </c>
      <c r="BQ133" t="s">
        <v>74</v>
      </c>
      <c r="BR133" t="s">
        <v>101</v>
      </c>
      <c r="BS133" t="s">
        <v>2748</v>
      </c>
      <c r="BT133" t="str">
        <f>HYPERLINK("https%3A%2F%2Fwww.webofscience.com%2Fwos%2Fwoscc%2Ffull-record%2FWOS:000311469600002","View Full Record in Web of Science")</f>
        <v>View Full Record in Web of Science</v>
      </c>
    </row>
    <row r="134" spans="1:72" x14ac:dyDescent="0.15">
      <c r="A134" t="s">
        <v>72</v>
      </c>
      <c r="B134" t="s">
        <v>2749</v>
      </c>
      <c r="C134" t="s">
        <v>74</v>
      </c>
      <c r="D134" t="s">
        <v>74</v>
      </c>
      <c r="E134" t="s">
        <v>74</v>
      </c>
      <c r="F134" t="s">
        <v>2750</v>
      </c>
      <c r="G134" t="s">
        <v>74</v>
      </c>
      <c r="H134" t="s">
        <v>74</v>
      </c>
      <c r="I134" t="s">
        <v>2751</v>
      </c>
      <c r="J134" t="s">
        <v>1589</v>
      </c>
      <c r="K134" t="s">
        <v>74</v>
      </c>
      <c r="L134" t="s">
        <v>74</v>
      </c>
      <c r="M134" t="s">
        <v>78</v>
      </c>
      <c r="N134" t="s">
        <v>79</v>
      </c>
      <c r="O134" t="s">
        <v>74</v>
      </c>
      <c r="P134" t="s">
        <v>74</v>
      </c>
      <c r="Q134" t="s">
        <v>74</v>
      </c>
      <c r="R134" t="s">
        <v>74</v>
      </c>
      <c r="S134" t="s">
        <v>74</v>
      </c>
      <c r="T134" t="s">
        <v>74</v>
      </c>
      <c r="U134" t="s">
        <v>2752</v>
      </c>
      <c r="V134" t="s">
        <v>2753</v>
      </c>
      <c r="W134" t="s">
        <v>2754</v>
      </c>
      <c r="X134" t="s">
        <v>2755</v>
      </c>
      <c r="Y134" t="s">
        <v>2756</v>
      </c>
      <c r="Z134" t="s">
        <v>2757</v>
      </c>
      <c r="AA134" t="s">
        <v>2758</v>
      </c>
      <c r="AB134" t="s">
        <v>2759</v>
      </c>
      <c r="AC134" t="s">
        <v>2760</v>
      </c>
      <c r="AD134" t="s">
        <v>2761</v>
      </c>
      <c r="AE134" t="s">
        <v>2762</v>
      </c>
      <c r="AF134" t="s">
        <v>74</v>
      </c>
      <c r="AG134">
        <v>65</v>
      </c>
      <c r="AH134">
        <v>6</v>
      </c>
      <c r="AI134">
        <v>6</v>
      </c>
      <c r="AJ134">
        <v>0</v>
      </c>
      <c r="AK134">
        <v>6</v>
      </c>
      <c r="AL134" t="s">
        <v>1601</v>
      </c>
      <c r="AM134" t="s">
        <v>1602</v>
      </c>
      <c r="AN134" t="s">
        <v>1603</v>
      </c>
      <c r="AO134" t="s">
        <v>1604</v>
      </c>
      <c r="AP134" t="s">
        <v>1605</v>
      </c>
      <c r="AQ134" t="s">
        <v>74</v>
      </c>
      <c r="AR134" t="s">
        <v>1606</v>
      </c>
      <c r="AS134" t="s">
        <v>1607</v>
      </c>
      <c r="AT134" t="s">
        <v>867</v>
      </c>
      <c r="AU134">
        <v>2012</v>
      </c>
      <c r="AV134">
        <v>169</v>
      </c>
      <c r="AW134">
        <v>6</v>
      </c>
      <c r="AX134" t="s">
        <v>74</v>
      </c>
      <c r="AY134" t="s">
        <v>74</v>
      </c>
      <c r="AZ134" t="s">
        <v>74</v>
      </c>
      <c r="BA134" t="s">
        <v>74</v>
      </c>
      <c r="BB134">
        <v>759</v>
      </c>
      <c r="BC134">
        <v>771</v>
      </c>
      <c r="BD134" t="s">
        <v>74</v>
      </c>
      <c r="BE134" t="s">
        <v>2763</v>
      </c>
      <c r="BF134" t="str">
        <f>HYPERLINK("http://dx.doi.org/10.1144/jgs2011-160","http://dx.doi.org/10.1144/jgs2011-160")</f>
        <v>http://dx.doi.org/10.1144/jgs2011-160</v>
      </c>
      <c r="BG134" t="s">
        <v>74</v>
      </c>
      <c r="BH134" t="s">
        <v>74</v>
      </c>
      <c r="BI134">
        <v>13</v>
      </c>
      <c r="BJ134" t="s">
        <v>461</v>
      </c>
      <c r="BK134" t="s">
        <v>98</v>
      </c>
      <c r="BL134" t="s">
        <v>462</v>
      </c>
      <c r="BM134" t="s">
        <v>1609</v>
      </c>
      <c r="BN134" t="s">
        <v>74</v>
      </c>
      <c r="BO134" t="s">
        <v>74</v>
      </c>
      <c r="BP134" t="s">
        <v>74</v>
      </c>
      <c r="BQ134" t="s">
        <v>74</v>
      </c>
      <c r="BR134" t="s">
        <v>101</v>
      </c>
      <c r="BS134" t="s">
        <v>2764</v>
      </c>
      <c r="BT134" t="str">
        <f>HYPERLINK("https%3A%2F%2Fwww.webofscience.com%2Fwos%2Fwoscc%2Ffull-record%2FWOS:000310583400012","View Full Record in Web of Science")</f>
        <v>View Full Record in Web of Science</v>
      </c>
    </row>
    <row r="135" spans="1:72" x14ac:dyDescent="0.15">
      <c r="A135" t="s">
        <v>72</v>
      </c>
      <c r="B135" t="s">
        <v>2765</v>
      </c>
      <c r="C135" t="s">
        <v>74</v>
      </c>
      <c r="D135" t="s">
        <v>74</v>
      </c>
      <c r="E135" t="s">
        <v>74</v>
      </c>
      <c r="F135" t="s">
        <v>2766</v>
      </c>
      <c r="G135" t="s">
        <v>74</v>
      </c>
      <c r="H135" t="s">
        <v>74</v>
      </c>
      <c r="I135" t="s">
        <v>2767</v>
      </c>
      <c r="J135" t="s">
        <v>2768</v>
      </c>
      <c r="K135" t="s">
        <v>74</v>
      </c>
      <c r="L135" t="s">
        <v>74</v>
      </c>
      <c r="M135" t="s">
        <v>78</v>
      </c>
      <c r="N135" t="s">
        <v>79</v>
      </c>
      <c r="O135" t="s">
        <v>74</v>
      </c>
      <c r="P135" t="s">
        <v>74</v>
      </c>
      <c r="Q135" t="s">
        <v>74</v>
      </c>
      <c r="R135" t="s">
        <v>74</v>
      </c>
      <c r="S135" t="s">
        <v>74</v>
      </c>
      <c r="T135" t="s">
        <v>2769</v>
      </c>
      <c r="U135" t="s">
        <v>2770</v>
      </c>
      <c r="V135" t="s">
        <v>2771</v>
      </c>
      <c r="W135" t="s">
        <v>2772</v>
      </c>
      <c r="X135" t="s">
        <v>2773</v>
      </c>
      <c r="Y135" t="s">
        <v>2774</v>
      </c>
      <c r="Z135" t="s">
        <v>2775</v>
      </c>
      <c r="AA135" t="s">
        <v>74</v>
      </c>
      <c r="AB135" t="s">
        <v>2776</v>
      </c>
      <c r="AC135" t="s">
        <v>2777</v>
      </c>
      <c r="AD135" t="s">
        <v>2778</v>
      </c>
      <c r="AE135" t="s">
        <v>2779</v>
      </c>
      <c r="AF135" t="s">
        <v>74</v>
      </c>
      <c r="AG135">
        <v>165</v>
      </c>
      <c r="AH135">
        <v>41</v>
      </c>
      <c r="AI135">
        <v>44</v>
      </c>
      <c r="AJ135">
        <v>2</v>
      </c>
      <c r="AK135">
        <v>81</v>
      </c>
      <c r="AL135" t="s">
        <v>2780</v>
      </c>
      <c r="AM135" t="s">
        <v>371</v>
      </c>
      <c r="AN135" t="s">
        <v>2781</v>
      </c>
      <c r="AO135" t="s">
        <v>2782</v>
      </c>
      <c r="AP135" t="s">
        <v>2783</v>
      </c>
      <c r="AQ135" t="s">
        <v>74</v>
      </c>
      <c r="AR135" t="s">
        <v>2784</v>
      </c>
      <c r="AS135" t="s">
        <v>2785</v>
      </c>
      <c r="AT135" t="s">
        <v>867</v>
      </c>
      <c r="AU135">
        <v>2012</v>
      </c>
      <c r="AV135">
        <v>92</v>
      </c>
      <c r="AW135">
        <v>7</v>
      </c>
      <c r="AX135" t="s">
        <v>74</v>
      </c>
      <c r="AY135" t="s">
        <v>74</v>
      </c>
      <c r="AZ135" t="s">
        <v>74</v>
      </c>
      <c r="BA135" t="s">
        <v>74</v>
      </c>
      <c r="BB135">
        <v>1435</v>
      </c>
      <c r="BC135">
        <v>1450</v>
      </c>
      <c r="BD135" t="s">
        <v>74</v>
      </c>
      <c r="BE135" t="s">
        <v>2786</v>
      </c>
      <c r="BF135" t="str">
        <f>HYPERLINK("http://dx.doi.org/10.1017/S0025315412000549","http://dx.doi.org/10.1017/S0025315412000549")</f>
        <v>http://dx.doi.org/10.1017/S0025315412000549</v>
      </c>
      <c r="BG135" t="s">
        <v>74</v>
      </c>
      <c r="BH135" t="s">
        <v>74</v>
      </c>
      <c r="BI135">
        <v>16</v>
      </c>
      <c r="BJ135" t="s">
        <v>1753</v>
      </c>
      <c r="BK135" t="s">
        <v>98</v>
      </c>
      <c r="BL135" t="s">
        <v>1753</v>
      </c>
      <c r="BM135" t="s">
        <v>2787</v>
      </c>
      <c r="BN135" t="s">
        <v>74</v>
      </c>
      <c r="BO135" t="s">
        <v>74</v>
      </c>
      <c r="BP135" t="s">
        <v>74</v>
      </c>
      <c r="BQ135" t="s">
        <v>74</v>
      </c>
      <c r="BR135" t="s">
        <v>101</v>
      </c>
      <c r="BS135" t="s">
        <v>2788</v>
      </c>
      <c r="BT135" t="str">
        <f>HYPERLINK("https%3A%2F%2Fwww.webofscience.com%2Fwos%2Fwoscc%2Ffull-record%2FWOS:000310256600001","View Full Record in Web of Science")</f>
        <v>View Full Record in Web of Science</v>
      </c>
    </row>
    <row r="136" spans="1:72" x14ac:dyDescent="0.15">
      <c r="A136" t="s">
        <v>72</v>
      </c>
      <c r="B136" t="s">
        <v>2789</v>
      </c>
      <c r="C136" t="s">
        <v>74</v>
      </c>
      <c r="D136" t="s">
        <v>74</v>
      </c>
      <c r="E136" t="s">
        <v>74</v>
      </c>
      <c r="F136" t="s">
        <v>2790</v>
      </c>
      <c r="G136" t="s">
        <v>74</v>
      </c>
      <c r="H136" t="s">
        <v>74</v>
      </c>
      <c r="I136" t="s">
        <v>2791</v>
      </c>
      <c r="J136" t="s">
        <v>2792</v>
      </c>
      <c r="K136" t="s">
        <v>74</v>
      </c>
      <c r="L136" t="s">
        <v>74</v>
      </c>
      <c r="M136" t="s">
        <v>78</v>
      </c>
      <c r="N136" t="s">
        <v>79</v>
      </c>
      <c r="O136" t="s">
        <v>74</v>
      </c>
      <c r="P136" t="s">
        <v>74</v>
      </c>
      <c r="Q136" t="s">
        <v>74</v>
      </c>
      <c r="R136" t="s">
        <v>74</v>
      </c>
      <c r="S136" t="s">
        <v>74</v>
      </c>
      <c r="T136" t="s">
        <v>74</v>
      </c>
      <c r="U136" t="s">
        <v>2793</v>
      </c>
      <c r="V136" t="s">
        <v>2794</v>
      </c>
      <c r="W136" t="s">
        <v>2795</v>
      </c>
      <c r="X136" t="s">
        <v>2796</v>
      </c>
      <c r="Y136" t="s">
        <v>2797</v>
      </c>
      <c r="Z136" t="s">
        <v>2798</v>
      </c>
      <c r="AA136" t="s">
        <v>2799</v>
      </c>
      <c r="AB136" t="s">
        <v>2800</v>
      </c>
      <c r="AC136" t="s">
        <v>2801</v>
      </c>
      <c r="AD136" t="s">
        <v>2802</v>
      </c>
      <c r="AE136" t="s">
        <v>2803</v>
      </c>
      <c r="AF136" t="s">
        <v>74</v>
      </c>
      <c r="AG136">
        <v>36</v>
      </c>
      <c r="AH136">
        <v>11</v>
      </c>
      <c r="AI136">
        <v>12</v>
      </c>
      <c r="AJ136">
        <v>0</v>
      </c>
      <c r="AK136">
        <v>23</v>
      </c>
      <c r="AL136" t="s">
        <v>898</v>
      </c>
      <c r="AM136" t="s">
        <v>899</v>
      </c>
      <c r="AN136" t="s">
        <v>900</v>
      </c>
      <c r="AO136" t="s">
        <v>2804</v>
      </c>
      <c r="AP136" t="s">
        <v>2805</v>
      </c>
      <c r="AQ136" t="s">
        <v>74</v>
      </c>
      <c r="AR136" t="s">
        <v>2806</v>
      </c>
      <c r="AS136" t="s">
        <v>2807</v>
      </c>
      <c r="AT136" t="s">
        <v>867</v>
      </c>
      <c r="AU136">
        <v>2012</v>
      </c>
      <c r="AV136">
        <v>57</v>
      </c>
      <c r="AW136">
        <v>6</v>
      </c>
      <c r="AX136" t="s">
        <v>74</v>
      </c>
      <c r="AY136" t="s">
        <v>74</v>
      </c>
      <c r="AZ136" t="s">
        <v>74</v>
      </c>
      <c r="BA136" t="s">
        <v>74</v>
      </c>
      <c r="BB136">
        <v>1602</v>
      </c>
      <c r="BC136">
        <v>1618</v>
      </c>
      <c r="BD136" t="s">
        <v>74</v>
      </c>
      <c r="BE136" t="s">
        <v>2808</v>
      </c>
      <c r="BF136" t="str">
        <f>HYPERLINK("http://dx.doi.org/10.4319/lo.2012.57.6.1602","http://dx.doi.org/10.4319/lo.2012.57.6.1602")</f>
        <v>http://dx.doi.org/10.4319/lo.2012.57.6.1602</v>
      </c>
      <c r="BG136" t="s">
        <v>74</v>
      </c>
      <c r="BH136" t="s">
        <v>74</v>
      </c>
      <c r="BI136">
        <v>17</v>
      </c>
      <c r="BJ136" t="s">
        <v>1160</v>
      </c>
      <c r="BK136" t="s">
        <v>98</v>
      </c>
      <c r="BL136" t="s">
        <v>1161</v>
      </c>
      <c r="BM136" t="s">
        <v>2809</v>
      </c>
      <c r="BN136" t="s">
        <v>74</v>
      </c>
      <c r="BO136" t="s">
        <v>607</v>
      </c>
      <c r="BP136" t="s">
        <v>74</v>
      </c>
      <c r="BQ136" t="s">
        <v>74</v>
      </c>
      <c r="BR136" t="s">
        <v>101</v>
      </c>
      <c r="BS136" t="s">
        <v>2810</v>
      </c>
      <c r="BT136" t="str">
        <f>HYPERLINK("https%3A%2F%2Fwww.webofscience.com%2Fwos%2Fwoscc%2Ffull-record%2FWOS:000313159700002","View Full Record in Web of Science")</f>
        <v>View Full Record in Web of Science</v>
      </c>
    </row>
    <row r="137" spans="1:72" x14ac:dyDescent="0.15">
      <c r="A137" t="s">
        <v>72</v>
      </c>
      <c r="B137" t="s">
        <v>2811</v>
      </c>
      <c r="C137" t="s">
        <v>74</v>
      </c>
      <c r="D137" t="s">
        <v>74</v>
      </c>
      <c r="E137" t="s">
        <v>74</v>
      </c>
      <c r="F137" t="s">
        <v>2812</v>
      </c>
      <c r="G137" t="s">
        <v>74</v>
      </c>
      <c r="H137" t="s">
        <v>74</v>
      </c>
      <c r="I137" t="s">
        <v>2813</v>
      </c>
      <c r="J137" t="s">
        <v>2792</v>
      </c>
      <c r="K137" t="s">
        <v>74</v>
      </c>
      <c r="L137" t="s">
        <v>74</v>
      </c>
      <c r="M137" t="s">
        <v>78</v>
      </c>
      <c r="N137" t="s">
        <v>79</v>
      </c>
      <c r="O137" t="s">
        <v>74</v>
      </c>
      <c r="P137" t="s">
        <v>74</v>
      </c>
      <c r="Q137" t="s">
        <v>74</v>
      </c>
      <c r="R137" t="s">
        <v>74</v>
      </c>
      <c r="S137" t="s">
        <v>74</v>
      </c>
      <c r="T137" t="s">
        <v>74</v>
      </c>
      <c r="U137" t="s">
        <v>2814</v>
      </c>
      <c r="V137" t="s">
        <v>2815</v>
      </c>
      <c r="W137" t="s">
        <v>2816</v>
      </c>
      <c r="X137" t="s">
        <v>2817</v>
      </c>
      <c r="Y137" t="s">
        <v>2818</v>
      </c>
      <c r="Z137" t="s">
        <v>2819</v>
      </c>
      <c r="AA137" t="s">
        <v>74</v>
      </c>
      <c r="AB137" t="s">
        <v>74</v>
      </c>
      <c r="AC137" t="s">
        <v>2820</v>
      </c>
      <c r="AD137" t="s">
        <v>2821</v>
      </c>
      <c r="AE137" t="s">
        <v>2822</v>
      </c>
      <c r="AF137" t="s">
        <v>74</v>
      </c>
      <c r="AG137">
        <v>36</v>
      </c>
      <c r="AH137">
        <v>25</v>
      </c>
      <c r="AI137">
        <v>29</v>
      </c>
      <c r="AJ137">
        <v>1</v>
      </c>
      <c r="AK137">
        <v>69</v>
      </c>
      <c r="AL137" t="s">
        <v>1153</v>
      </c>
      <c r="AM137" t="s">
        <v>1154</v>
      </c>
      <c r="AN137" t="s">
        <v>1155</v>
      </c>
      <c r="AO137" t="s">
        <v>2804</v>
      </c>
      <c r="AP137" t="s">
        <v>74</v>
      </c>
      <c r="AQ137" t="s">
        <v>74</v>
      </c>
      <c r="AR137" t="s">
        <v>2806</v>
      </c>
      <c r="AS137" t="s">
        <v>2807</v>
      </c>
      <c r="AT137" t="s">
        <v>867</v>
      </c>
      <c r="AU137">
        <v>2012</v>
      </c>
      <c r="AV137">
        <v>57</v>
      </c>
      <c r="AW137">
        <v>6</v>
      </c>
      <c r="AX137" t="s">
        <v>74</v>
      </c>
      <c r="AY137" t="s">
        <v>74</v>
      </c>
      <c r="AZ137" t="s">
        <v>74</v>
      </c>
      <c r="BA137" t="s">
        <v>74</v>
      </c>
      <c r="BB137">
        <v>1826</v>
      </c>
      <c r="BC137">
        <v>1837</v>
      </c>
      <c r="BD137" t="s">
        <v>74</v>
      </c>
      <c r="BE137" t="s">
        <v>2823</v>
      </c>
      <c r="BF137" t="str">
        <f>HYPERLINK("http://dx.doi.org/10.4319/lo.2012.57.6.1826","http://dx.doi.org/10.4319/lo.2012.57.6.1826")</f>
        <v>http://dx.doi.org/10.4319/lo.2012.57.6.1826</v>
      </c>
      <c r="BG137" t="s">
        <v>74</v>
      </c>
      <c r="BH137" t="s">
        <v>74</v>
      </c>
      <c r="BI137">
        <v>12</v>
      </c>
      <c r="BJ137" t="s">
        <v>1160</v>
      </c>
      <c r="BK137" t="s">
        <v>98</v>
      </c>
      <c r="BL137" t="s">
        <v>1161</v>
      </c>
      <c r="BM137" t="s">
        <v>2809</v>
      </c>
      <c r="BN137" t="s">
        <v>74</v>
      </c>
      <c r="BO137" t="s">
        <v>1458</v>
      </c>
      <c r="BP137" t="s">
        <v>74</v>
      </c>
      <c r="BQ137" t="s">
        <v>74</v>
      </c>
      <c r="BR137" t="s">
        <v>101</v>
      </c>
      <c r="BS137" t="s">
        <v>2824</v>
      </c>
      <c r="BT137" t="str">
        <f>HYPERLINK("https%3A%2F%2Fwww.webofscience.com%2Fwos%2Fwoscc%2Ffull-record%2FWOS:000313159700019","View Full Record in Web of Science")</f>
        <v>View Full Record in Web of Science</v>
      </c>
    </row>
    <row r="138" spans="1:72" x14ac:dyDescent="0.15">
      <c r="A138" t="s">
        <v>72</v>
      </c>
      <c r="B138" t="s">
        <v>2825</v>
      </c>
      <c r="C138" t="s">
        <v>74</v>
      </c>
      <c r="D138" t="s">
        <v>74</v>
      </c>
      <c r="E138" t="s">
        <v>74</v>
      </c>
      <c r="F138" t="s">
        <v>2826</v>
      </c>
      <c r="G138" t="s">
        <v>74</v>
      </c>
      <c r="H138" t="s">
        <v>74</v>
      </c>
      <c r="I138" t="s">
        <v>2827</v>
      </c>
      <c r="J138" t="s">
        <v>2828</v>
      </c>
      <c r="K138" t="s">
        <v>74</v>
      </c>
      <c r="L138" t="s">
        <v>74</v>
      </c>
      <c r="M138" t="s">
        <v>78</v>
      </c>
      <c r="N138" t="s">
        <v>2829</v>
      </c>
      <c r="O138" t="s">
        <v>74</v>
      </c>
      <c r="P138" t="s">
        <v>74</v>
      </c>
      <c r="Q138" t="s">
        <v>74</v>
      </c>
      <c r="R138" t="s">
        <v>74</v>
      </c>
      <c r="S138" t="s">
        <v>74</v>
      </c>
      <c r="T138" t="s">
        <v>74</v>
      </c>
      <c r="U138" t="s">
        <v>2830</v>
      </c>
      <c r="V138" t="s">
        <v>74</v>
      </c>
      <c r="W138" t="s">
        <v>2831</v>
      </c>
      <c r="X138" t="s">
        <v>2832</v>
      </c>
      <c r="Y138" t="s">
        <v>2833</v>
      </c>
      <c r="Z138" t="s">
        <v>2834</v>
      </c>
      <c r="AA138" t="s">
        <v>2835</v>
      </c>
      <c r="AB138" t="s">
        <v>2836</v>
      </c>
      <c r="AC138" t="s">
        <v>74</v>
      </c>
      <c r="AD138" t="s">
        <v>74</v>
      </c>
      <c r="AE138" t="s">
        <v>74</v>
      </c>
      <c r="AF138" t="s">
        <v>74</v>
      </c>
      <c r="AG138">
        <v>11</v>
      </c>
      <c r="AH138">
        <v>5</v>
      </c>
      <c r="AI138">
        <v>5</v>
      </c>
      <c r="AJ138">
        <v>0</v>
      </c>
      <c r="AK138">
        <v>6</v>
      </c>
      <c r="AL138" t="s">
        <v>433</v>
      </c>
      <c r="AM138" t="s">
        <v>434</v>
      </c>
      <c r="AN138" t="s">
        <v>435</v>
      </c>
      <c r="AO138" t="s">
        <v>2837</v>
      </c>
      <c r="AP138" t="s">
        <v>2838</v>
      </c>
      <c r="AQ138" t="s">
        <v>74</v>
      </c>
      <c r="AR138" t="s">
        <v>2839</v>
      </c>
      <c r="AS138" t="s">
        <v>2840</v>
      </c>
      <c r="AT138" t="s">
        <v>867</v>
      </c>
      <c r="AU138">
        <v>2012</v>
      </c>
      <c r="AV138">
        <v>2</v>
      </c>
      <c r="AW138">
        <v>11</v>
      </c>
      <c r="AX138" t="s">
        <v>74</v>
      </c>
      <c r="AY138" t="s">
        <v>74</v>
      </c>
      <c r="AZ138" t="s">
        <v>74</v>
      </c>
      <c r="BA138" t="s">
        <v>74</v>
      </c>
      <c r="BB138">
        <v>770</v>
      </c>
      <c r="BC138">
        <v>771</v>
      </c>
      <c r="BD138" t="s">
        <v>74</v>
      </c>
      <c r="BE138" t="s">
        <v>2841</v>
      </c>
      <c r="BF138" t="str">
        <f>HYPERLINK("http://dx.doi.org/10.1038/nclimate1730","http://dx.doi.org/10.1038/nclimate1730")</f>
        <v>http://dx.doi.org/10.1038/nclimate1730</v>
      </c>
      <c r="BG138" t="s">
        <v>74</v>
      </c>
      <c r="BH138" t="s">
        <v>74</v>
      </c>
      <c r="BI138">
        <v>2</v>
      </c>
      <c r="BJ138" t="s">
        <v>2842</v>
      </c>
      <c r="BK138" t="s">
        <v>2843</v>
      </c>
      <c r="BL138" t="s">
        <v>2844</v>
      </c>
      <c r="BM138" t="s">
        <v>2845</v>
      </c>
      <c r="BN138" t="s">
        <v>74</v>
      </c>
      <c r="BO138" t="s">
        <v>1499</v>
      </c>
      <c r="BP138" t="s">
        <v>74</v>
      </c>
      <c r="BQ138" t="s">
        <v>74</v>
      </c>
      <c r="BR138" t="s">
        <v>101</v>
      </c>
      <c r="BS138" t="s">
        <v>2846</v>
      </c>
      <c r="BT138" t="str">
        <f>HYPERLINK("https%3A%2F%2Fwww.webofscience.com%2Fwos%2Fwoscc%2Ffull-record%2FWOS:000311590900007","View Full Record in Web of Science")</f>
        <v>View Full Record in Web of Science</v>
      </c>
    </row>
    <row r="139" spans="1:72" x14ac:dyDescent="0.15">
      <c r="A139" t="s">
        <v>72</v>
      </c>
      <c r="B139" t="s">
        <v>2847</v>
      </c>
      <c r="C139" t="s">
        <v>74</v>
      </c>
      <c r="D139" t="s">
        <v>74</v>
      </c>
      <c r="E139" t="s">
        <v>74</v>
      </c>
      <c r="F139" t="s">
        <v>2848</v>
      </c>
      <c r="G139" t="s">
        <v>74</v>
      </c>
      <c r="H139" t="s">
        <v>74</v>
      </c>
      <c r="I139" t="s">
        <v>2849</v>
      </c>
      <c r="J139" t="s">
        <v>2850</v>
      </c>
      <c r="K139" t="s">
        <v>74</v>
      </c>
      <c r="L139" t="s">
        <v>74</v>
      </c>
      <c r="M139" t="s">
        <v>78</v>
      </c>
      <c r="N139" t="s">
        <v>79</v>
      </c>
      <c r="O139" t="s">
        <v>74</v>
      </c>
      <c r="P139" t="s">
        <v>74</v>
      </c>
      <c r="Q139" t="s">
        <v>74</v>
      </c>
      <c r="R139" t="s">
        <v>74</v>
      </c>
      <c r="S139" t="s">
        <v>74</v>
      </c>
      <c r="T139" t="s">
        <v>74</v>
      </c>
      <c r="U139" t="s">
        <v>2851</v>
      </c>
      <c r="V139" t="s">
        <v>2852</v>
      </c>
      <c r="W139" t="s">
        <v>2853</v>
      </c>
      <c r="X139" t="s">
        <v>2854</v>
      </c>
      <c r="Y139" t="s">
        <v>2855</v>
      </c>
      <c r="Z139" t="s">
        <v>2856</v>
      </c>
      <c r="AA139" t="s">
        <v>2857</v>
      </c>
      <c r="AB139" t="s">
        <v>2858</v>
      </c>
      <c r="AC139" t="s">
        <v>2859</v>
      </c>
      <c r="AD139" t="s">
        <v>2860</v>
      </c>
      <c r="AE139" t="s">
        <v>2861</v>
      </c>
      <c r="AF139" t="s">
        <v>74</v>
      </c>
      <c r="AG139">
        <v>50</v>
      </c>
      <c r="AH139">
        <v>185</v>
      </c>
      <c r="AI139">
        <v>208</v>
      </c>
      <c r="AJ139">
        <v>6</v>
      </c>
      <c r="AK139">
        <v>182</v>
      </c>
      <c r="AL139" t="s">
        <v>433</v>
      </c>
      <c r="AM139" t="s">
        <v>371</v>
      </c>
      <c r="AN139" t="s">
        <v>2862</v>
      </c>
      <c r="AO139" t="s">
        <v>2863</v>
      </c>
      <c r="AP139" t="s">
        <v>2864</v>
      </c>
      <c r="AQ139" t="s">
        <v>74</v>
      </c>
      <c r="AR139" t="s">
        <v>2865</v>
      </c>
      <c r="AS139" t="s">
        <v>2866</v>
      </c>
      <c r="AT139" t="s">
        <v>867</v>
      </c>
      <c r="AU139">
        <v>2012</v>
      </c>
      <c r="AV139">
        <v>5</v>
      </c>
      <c r="AW139">
        <v>11</v>
      </c>
      <c r="AX139" t="s">
        <v>74</v>
      </c>
      <c r="AY139" t="s">
        <v>74</v>
      </c>
      <c r="AZ139" t="s">
        <v>74</v>
      </c>
      <c r="BA139" t="s">
        <v>74</v>
      </c>
      <c r="BB139">
        <v>771</v>
      </c>
      <c r="BC139">
        <v>774</v>
      </c>
      <c r="BD139" t="s">
        <v>74</v>
      </c>
      <c r="BE139" t="s">
        <v>2867</v>
      </c>
      <c r="BF139" t="str">
        <f>HYPERLINK("http://dx.doi.org/10.1038/ngeo1611","http://dx.doi.org/10.1038/ngeo1611")</f>
        <v>http://dx.doi.org/10.1038/ngeo1611</v>
      </c>
      <c r="BG139" t="s">
        <v>74</v>
      </c>
      <c r="BH139" t="s">
        <v>74</v>
      </c>
      <c r="BI139">
        <v>4</v>
      </c>
      <c r="BJ139" t="s">
        <v>461</v>
      </c>
      <c r="BK139" t="s">
        <v>98</v>
      </c>
      <c r="BL139" t="s">
        <v>462</v>
      </c>
      <c r="BM139" t="s">
        <v>2868</v>
      </c>
      <c r="BN139" t="s">
        <v>74</v>
      </c>
      <c r="BO139" t="s">
        <v>74</v>
      </c>
      <c r="BP139" t="s">
        <v>74</v>
      </c>
      <c r="BQ139" t="s">
        <v>74</v>
      </c>
      <c r="BR139" t="s">
        <v>101</v>
      </c>
      <c r="BS139" t="s">
        <v>2869</v>
      </c>
      <c r="BT139" t="str">
        <f>HYPERLINK("https%3A%2F%2Fwww.webofscience.com%2Fwos%2Fwoscc%2Ffull-record%2FWOS:000310707900010","View Full Record in Web of Science")</f>
        <v>View Full Record in Web of Science</v>
      </c>
    </row>
    <row r="140" spans="1:72" x14ac:dyDescent="0.15">
      <c r="A140" t="s">
        <v>72</v>
      </c>
      <c r="B140" t="s">
        <v>2870</v>
      </c>
      <c r="C140" t="s">
        <v>74</v>
      </c>
      <c r="D140" t="s">
        <v>74</v>
      </c>
      <c r="E140" t="s">
        <v>74</v>
      </c>
      <c r="F140" t="s">
        <v>2871</v>
      </c>
      <c r="G140" t="s">
        <v>74</v>
      </c>
      <c r="H140" t="s">
        <v>74</v>
      </c>
      <c r="I140" t="s">
        <v>2872</v>
      </c>
      <c r="J140" t="s">
        <v>2850</v>
      </c>
      <c r="K140" t="s">
        <v>74</v>
      </c>
      <c r="L140" t="s">
        <v>74</v>
      </c>
      <c r="M140" t="s">
        <v>78</v>
      </c>
      <c r="N140" t="s">
        <v>79</v>
      </c>
      <c r="O140" t="s">
        <v>74</v>
      </c>
      <c r="P140" t="s">
        <v>74</v>
      </c>
      <c r="Q140" t="s">
        <v>74</v>
      </c>
      <c r="R140" t="s">
        <v>74</v>
      </c>
      <c r="S140" t="s">
        <v>74</v>
      </c>
      <c r="T140" t="s">
        <v>74</v>
      </c>
      <c r="U140" t="s">
        <v>2873</v>
      </c>
      <c r="V140" t="s">
        <v>2874</v>
      </c>
      <c r="W140" t="s">
        <v>2875</v>
      </c>
      <c r="X140" t="s">
        <v>2876</v>
      </c>
      <c r="Y140" t="s">
        <v>2877</v>
      </c>
      <c r="Z140" t="s">
        <v>2878</v>
      </c>
      <c r="AA140" t="s">
        <v>2879</v>
      </c>
      <c r="AB140" t="s">
        <v>2880</v>
      </c>
      <c r="AC140" t="s">
        <v>2881</v>
      </c>
      <c r="AD140" t="s">
        <v>2882</v>
      </c>
      <c r="AE140" t="s">
        <v>2883</v>
      </c>
      <c r="AF140" t="s">
        <v>74</v>
      </c>
      <c r="AG140">
        <v>30</v>
      </c>
      <c r="AH140">
        <v>186</v>
      </c>
      <c r="AI140">
        <v>196</v>
      </c>
      <c r="AJ140">
        <v>2</v>
      </c>
      <c r="AK140">
        <v>67</v>
      </c>
      <c r="AL140" t="s">
        <v>433</v>
      </c>
      <c r="AM140" t="s">
        <v>371</v>
      </c>
      <c r="AN140" t="s">
        <v>2862</v>
      </c>
      <c r="AO140" t="s">
        <v>2863</v>
      </c>
      <c r="AP140" t="s">
        <v>2864</v>
      </c>
      <c r="AQ140" t="s">
        <v>74</v>
      </c>
      <c r="AR140" t="s">
        <v>2865</v>
      </c>
      <c r="AS140" t="s">
        <v>2866</v>
      </c>
      <c r="AT140" t="s">
        <v>867</v>
      </c>
      <c r="AU140">
        <v>2012</v>
      </c>
      <c r="AV140">
        <v>5</v>
      </c>
      <c r="AW140">
        <v>11</v>
      </c>
      <c r="AX140" t="s">
        <v>74</v>
      </c>
      <c r="AY140" t="s">
        <v>74</v>
      </c>
      <c r="AZ140" t="s">
        <v>74</v>
      </c>
      <c r="BA140" t="s">
        <v>74</v>
      </c>
      <c r="BB140">
        <v>793</v>
      </c>
      <c r="BC140">
        <v>798</v>
      </c>
      <c r="BD140" t="s">
        <v>74</v>
      </c>
      <c r="BE140" t="s">
        <v>2884</v>
      </c>
      <c r="BF140" t="str">
        <f>HYPERLINK("http://dx.doi.org/10.1038/NGEO1613","http://dx.doi.org/10.1038/NGEO1613")</f>
        <v>http://dx.doi.org/10.1038/NGEO1613</v>
      </c>
      <c r="BG140" t="s">
        <v>74</v>
      </c>
      <c r="BH140" t="s">
        <v>74</v>
      </c>
      <c r="BI140">
        <v>6</v>
      </c>
      <c r="BJ140" t="s">
        <v>461</v>
      </c>
      <c r="BK140" t="s">
        <v>98</v>
      </c>
      <c r="BL140" t="s">
        <v>462</v>
      </c>
      <c r="BM140" t="s">
        <v>2868</v>
      </c>
      <c r="BN140" t="s">
        <v>74</v>
      </c>
      <c r="BO140" t="s">
        <v>74</v>
      </c>
      <c r="BP140" t="s">
        <v>74</v>
      </c>
      <c r="BQ140" t="s">
        <v>74</v>
      </c>
      <c r="BR140" t="s">
        <v>101</v>
      </c>
      <c r="BS140" t="s">
        <v>2885</v>
      </c>
      <c r="BT140" t="str">
        <f>HYPERLINK("https%3A%2F%2Fwww.webofscience.com%2Fwos%2Fwoscc%2Ffull-record%2FWOS:000310707900015","View Full Record in Web of Science")</f>
        <v>View Full Record in Web of Science</v>
      </c>
    </row>
    <row r="141" spans="1:72" x14ac:dyDescent="0.15">
      <c r="A141" t="s">
        <v>72</v>
      </c>
      <c r="B141" t="s">
        <v>2886</v>
      </c>
      <c r="C141" t="s">
        <v>74</v>
      </c>
      <c r="D141" t="s">
        <v>74</v>
      </c>
      <c r="E141" t="s">
        <v>74</v>
      </c>
      <c r="F141" t="s">
        <v>2887</v>
      </c>
      <c r="G141" t="s">
        <v>74</v>
      </c>
      <c r="H141" t="s">
        <v>74</v>
      </c>
      <c r="I141" t="s">
        <v>2888</v>
      </c>
      <c r="J141" t="s">
        <v>2850</v>
      </c>
      <c r="K141" t="s">
        <v>74</v>
      </c>
      <c r="L141" t="s">
        <v>74</v>
      </c>
      <c r="M141" t="s">
        <v>78</v>
      </c>
      <c r="N141" t="s">
        <v>79</v>
      </c>
      <c r="O141" t="s">
        <v>74</v>
      </c>
      <c r="P141" t="s">
        <v>74</v>
      </c>
      <c r="Q141" t="s">
        <v>74</v>
      </c>
      <c r="R141" t="s">
        <v>74</v>
      </c>
      <c r="S141" t="s">
        <v>74</v>
      </c>
      <c r="T141" t="s">
        <v>74</v>
      </c>
      <c r="U141" t="s">
        <v>2889</v>
      </c>
      <c r="V141" t="s">
        <v>2890</v>
      </c>
      <c r="W141" t="s">
        <v>2891</v>
      </c>
      <c r="X141" t="s">
        <v>2892</v>
      </c>
      <c r="Y141" t="s">
        <v>2893</v>
      </c>
      <c r="Z141" t="s">
        <v>2894</v>
      </c>
      <c r="AA141" t="s">
        <v>2895</v>
      </c>
      <c r="AB141" t="s">
        <v>2896</v>
      </c>
      <c r="AC141" t="s">
        <v>2897</v>
      </c>
      <c r="AD141" t="s">
        <v>2898</v>
      </c>
      <c r="AE141" t="s">
        <v>2899</v>
      </c>
      <c r="AF141" t="s">
        <v>74</v>
      </c>
      <c r="AG141">
        <v>30</v>
      </c>
      <c r="AH141">
        <v>155</v>
      </c>
      <c r="AI141">
        <v>167</v>
      </c>
      <c r="AJ141">
        <v>0</v>
      </c>
      <c r="AK141">
        <v>70</v>
      </c>
      <c r="AL141" t="s">
        <v>433</v>
      </c>
      <c r="AM141" t="s">
        <v>371</v>
      </c>
      <c r="AN141" t="s">
        <v>2862</v>
      </c>
      <c r="AO141" t="s">
        <v>2863</v>
      </c>
      <c r="AP141" t="s">
        <v>2864</v>
      </c>
      <c r="AQ141" t="s">
        <v>74</v>
      </c>
      <c r="AR141" t="s">
        <v>2865</v>
      </c>
      <c r="AS141" t="s">
        <v>2866</v>
      </c>
      <c r="AT141" t="s">
        <v>867</v>
      </c>
      <c r="AU141">
        <v>2012</v>
      </c>
      <c r="AV141">
        <v>5</v>
      </c>
      <c r="AW141">
        <v>11</v>
      </c>
      <c r="AX141" t="s">
        <v>74</v>
      </c>
      <c r="AY141" t="s">
        <v>74</v>
      </c>
      <c r="AZ141" t="s">
        <v>74</v>
      </c>
      <c r="BA141" t="s">
        <v>74</v>
      </c>
      <c r="BB141">
        <v>799</v>
      </c>
      <c r="BC141">
        <v>802</v>
      </c>
      <c r="BD141" t="s">
        <v>74</v>
      </c>
      <c r="BE141" t="s">
        <v>2900</v>
      </c>
      <c r="BF141" t="str">
        <f>HYPERLINK("http://dx.doi.org/10.1038/NGEO1600","http://dx.doi.org/10.1038/NGEO1600")</f>
        <v>http://dx.doi.org/10.1038/NGEO1600</v>
      </c>
      <c r="BG141" t="s">
        <v>74</v>
      </c>
      <c r="BH141" t="s">
        <v>74</v>
      </c>
      <c r="BI141">
        <v>4</v>
      </c>
      <c r="BJ141" t="s">
        <v>461</v>
      </c>
      <c r="BK141" t="s">
        <v>98</v>
      </c>
      <c r="BL141" t="s">
        <v>462</v>
      </c>
      <c r="BM141" t="s">
        <v>2868</v>
      </c>
      <c r="BN141" t="s">
        <v>74</v>
      </c>
      <c r="BO141" t="s">
        <v>416</v>
      </c>
      <c r="BP141" t="s">
        <v>74</v>
      </c>
      <c r="BQ141" t="s">
        <v>74</v>
      </c>
      <c r="BR141" t="s">
        <v>101</v>
      </c>
      <c r="BS141" t="s">
        <v>2901</v>
      </c>
      <c r="BT141" t="str">
        <f>HYPERLINK("https%3A%2F%2Fwww.webofscience.com%2Fwos%2Fwoscc%2Ffull-record%2FWOS:000310707900016","View Full Record in Web of Science")</f>
        <v>View Full Record in Web of Science</v>
      </c>
    </row>
    <row r="142" spans="1:72" x14ac:dyDescent="0.15">
      <c r="A142" t="s">
        <v>72</v>
      </c>
      <c r="B142" t="s">
        <v>2902</v>
      </c>
      <c r="C142" t="s">
        <v>74</v>
      </c>
      <c r="D142" t="s">
        <v>74</v>
      </c>
      <c r="E142" t="s">
        <v>74</v>
      </c>
      <c r="F142" t="s">
        <v>2903</v>
      </c>
      <c r="G142" t="s">
        <v>74</v>
      </c>
      <c r="H142" t="s">
        <v>74</v>
      </c>
      <c r="I142" t="s">
        <v>2904</v>
      </c>
      <c r="J142" t="s">
        <v>2905</v>
      </c>
      <c r="K142" t="s">
        <v>74</v>
      </c>
      <c r="L142" t="s">
        <v>74</v>
      </c>
      <c r="M142" t="s">
        <v>78</v>
      </c>
      <c r="N142" t="s">
        <v>79</v>
      </c>
      <c r="O142" t="s">
        <v>74</v>
      </c>
      <c r="P142" t="s">
        <v>74</v>
      </c>
      <c r="Q142" t="s">
        <v>74</v>
      </c>
      <c r="R142" t="s">
        <v>74</v>
      </c>
      <c r="S142" t="s">
        <v>74</v>
      </c>
      <c r="T142" t="s">
        <v>2906</v>
      </c>
      <c r="U142" t="s">
        <v>74</v>
      </c>
      <c r="V142" t="s">
        <v>2907</v>
      </c>
      <c r="W142" t="s">
        <v>2908</v>
      </c>
      <c r="X142" t="s">
        <v>2909</v>
      </c>
      <c r="Y142" t="s">
        <v>2910</v>
      </c>
      <c r="Z142" t="s">
        <v>2911</v>
      </c>
      <c r="AA142" t="s">
        <v>74</v>
      </c>
      <c r="AB142" t="s">
        <v>74</v>
      </c>
      <c r="AC142" t="s">
        <v>74</v>
      </c>
      <c r="AD142" t="s">
        <v>74</v>
      </c>
      <c r="AE142" t="s">
        <v>74</v>
      </c>
      <c r="AF142" t="s">
        <v>74</v>
      </c>
      <c r="AG142">
        <v>16</v>
      </c>
      <c r="AH142">
        <v>1</v>
      </c>
      <c r="AI142">
        <v>1</v>
      </c>
      <c r="AJ142">
        <v>0</v>
      </c>
      <c r="AK142">
        <v>0</v>
      </c>
      <c r="AL142" t="s">
        <v>2912</v>
      </c>
      <c r="AM142" t="s">
        <v>2913</v>
      </c>
      <c r="AN142" t="s">
        <v>2914</v>
      </c>
      <c r="AO142" t="s">
        <v>2915</v>
      </c>
      <c r="AP142" t="s">
        <v>2916</v>
      </c>
      <c r="AQ142" t="s">
        <v>74</v>
      </c>
      <c r="AR142" t="s">
        <v>2917</v>
      </c>
      <c r="AS142" t="s">
        <v>2918</v>
      </c>
      <c r="AT142" t="s">
        <v>867</v>
      </c>
      <c r="AU142">
        <v>2012</v>
      </c>
      <c r="AV142">
        <v>4</v>
      </c>
      <c r="AW142">
        <v>3</v>
      </c>
      <c r="AX142" t="s">
        <v>74</v>
      </c>
      <c r="AY142" t="s">
        <v>74</v>
      </c>
      <c r="AZ142" t="s">
        <v>74</v>
      </c>
      <c r="BA142" t="s">
        <v>74</v>
      </c>
      <c r="BB142">
        <v>134</v>
      </c>
      <c r="BC142">
        <v>137</v>
      </c>
      <c r="BD142" t="s">
        <v>74</v>
      </c>
      <c r="BE142" t="s">
        <v>2919</v>
      </c>
      <c r="BF142" t="str">
        <f>HYPERLINK("http://dx.doi.org/10.13057/nusbiosci/n040308","http://dx.doi.org/10.13057/nusbiosci/n040308")</f>
        <v>http://dx.doi.org/10.13057/nusbiosci/n040308</v>
      </c>
      <c r="BG142" t="s">
        <v>74</v>
      </c>
      <c r="BH142" t="s">
        <v>74</v>
      </c>
      <c r="BI142">
        <v>4</v>
      </c>
      <c r="BJ142" t="s">
        <v>1966</v>
      </c>
      <c r="BK142" t="s">
        <v>2920</v>
      </c>
      <c r="BL142" t="s">
        <v>1967</v>
      </c>
      <c r="BM142" t="s">
        <v>2921</v>
      </c>
      <c r="BN142" t="s">
        <v>74</v>
      </c>
      <c r="BO142" t="s">
        <v>607</v>
      </c>
      <c r="BP142" t="s">
        <v>74</v>
      </c>
      <c r="BQ142" t="s">
        <v>74</v>
      </c>
      <c r="BR142" t="s">
        <v>101</v>
      </c>
      <c r="BS142" t="s">
        <v>2922</v>
      </c>
      <c r="BT142" t="str">
        <f>HYPERLINK("https%3A%2F%2Fwww.webofscience.com%2Fwos%2Fwoscc%2Ffull-record%2FWOS:000219033800008","View Full Record in Web of Science")</f>
        <v>View Full Record in Web of Science</v>
      </c>
    </row>
    <row r="143" spans="1:72" x14ac:dyDescent="0.15">
      <c r="A143" t="s">
        <v>72</v>
      </c>
      <c r="B143" t="s">
        <v>2923</v>
      </c>
      <c r="C143" t="s">
        <v>74</v>
      </c>
      <c r="D143" t="s">
        <v>74</v>
      </c>
      <c r="E143" t="s">
        <v>74</v>
      </c>
      <c r="F143" t="s">
        <v>2924</v>
      </c>
      <c r="G143" t="s">
        <v>74</v>
      </c>
      <c r="H143" t="s">
        <v>74</v>
      </c>
      <c r="I143" t="s">
        <v>2925</v>
      </c>
      <c r="J143" t="s">
        <v>1860</v>
      </c>
      <c r="K143" t="s">
        <v>74</v>
      </c>
      <c r="L143" t="s">
        <v>74</v>
      </c>
      <c r="M143" t="s">
        <v>78</v>
      </c>
      <c r="N143" t="s">
        <v>79</v>
      </c>
      <c r="O143" t="s">
        <v>74</v>
      </c>
      <c r="P143" t="s">
        <v>74</v>
      </c>
      <c r="Q143" t="s">
        <v>74</v>
      </c>
      <c r="R143" t="s">
        <v>74</v>
      </c>
      <c r="S143" t="s">
        <v>74</v>
      </c>
      <c r="T143" t="s">
        <v>2926</v>
      </c>
      <c r="U143" t="s">
        <v>2927</v>
      </c>
      <c r="V143" t="s">
        <v>2928</v>
      </c>
      <c r="W143" t="s">
        <v>2929</v>
      </c>
      <c r="X143" t="s">
        <v>2930</v>
      </c>
      <c r="Y143" t="s">
        <v>2931</v>
      </c>
      <c r="Z143" t="s">
        <v>2932</v>
      </c>
      <c r="AA143" t="s">
        <v>2933</v>
      </c>
      <c r="AB143" t="s">
        <v>2934</v>
      </c>
      <c r="AC143" t="s">
        <v>2935</v>
      </c>
      <c r="AD143" t="s">
        <v>2936</v>
      </c>
      <c r="AE143" t="s">
        <v>2937</v>
      </c>
      <c r="AF143" t="s">
        <v>74</v>
      </c>
      <c r="AG143">
        <v>68</v>
      </c>
      <c r="AH143">
        <v>18</v>
      </c>
      <c r="AI143">
        <v>19</v>
      </c>
      <c r="AJ143">
        <v>1</v>
      </c>
      <c r="AK143">
        <v>73</v>
      </c>
      <c r="AL143" t="s">
        <v>935</v>
      </c>
      <c r="AM143" t="s">
        <v>371</v>
      </c>
      <c r="AN143" t="s">
        <v>1873</v>
      </c>
      <c r="AO143" t="s">
        <v>1874</v>
      </c>
      <c r="AP143" t="s">
        <v>1875</v>
      </c>
      <c r="AQ143" t="s">
        <v>74</v>
      </c>
      <c r="AR143" t="s">
        <v>1876</v>
      </c>
      <c r="AS143" t="s">
        <v>1877</v>
      </c>
      <c r="AT143" t="s">
        <v>867</v>
      </c>
      <c r="AU143">
        <v>2012</v>
      </c>
      <c r="AV143">
        <v>35</v>
      </c>
      <c r="AW143">
        <v>11</v>
      </c>
      <c r="AX143" t="s">
        <v>74</v>
      </c>
      <c r="AY143" t="s">
        <v>74</v>
      </c>
      <c r="AZ143" t="s">
        <v>74</v>
      </c>
      <c r="BA143" t="s">
        <v>74</v>
      </c>
      <c r="BB143">
        <v>1681</v>
      </c>
      <c r="BC143">
        <v>1689</v>
      </c>
      <c r="BD143" t="s">
        <v>74</v>
      </c>
      <c r="BE143" t="s">
        <v>2938</v>
      </c>
      <c r="BF143" t="str">
        <f>HYPERLINK("http://dx.doi.org/10.1007/s00300-012-1210-7","http://dx.doi.org/10.1007/s00300-012-1210-7")</f>
        <v>http://dx.doi.org/10.1007/s00300-012-1210-7</v>
      </c>
      <c r="BG143" t="s">
        <v>74</v>
      </c>
      <c r="BH143" t="s">
        <v>74</v>
      </c>
      <c r="BI143">
        <v>9</v>
      </c>
      <c r="BJ143" t="s">
        <v>1879</v>
      </c>
      <c r="BK143" t="s">
        <v>98</v>
      </c>
      <c r="BL143" t="s">
        <v>1880</v>
      </c>
      <c r="BM143" t="s">
        <v>1881</v>
      </c>
      <c r="BN143" t="s">
        <v>74</v>
      </c>
      <c r="BO143" t="s">
        <v>2939</v>
      </c>
      <c r="BP143" t="s">
        <v>74</v>
      </c>
      <c r="BQ143" t="s">
        <v>74</v>
      </c>
      <c r="BR143" t="s">
        <v>101</v>
      </c>
      <c r="BS143" t="s">
        <v>2940</v>
      </c>
      <c r="BT143" t="str">
        <f>HYPERLINK("https%3A%2F%2Fwww.webofscience.com%2Fwos%2Fwoscc%2Ffull-record%2FWOS:000310207900007","View Full Record in Web of Science")</f>
        <v>View Full Record in Web of Science</v>
      </c>
    </row>
    <row r="144" spans="1:72" x14ac:dyDescent="0.15">
      <c r="A144" t="s">
        <v>72</v>
      </c>
      <c r="B144" t="s">
        <v>2941</v>
      </c>
      <c r="C144" t="s">
        <v>74</v>
      </c>
      <c r="D144" t="s">
        <v>74</v>
      </c>
      <c r="E144" t="s">
        <v>74</v>
      </c>
      <c r="F144" t="s">
        <v>2942</v>
      </c>
      <c r="G144" t="s">
        <v>74</v>
      </c>
      <c r="H144" t="s">
        <v>74</v>
      </c>
      <c r="I144" t="s">
        <v>2943</v>
      </c>
      <c r="J144" t="s">
        <v>1860</v>
      </c>
      <c r="K144" t="s">
        <v>74</v>
      </c>
      <c r="L144" t="s">
        <v>74</v>
      </c>
      <c r="M144" t="s">
        <v>78</v>
      </c>
      <c r="N144" t="s">
        <v>79</v>
      </c>
      <c r="O144" t="s">
        <v>74</v>
      </c>
      <c r="P144" t="s">
        <v>74</v>
      </c>
      <c r="Q144" t="s">
        <v>74</v>
      </c>
      <c r="R144" t="s">
        <v>74</v>
      </c>
      <c r="S144" t="s">
        <v>74</v>
      </c>
      <c r="T144" t="s">
        <v>2944</v>
      </c>
      <c r="U144" t="s">
        <v>2945</v>
      </c>
      <c r="V144" t="s">
        <v>2946</v>
      </c>
      <c r="W144" t="s">
        <v>2947</v>
      </c>
      <c r="X144" t="s">
        <v>2948</v>
      </c>
      <c r="Y144" t="s">
        <v>2949</v>
      </c>
      <c r="Z144" t="s">
        <v>2950</v>
      </c>
      <c r="AA144" t="s">
        <v>2951</v>
      </c>
      <c r="AB144" t="s">
        <v>74</v>
      </c>
      <c r="AC144" t="s">
        <v>2952</v>
      </c>
      <c r="AD144" t="s">
        <v>2953</v>
      </c>
      <c r="AE144" t="s">
        <v>2954</v>
      </c>
      <c r="AF144" t="s">
        <v>74</v>
      </c>
      <c r="AG144">
        <v>49</v>
      </c>
      <c r="AH144">
        <v>10</v>
      </c>
      <c r="AI144">
        <v>10</v>
      </c>
      <c r="AJ144">
        <v>1</v>
      </c>
      <c r="AK144">
        <v>39</v>
      </c>
      <c r="AL144" t="s">
        <v>935</v>
      </c>
      <c r="AM144" t="s">
        <v>371</v>
      </c>
      <c r="AN144" t="s">
        <v>936</v>
      </c>
      <c r="AO144" t="s">
        <v>1874</v>
      </c>
      <c r="AP144" t="s">
        <v>1875</v>
      </c>
      <c r="AQ144" t="s">
        <v>74</v>
      </c>
      <c r="AR144" t="s">
        <v>1876</v>
      </c>
      <c r="AS144" t="s">
        <v>1877</v>
      </c>
      <c r="AT144" t="s">
        <v>867</v>
      </c>
      <c r="AU144">
        <v>2012</v>
      </c>
      <c r="AV144">
        <v>35</v>
      </c>
      <c r="AW144">
        <v>11</v>
      </c>
      <c r="AX144" t="s">
        <v>74</v>
      </c>
      <c r="AY144" t="s">
        <v>74</v>
      </c>
      <c r="AZ144" t="s">
        <v>74</v>
      </c>
      <c r="BA144" t="s">
        <v>74</v>
      </c>
      <c r="BB144">
        <v>1703</v>
      </c>
      <c r="BC144">
        <v>1711</v>
      </c>
      <c r="BD144" t="s">
        <v>74</v>
      </c>
      <c r="BE144" t="s">
        <v>2955</v>
      </c>
      <c r="BF144" t="str">
        <f>HYPERLINK("http://dx.doi.org/10.1007/s00300-012-1213-4","http://dx.doi.org/10.1007/s00300-012-1213-4")</f>
        <v>http://dx.doi.org/10.1007/s00300-012-1213-4</v>
      </c>
      <c r="BG144" t="s">
        <v>74</v>
      </c>
      <c r="BH144" t="s">
        <v>74</v>
      </c>
      <c r="BI144">
        <v>9</v>
      </c>
      <c r="BJ144" t="s">
        <v>1879</v>
      </c>
      <c r="BK144" t="s">
        <v>98</v>
      </c>
      <c r="BL144" t="s">
        <v>1880</v>
      </c>
      <c r="BM144" t="s">
        <v>1881</v>
      </c>
      <c r="BN144" t="s">
        <v>74</v>
      </c>
      <c r="BO144" t="s">
        <v>74</v>
      </c>
      <c r="BP144" t="s">
        <v>74</v>
      </c>
      <c r="BQ144" t="s">
        <v>74</v>
      </c>
      <c r="BR144" t="s">
        <v>101</v>
      </c>
      <c r="BS144" t="s">
        <v>2956</v>
      </c>
      <c r="BT144" t="str">
        <f>HYPERLINK("https%3A%2F%2Fwww.webofscience.com%2Fwos%2Fwoscc%2Ffull-record%2FWOS:000310207900009","View Full Record in Web of Science")</f>
        <v>View Full Record in Web of Science</v>
      </c>
    </row>
    <row r="145" spans="1:72" x14ac:dyDescent="0.15">
      <c r="A145" t="s">
        <v>72</v>
      </c>
      <c r="B145" t="s">
        <v>2957</v>
      </c>
      <c r="C145" t="s">
        <v>74</v>
      </c>
      <c r="D145" t="s">
        <v>74</v>
      </c>
      <c r="E145" t="s">
        <v>74</v>
      </c>
      <c r="F145" t="s">
        <v>2958</v>
      </c>
      <c r="G145" t="s">
        <v>74</v>
      </c>
      <c r="H145" t="s">
        <v>74</v>
      </c>
      <c r="I145" t="s">
        <v>2959</v>
      </c>
      <c r="J145" t="s">
        <v>1860</v>
      </c>
      <c r="K145" t="s">
        <v>74</v>
      </c>
      <c r="L145" t="s">
        <v>74</v>
      </c>
      <c r="M145" t="s">
        <v>78</v>
      </c>
      <c r="N145" t="s">
        <v>79</v>
      </c>
      <c r="O145" t="s">
        <v>74</v>
      </c>
      <c r="P145" t="s">
        <v>74</v>
      </c>
      <c r="Q145" t="s">
        <v>74</v>
      </c>
      <c r="R145" t="s">
        <v>74</v>
      </c>
      <c r="S145" t="s">
        <v>74</v>
      </c>
      <c r="T145" t="s">
        <v>2960</v>
      </c>
      <c r="U145" t="s">
        <v>2961</v>
      </c>
      <c r="V145" t="s">
        <v>2962</v>
      </c>
      <c r="W145" t="s">
        <v>2963</v>
      </c>
      <c r="X145" t="s">
        <v>2964</v>
      </c>
      <c r="Y145" t="s">
        <v>2965</v>
      </c>
      <c r="Z145" t="s">
        <v>2966</v>
      </c>
      <c r="AA145" t="s">
        <v>2967</v>
      </c>
      <c r="AB145" t="s">
        <v>2968</v>
      </c>
      <c r="AC145" t="s">
        <v>74</v>
      </c>
      <c r="AD145" t="s">
        <v>74</v>
      </c>
      <c r="AE145" t="s">
        <v>74</v>
      </c>
      <c r="AF145" t="s">
        <v>74</v>
      </c>
      <c r="AG145">
        <v>25</v>
      </c>
      <c r="AH145">
        <v>38</v>
      </c>
      <c r="AI145">
        <v>42</v>
      </c>
      <c r="AJ145">
        <v>0</v>
      </c>
      <c r="AK145">
        <v>15</v>
      </c>
      <c r="AL145" t="s">
        <v>935</v>
      </c>
      <c r="AM145" t="s">
        <v>371</v>
      </c>
      <c r="AN145" t="s">
        <v>936</v>
      </c>
      <c r="AO145" t="s">
        <v>1874</v>
      </c>
      <c r="AP145" t="s">
        <v>74</v>
      </c>
      <c r="AQ145" t="s">
        <v>74</v>
      </c>
      <c r="AR145" t="s">
        <v>1876</v>
      </c>
      <c r="AS145" t="s">
        <v>1877</v>
      </c>
      <c r="AT145" t="s">
        <v>867</v>
      </c>
      <c r="AU145">
        <v>2012</v>
      </c>
      <c r="AV145">
        <v>35</v>
      </c>
      <c r="AW145">
        <v>11</v>
      </c>
      <c r="AX145" t="s">
        <v>74</v>
      </c>
      <c r="AY145" t="s">
        <v>74</v>
      </c>
      <c r="AZ145" t="s">
        <v>74</v>
      </c>
      <c r="BA145" t="s">
        <v>74</v>
      </c>
      <c r="BB145">
        <v>1743</v>
      </c>
      <c r="BC145">
        <v>1748</v>
      </c>
      <c r="BD145" t="s">
        <v>74</v>
      </c>
      <c r="BE145" t="s">
        <v>2969</v>
      </c>
      <c r="BF145" t="str">
        <f>HYPERLINK("http://dx.doi.org/10.1007/s00300-012-1208-1","http://dx.doi.org/10.1007/s00300-012-1208-1")</f>
        <v>http://dx.doi.org/10.1007/s00300-012-1208-1</v>
      </c>
      <c r="BG145" t="s">
        <v>74</v>
      </c>
      <c r="BH145" t="s">
        <v>74</v>
      </c>
      <c r="BI145">
        <v>6</v>
      </c>
      <c r="BJ145" t="s">
        <v>1879</v>
      </c>
      <c r="BK145" t="s">
        <v>98</v>
      </c>
      <c r="BL145" t="s">
        <v>1880</v>
      </c>
      <c r="BM145" t="s">
        <v>1881</v>
      </c>
      <c r="BN145" t="s">
        <v>74</v>
      </c>
      <c r="BO145" t="s">
        <v>74</v>
      </c>
      <c r="BP145" t="s">
        <v>74</v>
      </c>
      <c r="BQ145" t="s">
        <v>74</v>
      </c>
      <c r="BR145" t="s">
        <v>101</v>
      </c>
      <c r="BS145" t="s">
        <v>2970</v>
      </c>
      <c r="BT145" t="str">
        <f>HYPERLINK("https%3A%2F%2Fwww.webofscience.com%2Fwos%2Fwoscc%2Ffull-record%2FWOS:000310207900013","View Full Record in Web of Science")</f>
        <v>View Full Record in Web of Science</v>
      </c>
    </row>
    <row r="146" spans="1:72" x14ac:dyDescent="0.15">
      <c r="A146" t="s">
        <v>72</v>
      </c>
      <c r="B146" t="s">
        <v>2971</v>
      </c>
      <c r="C146" t="s">
        <v>74</v>
      </c>
      <c r="D146" t="s">
        <v>74</v>
      </c>
      <c r="E146" t="s">
        <v>74</v>
      </c>
      <c r="F146" t="s">
        <v>2972</v>
      </c>
      <c r="G146" t="s">
        <v>74</v>
      </c>
      <c r="H146" t="s">
        <v>74</v>
      </c>
      <c r="I146" t="s">
        <v>2973</v>
      </c>
      <c r="J146" t="s">
        <v>1860</v>
      </c>
      <c r="K146" t="s">
        <v>74</v>
      </c>
      <c r="L146" t="s">
        <v>74</v>
      </c>
      <c r="M146" t="s">
        <v>78</v>
      </c>
      <c r="N146" t="s">
        <v>79</v>
      </c>
      <c r="O146" t="s">
        <v>74</v>
      </c>
      <c r="P146" t="s">
        <v>74</v>
      </c>
      <c r="Q146" t="s">
        <v>74</v>
      </c>
      <c r="R146" t="s">
        <v>74</v>
      </c>
      <c r="S146" t="s">
        <v>74</v>
      </c>
      <c r="T146" t="s">
        <v>2974</v>
      </c>
      <c r="U146" t="s">
        <v>2975</v>
      </c>
      <c r="V146" t="s">
        <v>2976</v>
      </c>
      <c r="W146" t="s">
        <v>2977</v>
      </c>
      <c r="X146" t="s">
        <v>2978</v>
      </c>
      <c r="Y146" t="s">
        <v>2979</v>
      </c>
      <c r="Z146" t="s">
        <v>2980</v>
      </c>
      <c r="AA146" t="s">
        <v>2981</v>
      </c>
      <c r="AB146" t="s">
        <v>2982</v>
      </c>
      <c r="AC146" t="s">
        <v>2983</v>
      </c>
      <c r="AD146" t="s">
        <v>2984</v>
      </c>
      <c r="AE146" t="s">
        <v>2985</v>
      </c>
      <c r="AF146" t="s">
        <v>74</v>
      </c>
      <c r="AG146">
        <v>18</v>
      </c>
      <c r="AH146">
        <v>29</v>
      </c>
      <c r="AI146">
        <v>33</v>
      </c>
      <c r="AJ146">
        <v>2</v>
      </c>
      <c r="AK146">
        <v>26</v>
      </c>
      <c r="AL146" t="s">
        <v>935</v>
      </c>
      <c r="AM146" t="s">
        <v>371</v>
      </c>
      <c r="AN146" t="s">
        <v>936</v>
      </c>
      <c r="AO146" t="s">
        <v>1874</v>
      </c>
      <c r="AP146" t="s">
        <v>74</v>
      </c>
      <c r="AQ146" t="s">
        <v>74</v>
      </c>
      <c r="AR146" t="s">
        <v>1876</v>
      </c>
      <c r="AS146" t="s">
        <v>1877</v>
      </c>
      <c r="AT146" t="s">
        <v>867</v>
      </c>
      <c r="AU146">
        <v>2012</v>
      </c>
      <c r="AV146">
        <v>35</v>
      </c>
      <c r="AW146">
        <v>11</v>
      </c>
      <c r="AX146" t="s">
        <v>74</v>
      </c>
      <c r="AY146" t="s">
        <v>74</v>
      </c>
      <c r="AZ146" t="s">
        <v>74</v>
      </c>
      <c r="BA146" t="s">
        <v>74</v>
      </c>
      <c r="BB146">
        <v>1753</v>
      </c>
      <c r="BC146">
        <v>1758</v>
      </c>
      <c r="BD146" t="s">
        <v>74</v>
      </c>
      <c r="BE146" t="s">
        <v>2986</v>
      </c>
      <c r="BF146" t="str">
        <f>HYPERLINK("http://dx.doi.org/10.1007/s00300-012-1212-5","http://dx.doi.org/10.1007/s00300-012-1212-5")</f>
        <v>http://dx.doi.org/10.1007/s00300-012-1212-5</v>
      </c>
      <c r="BG146" t="s">
        <v>74</v>
      </c>
      <c r="BH146" t="s">
        <v>74</v>
      </c>
      <c r="BI146">
        <v>6</v>
      </c>
      <c r="BJ146" t="s">
        <v>1879</v>
      </c>
      <c r="BK146" t="s">
        <v>98</v>
      </c>
      <c r="BL146" t="s">
        <v>1880</v>
      </c>
      <c r="BM146" t="s">
        <v>1881</v>
      </c>
      <c r="BN146" t="s">
        <v>74</v>
      </c>
      <c r="BO146" t="s">
        <v>74</v>
      </c>
      <c r="BP146" t="s">
        <v>74</v>
      </c>
      <c r="BQ146" t="s">
        <v>74</v>
      </c>
      <c r="BR146" t="s">
        <v>101</v>
      </c>
      <c r="BS146" t="s">
        <v>2987</v>
      </c>
      <c r="BT146" t="str">
        <f>HYPERLINK("https%3A%2F%2Fwww.webofscience.com%2Fwos%2Fwoscc%2Ffull-record%2FWOS:000310207900015","View Full Record in Web of Science")</f>
        <v>View Full Record in Web of Science</v>
      </c>
    </row>
    <row r="147" spans="1:72" x14ac:dyDescent="0.15">
      <c r="A147" t="s">
        <v>72</v>
      </c>
      <c r="B147" t="s">
        <v>2988</v>
      </c>
      <c r="C147" t="s">
        <v>74</v>
      </c>
      <c r="D147" t="s">
        <v>74</v>
      </c>
      <c r="E147" t="s">
        <v>74</v>
      </c>
      <c r="F147" t="s">
        <v>2989</v>
      </c>
      <c r="G147" t="s">
        <v>74</v>
      </c>
      <c r="H147" t="s">
        <v>74</v>
      </c>
      <c r="I147" t="s">
        <v>2990</v>
      </c>
      <c r="J147" t="s">
        <v>1860</v>
      </c>
      <c r="K147" t="s">
        <v>74</v>
      </c>
      <c r="L147" t="s">
        <v>74</v>
      </c>
      <c r="M147" t="s">
        <v>78</v>
      </c>
      <c r="N147" t="s">
        <v>79</v>
      </c>
      <c r="O147" t="s">
        <v>74</v>
      </c>
      <c r="P147" t="s">
        <v>74</v>
      </c>
      <c r="Q147" t="s">
        <v>74</v>
      </c>
      <c r="R147" t="s">
        <v>74</v>
      </c>
      <c r="S147" t="s">
        <v>74</v>
      </c>
      <c r="T147" t="s">
        <v>2991</v>
      </c>
      <c r="U147" t="s">
        <v>2992</v>
      </c>
      <c r="V147" t="s">
        <v>2993</v>
      </c>
      <c r="W147" t="s">
        <v>2994</v>
      </c>
      <c r="X147" t="s">
        <v>2995</v>
      </c>
      <c r="Y147" t="s">
        <v>2996</v>
      </c>
      <c r="Z147" t="s">
        <v>2997</v>
      </c>
      <c r="AA147" t="s">
        <v>2998</v>
      </c>
      <c r="AB147" t="s">
        <v>2999</v>
      </c>
      <c r="AC147" t="s">
        <v>3000</v>
      </c>
      <c r="AD147" t="s">
        <v>3000</v>
      </c>
      <c r="AE147" t="s">
        <v>3001</v>
      </c>
      <c r="AF147" t="s">
        <v>74</v>
      </c>
      <c r="AG147">
        <v>30</v>
      </c>
      <c r="AH147">
        <v>7</v>
      </c>
      <c r="AI147">
        <v>7</v>
      </c>
      <c r="AJ147">
        <v>0</v>
      </c>
      <c r="AK147">
        <v>30</v>
      </c>
      <c r="AL147" t="s">
        <v>935</v>
      </c>
      <c r="AM147" t="s">
        <v>371</v>
      </c>
      <c r="AN147" t="s">
        <v>1873</v>
      </c>
      <c r="AO147" t="s">
        <v>1874</v>
      </c>
      <c r="AP147" t="s">
        <v>1875</v>
      </c>
      <c r="AQ147" t="s">
        <v>74</v>
      </c>
      <c r="AR147" t="s">
        <v>1876</v>
      </c>
      <c r="AS147" t="s">
        <v>1877</v>
      </c>
      <c r="AT147" t="s">
        <v>867</v>
      </c>
      <c r="AU147">
        <v>2012</v>
      </c>
      <c r="AV147">
        <v>35</v>
      </c>
      <c r="AW147">
        <v>11</v>
      </c>
      <c r="AX147" t="s">
        <v>74</v>
      </c>
      <c r="AY147" t="s">
        <v>74</v>
      </c>
      <c r="AZ147" t="s">
        <v>74</v>
      </c>
      <c r="BA147" t="s">
        <v>74</v>
      </c>
      <c r="BB147">
        <v>1759</v>
      </c>
      <c r="BC147">
        <v>1766</v>
      </c>
      <c r="BD147" t="s">
        <v>74</v>
      </c>
      <c r="BE147" t="s">
        <v>3002</v>
      </c>
      <c r="BF147" t="str">
        <f>HYPERLINK("http://dx.doi.org/10.1007/s00300-012-1214-3","http://dx.doi.org/10.1007/s00300-012-1214-3")</f>
        <v>http://dx.doi.org/10.1007/s00300-012-1214-3</v>
      </c>
      <c r="BG147" t="s">
        <v>74</v>
      </c>
      <c r="BH147" t="s">
        <v>74</v>
      </c>
      <c r="BI147">
        <v>8</v>
      </c>
      <c r="BJ147" t="s">
        <v>1879</v>
      </c>
      <c r="BK147" t="s">
        <v>98</v>
      </c>
      <c r="BL147" t="s">
        <v>1880</v>
      </c>
      <c r="BM147" t="s">
        <v>1881</v>
      </c>
      <c r="BN147" t="s">
        <v>74</v>
      </c>
      <c r="BO147" t="s">
        <v>1254</v>
      </c>
      <c r="BP147" t="s">
        <v>74</v>
      </c>
      <c r="BQ147" t="s">
        <v>74</v>
      </c>
      <c r="BR147" t="s">
        <v>101</v>
      </c>
      <c r="BS147" t="s">
        <v>3003</v>
      </c>
      <c r="BT147" t="str">
        <f>HYPERLINK("https%3A%2F%2Fwww.webofscience.com%2Fwos%2Fwoscc%2Ffull-record%2FWOS:000310207900016","View Full Record in Web of Science")</f>
        <v>View Full Record in Web of Science</v>
      </c>
    </row>
    <row r="148" spans="1:72" x14ac:dyDescent="0.15">
      <c r="A148" t="s">
        <v>72</v>
      </c>
      <c r="B148" t="s">
        <v>3004</v>
      </c>
      <c r="C148" t="s">
        <v>74</v>
      </c>
      <c r="D148" t="s">
        <v>74</v>
      </c>
      <c r="E148" t="s">
        <v>74</v>
      </c>
      <c r="F148" t="s">
        <v>3005</v>
      </c>
      <c r="G148" t="s">
        <v>74</v>
      </c>
      <c r="H148" t="s">
        <v>74</v>
      </c>
      <c r="I148" t="s">
        <v>3006</v>
      </c>
      <c r="J148" t="s">
        <v>3007</v>
      </c>
      <c r="K148" t="s">
        <v>74</v>
      </c>
      <c r="L148" t="s">
        <v>74</v>
      </c>
      <c r="M148" t="s">
        <v>78</v>
      </c>
      <c r="N148" t="s">
        <v>79</v>
      </c>
      <c r="O148" t="s">
        <v>74</v>
      </c>
      <c r="P148" t="s">
        <v>74</v>
      </c>
      <c r="Q148" t="s">
        <v>74</v>
      </c>
      <c r="R148" t="s">
        <v>74</v>
      </c>
      <c r="S148" t="s">
        <v>74</v>
      </c>
      <c r="T148" t="s">
        <v>3008</v>
      </c>
      <c r="U148" t="s">
        <v>3009</v>
      </c>
      <c r="V148" t="s">
        <v>3010</v>
      </c>
      <c r="W148" t="s">
        <v>3011</v>
      </c>
      <c r="X148" t="s">
        <v>74</v>
      </c>
      <c r="Y148" t="s">
        <v>3012</v>
      </c>
      <c r="Z148" t="s">
        <v>3013</v>
      </c>
      <c r="AA148" t="s">
        <v>3014</v>
      </c>
      <c r="AB148" t="s">
        <v>3015</v>
      </c>
      <c r="AC148" t="s">
        <v>3016</v>
      </c>
      <c r="AD148" t="s">
        <v>3016</v>
      </c>
      <c r="AE148" t="s">
        <v>3017</v>
      </c>
      <c r="AF148" t="s">
        <v>74</v>
      </c>
      <c r="AG148">
        <v>50</v>
      </c>
      <c r="AH148">
        <v>19</v>
      </c>
      <c r="AI148">
        <v>21</v>
      </c>
      <c r="AJ148">
        <v>2</v>
      </c>
      <c r="AK148">
        <v>48</v>
      </c>
      <c r="AL148" t="s">
        <v>3018</v>
      </c>
      <c r="AM148" t="s">
        <v>3019</v>
      </c>
      <c r="AN148" t="s">
        <v>3020</v>
      </c>
      <c r="AO148" t="s">
        <v>74</v>
      </c>
      <c r="AP148" t="s">
        <v>3021</v>
      </c>
      <c r="AQ148" t="s">
        <v>74</v>
      </c>
      <c r="AR148" t="s">
        <v>3022</v>
      </c>
      <c r="AS148" t="s">
        <v>3023</v>
      </c>
      <c r="AT148" t="s">
        <v>867</v>
      </c>
      <c r="AU148">
        <v>2012</v>
      </c>
      <c r="AV148">
        <v>4</v>
      </c>
      <c r="AW148">
        <v>11</v>
      </c>
      <c r="AX148" t="s">
        <v>74</v>
      </c>
      <c r="AY148" t="s">
        <v>74</v>
      </c>
      <c r="AZ148" t="s">
        <v>74</v>
      </c>
      <c r="BA148" t="s">
        <v>74</v>
      </c>
      <c r="BB148">
        <v>3501</v>
      </c>
      <c r="BC148">
        <v>3527</v>
      </c>
      <c r="BD148" t="s">
        <v>74</v>
      </c>
      <c r="BE148" t="s">
        <v>3024</v>
      </c>
      <c r="BF148" t="str">
        <f>HYPERLINK("http://dx.doi.org/10.3390/rs4113501","http://dx.doi.org/10.3390/rs4113501")</f>
        <v>http://dx.doi.org/10.3390/rs4113501</v>
      </c>
      <c r="BG148" t="s">
        <v>74</v>
      </c>
      <c r="BH148" t="s">
        <v>74</v>
      </c>
      <c r="BI148">
        <v>27</v>
      </c>
      <c r="BJ148" t="s">
        <v>3025</v>
      </c>
      <c r="BK148" t="s">
        <v>98</v>
      </c>
      <c r="BL148" t="s">
        <v>3026</v>
      </c>
      <c r="BM148" t="s">
        <v>3027</v>
      </c>
      <c r="BN148" t="s">
        <v>74</v>
      </c>
      <c r="BO148" t="s">
        <v>3028</v>
      </c>
      <c r="BP148" t="s">
        <v>74</v>
      </c>
      <c r="BQ148" t="s">
        <v>74</v>
      </c>
      <c r="BR148" t="s">
        <v>101</v>
      </c>
      <c r="BS148" t="s">
        <v>3029</v>
      </c>
      <c r="BT148" t="str">
        <f>HYPERLINK("https%3A%2F%2Fwww.webofscience.com%2Fwos%2Fwoscc%2Ffull-record%2FWOS:000313914500013","View Full Record in Web of Science")</f>
        <v>View Full Record in Web of Science</v>
      </c>
    </row>
    <row r="149" spans="1:72" x14ac:dyDescent="0.15">
      <c r="A149" t="s">
        <v>72</v>
      </c>
      <c r="B149" t="s">
        <v>3030</v>
      </c>
      <c r="C149" t="s">
        <v>74</v>
      </c>
      <c r="D149" t="s">
        <v>74</v>
      </c>
      <c r="E149" t="s">
        <v>74</v>
      </c>
      <c r="F149" t="s">
        <v>3031</v>
      </c>
      <c r="G149" t="s">
        <v>74</v>
      </c>
      <c r="H149" t="s">
        <v>74</v>
      </c>
      <c r="I149" t="s">
        <v>3032</v>
      </c>
      <c r="J149" t="s">
        <v>315</v>
      </c>
      <c r="K149" t="s">
        <v>74</v>
      </c>
      <c r="L149" t="s">
        <v>74</v>
      </c>
      <c r="M149" t="s">
        <v>78</v>
      </c>
      <c r="N149" t="s">
        <v>79</v>
      </c>
      <c r="O149" t="s">
        <v>74</v>
      </c>
      <c r="P149" t="s">
        <v>74</v>
      </c>
      <c r="Q149" t="s">
        <v>74</v>
      </c>
      <c r="R149" t="s">
        <v>74</v>
      </c>
      <c r="S149" t="s">
        <v>74</v>
      </c>
      <c r="T149" t="s">
        <v>3033</v>
      </c>
      <c r="U149" t="s">
        <v>3034</v>
      </c>
      <c r="V149" t="s">
        <v>3035</v>
      </c>
      <c r="W149" t="s">
        <v>3036</v>
      </c>
      <c r="X149" t="s">
        <v>3037</v>
      </c>
      <c r="Y149" t="s">
        <v>3038</v>
      </c>
      <c r="Z149" t="s">
        <v>3039</v>
      </c>
      <c r="AA149" t="s">
        <v>3040</v>
      </c>
      <c r="AB149" t="s">
        <v>3041</v>
      </c>
      <c r="AC149" t="s">
        <v>3042</v>
      </c>
      <c r="AD149" t="s">
        <v>3042</v>
      </c>
      <c r="AE149" t="s">
        <v>3043</v>
      </c>
      <c r="AF149" t="s">
        <v>74</v>
      </c>
      <c r="AG149">
        <v>53</v>
      </c>
      <c r="AH149">
        <v>23</v>
      </c>
      <c r="AI149">
        <v>23</v>
      </c>
      <c r="AJ149">
        <v>1</v>
      </c>
      <c r="AK149">
        <v>48</v>
      </c>
      <c r="AL149" t="s">
        <v>188</v>
      </c>
      <c r="AM149" t="s">
        <v>189</v>
      </c>
      <c r="AN149" t="s">
        <v>190</v>
      </c>
      <c r="AO149" t="s">
        <v>328</v>
      </c>
      <c r="AP149" t="s">
        <v>351</v>
      </c>
      <c r="AQ149" t="s">
        <v>74</v>
      </c>
      <c r="AR149" t="s">
        <v>329</v>
      </c>
      <c r="AS149" t="s">
        <v>330</v>
      </c>
      <c r="AT149" t="s">
        <v>964</v>
      </c>
      <c r="AU149">
        <v>2012</v>
      </c>
      <c r="AV149">
        <v>438</v>
      </c>
      <c r="AW149" t="s">
        <v>74</v>
      </c>
      <c r="AX149" t="s">
        <v>74</v>
      </c>
      <c r="AY149" t="s">
        <v>74</v>
      </c>
      <c r="AZ149" t="s">
        <v>74</v>
      </c>
      <c r="BA149" t="s">
        <v>74</v>
      </c>
      <c r="BB149">
        <v>127</v>
      </c>
      <c r="BC149">
        <v>134</v>
      </c>
      <c r="BD149" t="s">
        <v>74</v>
      </c>
      <c r="BE149" t="s">
        <v>3044</v>
      </c>
      <c r="BF149" t="str">
        <f>HYPERLINK("http://dx.doi.org/10.1016/j.scitotenv.2012.08.027","http://dx.doi.org/10.1016/j.scitotenv.2012.08.027")</f>
        <v>http://dx.doi.org/10.1016/j.scitotenv.2012.08.027</v>
      </c>
      <c r="BG149" t="s">
        <v>74</v>
      </c>
      <c r="BH149" t="s">
        <v>74</v>
      </c>
      <c r="BI149">
        <v>8</v>
      </c>
      <c r="BJ149" t="s">
        <v>332</v>
      </c>
      <c r="BK149" t="s">
        <v>98</v>
      </c>
      <c r="BL149" t="s">
        <v>333</v>
      </c>
      <c r="BM149" t="s">
        <v>3045</v>
      </c>
      <c r="BN149">
        <v>22982452</v>
      </c>
      <c r="BO149" t="s">
        <v>74</v>
      </c>
      <c r="BP149" t="s">
        <v>74</v>
      </c>
      <c r="BQ149" t="s">
        <v>74</v>
      </c>
      <c r="BR149" t="s">
        <v>101</v>
      </c>
      <c r="BS149" t="s">
        <v>3046</v>
      </c>
      <c r="BT149" t="str">
        <f>HYPERLINK("https%3A%2F%2Fwww.webofscience.com%2Fwos%2Fwoscc%2Ffull-record%2FWOS:000313155300017","View Full Record in Web of Science")</f>
        <v>View Full Record in Web of Science</v>
      </c>
    </row>
    <row r="150" spans="1:72" x14ac:dyDescent="0.15">
      <c r="A150" t="s">
        <v>72</v>
      </c>
      <c r="B150" t="s">
        <v>3047</v>
      </c>
      <c r="C150" t="s">
        <v>74</v>
      </c>
      <c r="D150" t="s">
        <v>74</v>
      </c>
      <c r="E150" t="s">
        <v>74</v>
      </c>
      <c r="F150" t="s">
        <v>3048</v>
      </c>
      <c r="G150" t="s">
        <v>74</v>
      </c>
      <c r="H150" t="s">
        <v>74</v>
      </c>
      <c r="I150" t="s">
        <v>3049</v>
      </c>
      <c r="J150" t="s">
        <v>3050</v>
      </c>
      <c r="K150" t="s">
        <v>74</v>
      </c>
      <c r="L150" t="s">
        <v>74</v>
      </c>
      <c r="M150" t="s">
        <v>78</v>
      </c>
      <c r="N150" t="s">
        <v>471</v>
      </c>
      <c r="O150" t="s">
        <v>3051</v>
      </c>
      <c r="P150" t="s">
        <v>3052</v>
      </c>
      <c r="Q150" t="s">
        <v>3053</v>
      </c>
      <c r="R150" t="s">
        <v>74</v>
      </c>
      <c r="S150" t="s">
        <v>74</v>
      </c>
      <c r="T150" t="s">
        <v>3054</v>
      </c>
      <c r="U150" t="s">
        <v>3055</v>
      </c>
      <c r="V150" t="s">
        <v>3056</v>
      </c>
      <c r="W150" t="s">
        <v>3057</v>
      </c>
      <c r="X150" t="s">
        <v>3058</v>
      </c>
      <c r="Y150" t="s">
        <v>3059</v>
      </c>
      <c r="Z150" t="s">
        <v>3060</v>
      </c>
      <c r="AA150" t="s">
        <v>3061</v>
      </c>
      <c r="AB150" t="s">
        <v>3062</v>
      </c>
      <c r="AC150" t="s">
        <v>3063</v>
      </c>
      <c r="AD150" t="s">
        <v>3064</v>
      </c>
      <c r="AE150" t="s">
        <v>3065</v>
      </c>
      <c r="AF150" t="s">
        <v>74</v>
      </c>
      <c r="AG150">
        <v>67</v>
      </c>
      <c r="AH150">
        <v>8</v>
      </c>
      <c r="AI150">
        <v>8</v>
      </c>
      <c r="AJ150">
        <v>1</v>
      </c>
      <c r="AK150">
        <v>43</v>
      </c>
      <c r="AL150" t="s">
        <v>935</v>
      </c>
      <c r="AM150" t="s">
        <v>2382</v>
      </c>
      <c r="AN150" t="s">
        <v>2383</v>
      </c>
      <c r="AO150" t="s">
        <v>3066</v>
      </c>
      <c r="AP150" t="s">
        <v>3067</v>
      </c>
      <c r="AQ150" t="s">
        <v>74</v>
      </c>
      <c r="AR150" t="s">
        <v>3050</v>
      </c>
      <c r="AS150" t="s">
        <v>3068</v>
      </c>
      <c r="AT150" t="s">
        <v>867</v>
      </c>
      <c r="AU150">
        <v>2012</v>
      </c>
      <c r="AV150">
        <v>698</v>
      </c>
      <c r="AW150">
        <v>1</v>
      </c>
      <c r="AX150" t="s">
        <v>74</v>
      </c>
      <c r="AY150" t="s">
        <v>74</v>
      </c>
      <c r="AZ150" t="s">
        <v>74</v>
      </c>
      <c r="BA150" t="s">
        <v>74</v>
      </c>
      <c r="BB150">
        <v>97</v>
      </c>
      <c r="BC150">
        <v>110</v>
      </c>
      <c r="BD150" t="s">
        <v>74</v>
      </c>
      <c r="BE150" t="s">
        <v>3069</v>
      </c>
      <c r="BF150" t="str">
        <f>HYPERLINK("http://dx.doi.org/10.1007/s10750-012-1214-x","http://dx.doi.org/10.1007/s10750-012-1214-x")</f>
        <v>http://dx.doi.org/10.1007/s10750-012-1214-x</v>
      </c>
      <c r="BG150" t="s">
        <v>74</v>
      </c>
      <c r="BH150" t="s">
        <v>74</v>
      </c>
      <c r="BI150">
        <v>14</v>
      </c>
      <c r="BJ150" t="s">
        <v>1753</v>
      </c>
      <c r="BK150" t="s">
        <v>491</v>
      </c>
      <c r="BL150" t="s">
        <v>1753</v>
      </c>
      <c r="BM150" t="s">
        <v>3070</v>
      </c>
      <c r="BN150" t="s">
        <v>74</v>
      </c>
      <c r="BO150" t="s">
        <v>74</v>
      </c>
      <c r="BP150" t="s">
        <v>74</v>
      </c>
      <c r="BQ150" t="s">
        <v>74</v>
      </c>
      <c r="BR150" t="s">
        <v>101</v>
      </c>
      <c r="BS150" t="s">
        <v>3071</v>
      </c>
      <c r="BT150" t="str">
        <f>HYPERLINK("https%3A%2F%2Fwww.webofscience.com%2Fwos%2Fwoscc%2Ffull-record%2FWOS:000309345700008","View Full Record in Web of Science")</f>
        <v>View Full Record in Web of Science</v>
      </c>
    </row>
    <row r="151" spans="1:72" x14ac:dyDescent="0.15">
      <c r="A151" t="s">
        <v>72</v>
      </c>
      <c r="B151" t="s">
        <v>3072</v>
      </c>
      <c r="C151" t="s">
        <v>74</v>
      </c>
      <c r="D151" t="s">
        <v>74</v>
      </c>
      <c r="E151" t="s">
        <v>74</v>
      </c>
      <c r="F151" t="s">
        <v>3073</v>
      </c>
      <c r="G151" t="s">
        <v>74</v>
      </c>
      <c r="H151" t="s">
        <v>74</v>
      </c>
      <c r="I151" t="s">
        <v>3074</v>
      </c>
      <c r="J151" t="s">
        <v>3075</v>
      </c>
      <c r="K151" t="s">
        <v>74</v>
      </c>
      <c r="L151" t="s">
        <v>74</v>
      </c>
      <c r="M151" t="s">
        <v>78</v>
      </c>
      <c r="N151" t="s">
        <v>79</v>
      </c>
      <c r="O151" t="s">
        <v>74</v>
      </c>
      <c r="P151" t="s">
        <v>74</v>
      </c>
      <c r="Q151" t="s">
        <v>74</v>
      </c>
      <c r="R151" t="s">
        <v>74</v>
      </c>
      <c r="S151" t="s">
        <v>74</v>
      </c>
      <c r="T151" t="s">
        <v>3076</v>
      </c>
      <c r="U151" t="s">
        <v>3077</v>
      </c>
      <c r="V151" t="s">
        <v>3078</v>
      </c>
      <c r="W151" t="s">
        <v>3079</v>
      </c>
      <c r="X151" t="s">
        <v>3080</v>
      </c>
      <c r="Y151" t="s">
        <v>3081</v>
      </c>
      <c r="Z151" t="s">
        <v>3082</v>
      </c>
      <c r="AA151" t="s">
        <v>3083</v>
      </c>
      <c r="AB151" t="s">
        <v>3084</v>
      </c>
      <c r="AC151" t="s">
        <v>3085</v>
      </c>
      <c r="AD151" t="s">
        <v>3085</v>
      </c>
      <c r="AE151" t="s">
        <v>3086</v>
      </c>
      <c r="AF151" t="s">
        <v>74</v>
      </c>
      <c r="AG151">
        <v>41</v>
      </c>
      <c r="AH151">
        <v>6</v>
      </c>
      <c r="AI151">
        <v>6</v>
      </c>
      <c r="AJ151">
        <v>0</v>
      </c>
      <c r="AK151">
        <v>11</v>
      </c>
      <c r="AL151" t="s">
        <v>935</v>
      </c>
      <c r="AM151" t="s">
        <v>371</v>
      </c>
      <c r="AN151" t="s">
        <v>936</v>
      </c>
      <c r="AO151" t="s">
        <v>3087</v>
      </c>
      <c r="AP151" t="s">
        <v>74</v>
      </c>
      <c r="AQ151" t="s">
        <v>74</v>
      </c>
      <c r="AR151" t="s">
        <v>3088</v>
      </c>
      <c r="AS151" t="s">
        <v>3089</v>
      </c>
      <c r="AT151" t="s">
        <v>867</v>
      </c>
      <c r="AU151">
        <v>2012</v>
      </c>
      <c r="AV151">
        <v>64</v>
      </c>
      <c r="AW151">
        <v>2</v>
      </c>
      <c r="AX151" t="s">
        <v>74</v>
      </c>
      <c r="AY151" t="s">
        <v>74</v>
      </c>
      <c r="AZ151" t="s">
        <v>74</v>
      </c>
      <c r="BA151" t="s">
        <v>74</v>
      </c>
      <c r="BB151">
        <v>1425</v>
      </c>
      <c r="BC151">
        <v>1446</v>
      </c>
      <c r="BD151" t="s">
        <v>74</v>
      </c>
      <c r="BE151" t="s">
        <v>3090</v>
      </c>
      <c r="BF151" t="str">
        <f>HYPERLINK("http://dx.doi.org/10.1007/s11069-012-0303-5","http://dx.doi.org/10.1007/s11069-012-0303-5")</f>
        <v>http://dx.doi.org/10.1007/s11069-012-0303-5</v>
      </c>
      <c r="BG151" t="s">
        <v>74</v>
      </c>
      <c r="BH151" t="s">
        <v>74</v>
      </c>
      <c r="BI151">
        <v>22</v>
      </c>
      <c r="BJ151" t="s">
        <v>3091</v>
      </c>
      <c r="BK151" t="s">
        <v>98</v>
      </c>
      <c r="BL151" t="s">
        <v>3092</v>
      </c>
      <c r="BM151" t="s">
        <v>3093</v>
      </c>
      <c r="BN151" t="s">
        <v>74</v>
      </c>
      <c r="BO151" t="s">
        <v>74</v>
      </c>
      <c r="BP151" t="s">
        <v>74</v>
      </c>
      <c r="BQ151" t="s">
        <v>74</v>
      </c>
      <c r="BR151" t="s">
        <v>101</v>
      </c>
      <c r="BS151" t="s">
        <v>3094</v>
      </c>
      <c r="BT151" t="str">
        <f>HYPERLINK("https%3A%2F%2Fwww.webofscience.com%2Fwos%2Fwoscc%2Ffull-record%2FWOS:000309357700025","View Full Record in Web of Science")</f>
        <v>View Full Record in Web of Science</v>
      </c>
    </row>
    <row r="152" spans="1:72" x14ac:dyDescent="0.15">
      <c r="A152" t="s">
        <v>72</v>
      </c>
      <c r="B152" t="s">
        <v>3095</v>
      </c>
      <c r="C152" t="s">
        <v>74</v>
      </c>
      <c r="D152" t="s">
        <v>74</v>
      </c>
      <c r="E152" t="s">
        <v>74</v>
      </c>
      <c r="F152" t="s">
        <v>3096</v>
      </c>
      <c r="G152" t="s">
        <v>74</v>
      </c>
      <c r="H152" t="s">
        <v>74</v>
      </c>
      <c r="I152" t="s">
        <v>3097</v>
      </c>
      <c r="J152" t="s">
        <v>3098</v>
      </c>
      <c r="K152" t="s">
        <v>74</v>
      </c>
      <c r="L152" t="s">
        <v>74</v>
      </c>
      <c r="M152" t="s">
        <v>78</v>
      </c>
      <c r="N152" t="s">
        <v>79</v>
      </c>
      <c r="O152" t="s">
        <v>74</v>
      </c>
      <c r="P152" t="s">
        <v>74</v>
      </c>
      <c r="Q152" t="s">
        <v>74</v>
      </c>
      <c r="R152" t="s">
        <v>74</v>
      </c>
      <c r="S152" t="s">
        <v>74</v>
      </c>
      <c r="T152" t="s">
        <v>3099</v>
      </c>
      <c r="U152" t="s">
        <v>3100</v>
      </c>
      <c r="V152" t="s">
        <v>3101</v>
      </c>
      <c r="W152" t="s">
        <v>3102</v>
      </c>
      <c r="X152" t="s">
        <v>3103</v>
      </c>
      <c r="Y152" t="s">
        <v>3104</v>
      </c>
      <c r="Z152" t="s">
        <v>3105</v>
      </c>
      <c r="AA152" t="s">
        <v>3106</v>
      </c>
      <c r="AB152" t="s">
        <v>3107</v>
      </c>
      <c r="AC152" t="s">
        <v>3108</v>
      </c>
      <c r="AD152" t="s">
        <v>3108</v>
      </c>
      <c r="AE152" t="s">
        <v>3109</v>
      </c>
      <c r="AF152" t="s">
        <v>74</v>
      </c>
      <c r="AG152">
        <v>51</v>
      </c>
      <c r="AH152">
        <v>19</v>
      </c>
      <c r="AI152">
        <v>20</v>
      </c>
      <c r="AJ152">
        <v>3</v>
      </c>
      <c r="AK152">
        <v>65</v>
      </c>
      <c r="AL152" t="s">
        <v>188</v>
      </c>
      <c r="AM152" t="s">
        <v>189</v>
      </c>
      <c r="AN152" t="s">
        <v>190</v>
      </c>
      <c r="AO152" t="s">
        <v>3110</v>
      </c>
      <c r="AP152" t="s">
        <v>3111</v>
      </c>
      <c r="AQ152" t="s">
        <v>74</v>
      </c>
      <c r="AR152" t="s">
        <v>3112</v>
      </c>
      <c r="AS152" t="s">
        <v>3113</v>
      </c>
      <c r="AT152" t="s">
        <v>964</v>
      </c>
      <c r="AU152">
        <v>2012</v>
      </c>
      <c r="AV152">
        <v>429</v>
      </c>
      <c r="AW152" t="s">
        <v>74</v>
      </c>
      <c r="AX152" t="s">
        <v>74</v>
      </c>
      <c r="AY152" t="s">
        <v>74</v>
      </c>
      <c r="AZ152" t="s">
        <v>74</v>
      </c>
      <c r="BA152" t="s">
        <v>74</v>
      </c>
      <c r="BB152">
        <v>7</v>
      </c>
      <c r="BC152">
        <v>14</v>
      </c>
      <c r="BD152" t="s">
        <v>74</v>
      </c>
      <c r="BE152" t="s">
        <v>3114</v>
      </c>
      <c r="BF152" t="str">
        <f>HYPERLINK("http://dx.doi.org/10.1016/j.jembe.2012.06.016","http://dx.doi.org/10.1016/j.jembe.2012.06.016")</f>
        <v>http://dx.doi.org/10.1016/j.jembe.2012.06.016</v>
      </c>
      <c r="BG152" t="s">
        <v>74</v>
      </c>
      <c r="BH152" t="s">
        <v>74</v>
      </c>
      <c r="BI152">
        <v>8</v>
      </c>
      <c r="BJ152" t="s">
        <v>3115</v>
      </c>
      <c r="BK152" t="s">
        <v>98</v>
      </c>
      <c r="BL152" t="s">
        <v>3116</v>
      </c>
      <c r="BM152" t="s">
        <v>3117</v>
      </c>
      <c r="BN152" t="s">
        <v>74</v>
      </c>
      <c r="BO152" t="s">
        <v>74</v>
      </c>
      <c r="BP152" t="s">
        <v>74</v>
      </c>
      <c r="BQ152" t="s">
        <v>74</v>
      </c>
      <c r="BR152" t="s">
        <v>101</v>
      </c>
      <c r="BS152" t="s">
        <v>3118</v>
      </c>
      <c r="BT152" t="str">
        <f>HYPERLINK("https%3A%2F%2Fwww.webofscience.com%2Fwos%2Fwoscc%2Ffull-record%2FWOS:000308282900002","View Full Record in Web of Science")</f>
        <v>View Full Record in Web of Science</v>
      </c>
    </row>
    <row r="153" spans="1:72" x14ac:dyDescent="0.15">
      <c r="A153" t="s">
        <v>72</v>
      </c>
      <c r="B153" t="s">
        <v>3119</v>
      </c>
      <c r="C153" t="s">
        <v>74</v>
      </c>
      <c r="D153" t="s">
        <v>74</v>
      </c>
      <c r="E153" t="s">
        <v>74</v>
      </c>
      <c r="F153" t="s">
        <v>3120</v>
      </c>
      <c r="G153" t="s">
        <v>74</v>
      </c>
      <c r="H153" t="s">
        <v>74</v>
      </c>
      <c r="I153" t="s">
        <v>3121</v>
      </c>
      <c r="J153" t="s">
        <v>3122</v>
      </c>
      <c r="K153" t="s">
        <v>74</v>
      </c>
      <c r="L153" t="s">
        <v>74</v>
      </c>
      <c r="M153" t="s">
        <v>78</v>
      </c>
      <c r="N153" t="s">
        <v>79</v>
      </c>
      <c r="O153" t="s">
        <v>74</v>
      </c>
      <c r="P153" t="s">
        <v>74</v>
      </c>
      <c r="Q153" t="s">
        <v>74</v>
      </c>
      <c r="R153" t="s">
        <v>74</v>
      </c>
      <c r="S153" t="s">
        <v>74</v>
      </c>
      <c r="T153" t="s">
        <v>3123</v>
      </c>
      <c r="U153" t="s">
        <v>3124</v>
      </c>
      <c r="V153" t="s">
        <v>3125</v>
      </c>
      <c r="W153" t="s">
        <v>3126</v>
      </c>
      <c r="X153" t="s">
        <v>3127</v>
      </c>
      <c r="Y153" t="s">
        <v>3128</v>
      </c>
      <c r="Z153" t="s">
        <v>3129</v>
      </c>
      <c r="AA153" t="s">
        <v>3130</v>
      </c>
      <c r="AB153" t="s">
        <v>74</v>
      </c>
      <c r="AC153" t="s">
        <v>3131</v>
      </c>
      <c r="AD153" t="s">
        <v>3132</v>
      </c>
      <c r="AE153" t="s">
        <v>3133</v>
      </c>
      <c r="AF153" t="s">
        <v>74</v>
      </c>
      <c r="AG153">
        <v>48</v>
      </c>
      <c r="AH153">
        <v>51</v>
      </c>
      <c r="AI153">
        <v>53</v>
      </c>
      <c r="AJ153">
        <v>1</v>
      </c>
      <c r="AK153">
        <v>109</v>
      </c>
      <c r="AL153" t="s">
        <v>188</v>
      </c>
      <c r="AM153" t="s">
        <v>189</v>
      </c>
      <c r="AN153" t="s">
        <v>190</v>
      </c>
      <c r="AO153" t="s">
        <v>3134</v>
      </c>
      <c r="AP153" t="s">
        <v>3135</v>
      </c>
      <c r="AQ153" t="s">
        <v>74</v>
      </c>
      <c r="AR153" t="s">
        <v>3136</v>
      </c>
      <c r="AS153" t="s">
        <v>3137</v>
      </c>
      <c r="AT153" t="s">
        <v>3138</v>
      </c>
      <c r="AU153">
        <v>2012</v>
      </c>
      <c r="AV153">
        <v>237</v>
      </c>
      <c r="AW153" t="s">
        <v>74</v>
      </c>
      <c r="AX153" t="s">
        <v>74</v>
      </c>
      <c r="AY153" t="s">
        <v>74</v>
      </c>
      <c r="AZ153" t="s">
        <v>74</v>
      </c>
      <c r="BA153" t="s">
        <v>74</v>
      </c>
      <c r="BB153">
        <v>121</v>
      </c>
      <c r="BC153">
        <v>132</v>
      </c>
      <c r="BD153" t="s">
        <v>74</v>
      </c>
      <c r="BE153" t="s">
        <v>3139</v>
      </c>
      <c r="BF153" t="str">
        <f>HYPERLINK("http://dx.doi.org/10.1016/j.jhazmat.2012.08.014","http://dx.doi.org/10.1016/j.jhazmat.2012.08.014")</f>
        <v>http://dx.doi.org/10.1016/j.jhazmat.2012.08.014</v>
      </c>
      <c r="BG153" t="s">
        <v>74</v>
      </c>
      <c r="BH153" t="s">
        <v>74</v>
      </c>
      <c r="BI153">
        <v>12</v>
      </c>
      <c r="BJ153" t="s">
        <v>749</v>
      </c>
      <c r="BK153" t="s">
        <v>98</v>
      </c>
      <c r="BL153" t="s">
        <v>750</v>
      </c>
      <c r="BM153" t="s">
        <v>3140</v>
      </c>
      <c r="BN153">
        <v>22959263</v>
      </c>
      <c r="BO153" t="s">
        <v>74</v>
      </c>
      <c r="BP153" t="s">
        <v>74</v>
      </c>
      <c r="BQ153" t="s">
        <v>74</v>
      </c>
      <c r="BR153" t="s">
        <v>101</v>
      </c>
      <c r="BS153" t="s">
        <v>3141</v>
      </c>
      <c r="BT153" t="str">
        <f>HYPERLINK("https%3A%2F%2Fwww.webofscience.com%2Fwos%2Fwoscc%2Ffull-record%2FWOS:000310257100014","View Full Record in Web of Science")</f>
        <v>View Full Record in Web of Science</v>
      </c>
    </row>
    <row r="154" spans="1:72" x14ac:dyDescent="0.15">
      <c r="A154" t="s">
        <v>72</v>
      </c>
      <c r="B154" t="s">
        <v>3142</v>
      </c>
      <c r="C154" t="s">
        <v>74</v>
      </c>
      <c r="D154" t="s">
        <v>74</v>
      </c>
      <c r="E154" t="s">
        <v>74</v>
      </c>
      <c r="F154" t="s">
        <v>3143</v>
      </c>
      <c r="G154" t="s">
        <v>74</v>
      </c>
      <c r="H154" t="s">
        <v>74</v>
      </c>
      <c r="I154" t="s">
        <v>3144</v>
      </c>
      <c r="J154" t="s">
        <v>3145</v>
      </c>
      <c r="K154" t="s">
        <v>74</v>
      </c>
      <c r="L154" t="s">
        <v>74</v>
      </c>
      <c r="M154" t="s">
        <v>78</v>
      </c>
      <c r="N154" t="s">
        <v>79</v>
      </c>
      <c r="O154" t="s">
        <v>74</v>
      </c>
      <c r="P154" t="s">
        <v>74</v>
      </c>
      <c r="Q154" t="s">
        <v>74</v>
      </c>
      <c r="R154" t="s">
        <v>74</v>
      </c>
      <c r="S154" t="s">
        <v>74</v>
      </c>
      <c r="T154" t="s">
        <v>3146</v>
      </c>
      <c r="U154" t="s">
        <v>3147</v>
      </c>
      <c r="V154" t="s">
        <v>3148</v>
      </c>
      <c r="W154" t="s">
        <v>3149</v>
      </c>
      <c r="X154" t="s">
        <v>3150</v>
      </c>
      <c r="Y154" t="s">
        <v>3151</v>
      </c>
      <c r="Z154" t="s">
        <v>3152</v>
      </c>
      <c r="AA154" t="s">
        <v>3153</v>
      </c>
      <c r="AB154" t="s">
        <v>3154</v>
      </c>
      <c r="AC154" t="s">
        <v>3155</v>
      </c>
      <c r="AD154" t="s">
        <v>3156</v>
      </c>
      <c r="AE154" t="s">
        <v>3157</v>
      </c>
      <c r="AF154" t="s">
        <v>74</v>
      </c>
      <c r="AG154">
        <v>63</v>
      </c>
      <c r="AH154">
        <v>194</v>
      </c>
      <c r="AI154">
        <v>223</v>
      </c>
      <c r="AJ154">
        <v>7</v>
      </c>
      <c r="AK154">
        <v>166</v>
      </c>
      <c r="AL154" t="s">
        <v>3158</v>
      </c>
      <c r="AM154" t="s">
        <v>119</v>
      </c>
      <c r="AN154" t="s">
        <v>3159</v>
      </c>
      <c r="AO154" t="s">
        <v>3160</v>
      </c>
      <c r="AP154" t="s">
        <v>74</v>
      </c>
      <c r="AQ154" t="s">
        <v>74</v>
      </c>
      <c r="AR154" t="s">
        <v>3161</v>
      </c>
      <c r="AS154" t="s">
        <v>3162</v>
      </c>
      <c r="AT154" t="s">
        <v>3138</v>
      </c>
      <c r="AU154">
        <v>2012</v>
      </c>
      <c r="AV154">
        <v>109</v>
      </c>
      <c r="AW154">
        <v>44</v>
      </c>
      <c r="AX154" t="s">
        <v>74</v>
      </c>
      <c r="AY154" t="s">
        <v>74</v>
      </c>
      <c r="AZ154" t="s">
        <v>74</v>
      </c>
      <c r="BA154" t="s">
        <v>74</v>
      </c>
      <c r="BB154">
        <v>17989</v>
      </c>
      <c r="BC154">
        <v>17994</v>
      </c>
      <c r="BD154" t="s">
        <v>74</v>
      </c>
      <c r="BE154" t="s">
        <v>3163</v>
      </c>
      <c r="BF154" t="str">
        <f>HYPERLINK("http://dx.doi.org/10.1073/pnas.1201914109","http://dx.doi.org/10.1073/pnas.1201914109")</f>
        <v>http://dx.doi.org/10.1073/pnas.1201914109</v>
      </c>
      <c r="BG154" t="s">
        <v>74</v>
      </c>
      <c r="BH154" t="s">
        <v>74</v>
      </c>
      <c r="BI154">
        <v>6</v>
      </c>
      <c r="BJ154" t="s">
        <v>153</v>
      </c>
      <c r="BK154" t="s">
        <v>98</v>
      </c>
      <c r="BL154" t="s">
        <v>154</v>
      </c>
      <c r="BM154" t="s">
        <v>3164</v>
      </c>
      <c r="BN154">
        <v>23027926</v>
      </c>
      <c r="BO154" t="s">
        <v>1458</v>
      </c>
      <c r="BP154" t="s">
        <v>74</v>
      </c>
      <c r="BQ154" t="s">
        <v>74</v>
      </c>
      <c r="BR154" t="s">
        <v>101</v>
      </c>
      <c r="BS154" t="s">
        <v>3165</v>
      </c>
      <c r="BT154" t="str">
        <f>HYPERLINK("https%3A%2F%2Fwww.webofscience.com%2Fwos%2Fwoscc%2Ffull-record%2FWOS:000311149900065","View Full Record in Web of Science")</f>
        <v>View Full Record in Web of Science</v>
      </c>
    </row>
    <row r="155" spans="1:72" x14ac:dyDescent="0.15">
      <c r="A155" t="s">
        <v>72</v>
      </c>
      <c r="B155" t="s">
        <v>3166</v>
      </c>
      <c r="C155" t="s">
        <v>74</v>
      </c>
      <c r="D155" t="s">
        <v>74</v>
      </c>
      <c r="E155" t="s">
        <v>74</v>
      </c>
      <c r="F155" t="s">
        <v>3167</v>
      </c>
      <c r="G155" t="s">
        <v>74</v>
      </c>
      <c r="H155" t="s">
        <v>74</v>
      </c>
      <c r="I155" t="s">
        <v>3168</v>
      </c>
      <c r="J155" t="s">
        <v>134</v>
      </c>
      <c r="K155" t="s">
        <v>74</v>
      </c>
      <c r="L155" t="s">
        <v>74</v>
      </c>
      <c r="M155" t="s">
        <v>78</v>
      </c>
      <c r="N155" t="s">
        <v>79</v>
      </c>
      <c r="O155" t="s">
        <v>74</v>
      </c>
      <c r="P155" t="s">
        <v>74</v>
      </c>
      <c r="Q155" t="s">
        <v>74</v>
      </c>
      <c r="R155" t="s">
        <v>74</v>
      </c>
      <c r="S155" t="s">
        <v>74</v>
      </c>
      <c r="T155" t="s">
        <v>74</v>
      </c>
      <c r="U155" t="s">
        <v>3169</v>
      </c>
      <c r="V155" t="s">
        <v>3170</v>
      </c>
      <c r="W155" t="s">
        <v>3171</v>
      </c>
      <c r="X155" t="s">
        <v>3172</v>
      </c>
      <c r="Y155" t="s">
        <v>3173</v>
      </c>
      <c r="Z155" t="s">
        <v>3174</v>
      </c>
      <c r="AA155" t="s">
        <v>3175</v>
      </c>
      <c r="AB155" t="s">
        <v>3176</v>
      </c>
      <c r="AC155" t="s">
        <v>3177</v>
      </c>
      <c r="AD155" t="s">
        <v>3178</v>
      </c>
      <c r="AE155" t="s">
        <v>3179</v>
      </c>
      <c r="AF155" t="s">
        <v>74</v>
      </c>
      <c r="AG155">
        <v>102</v>
      </c>
      <c r="AH155">
        <v>70</v>
      </c>
      <c r="AI155">
        <v>73</v>
      </c>
      <c r="AJ155">
        <v>2</v>
      </c>
      <c r="AK155">
        <v>109</v>
      </c>
      <c r="AL155" t="s">
        <v>146</v>
      </c>
      <c r="AM155" t="s">
        <v>147</v>
      </c>
      <c r="AN155" t="s">
        <v>148</v>
      </c>
      <c r="AO155" t="s">
        <v>149</v>
      </c>
      <c r="AP155" t="s">
        <v>74</v>
      </c>
      <c r="AQ155" t="s">
        <v>74</v>
      </c>
      <c r="AR155" t="s">
        <v>134</v>
      </c>
      <c r="AS155" t="s">
        <v>150</v>
      </c>
      <c r="AT155" t="s">
        <v>3180</v>
      </c>
      <c r="AU155">
        <v>2012</v>
      </c>
      <c r="AV155">
        <v>7</v>
      </c>
      <c r="AW155">
        <v>10</v>
      </c>
      <c r="AX155" t="s">
        <v>74</v>
      </c>
      <c r="AY155" t="s">
        <v>74</v>
      </c>
      <c r="AZ155" t="s">
        <v>74</v>
      </c>
      <c r="BA155" t="s">
        <v>74</v>
      </c>
      <c r="BB155" t="s">
        <v>74</v>
      </c>
      <c r="BC155" t="s">
        <v>74</v>
      </c>
      <c r="BD155" t="s">
        <v>3181</v>
      </c>
      <c r="BE155" t="s">
        <v>3182</v>
      </c>
      <c r="BF155" t="str">
        <f>HYPERLINK("http://dx.doi.org/10.1371/journal.pone.0048348","http://dx.doi.org/10.1371/journal.pone.0048348")</f>
        <v>http://dx.doi.org/10.1371/journal.pone.0048348</v>
      </c>
      <c r="BG155" t="s">
        <v>74</v>
      </c>
      <c r="BH155" t="s">
        <v>74</v>
      </c>
      <c r="BI155">
        <v>19</v>
      </c>
      <c r="BJ155" t="s">
        <v>153</v>
      </c>
      <c r="BK155" t="s">
        <v>98</v>
      </c>
      <c r="BL155" t="s">
        <v>154</v>
      </c>
      <c r="BM155" t="s">
        <v>3183</v>
      </c>
      <c r="BN155">
        <v>23144754</v>
      </c>
      <c r="BO155" t="s">
        <v>3184</v>
      </c>
      <c r="BP155" t="s">
        <v>74</v>
      </c>
      <c r="BQ155" t="s">
        <v>74</v>
      </c>
      <c r="BR155" t="s">
        <v>101</v>
      </c>
      <c r="BS155" t="s">
        <v>3185</v>
      </c>
      <c r="BT155" t="str">
        <f>HYPERLINK("https%3A%2F%2Fwww.webofscience.com%2Fwos%2Fwoscc%2Ffull-record%2FWOS:000310705300064","View Full Record in Web of Science")</f>
        <v>View Full Record in Web of Science</v>
      </c>
    </row>
    <row r="156" spans="1:72" x14ac:dyDescent="0.15">
      <c r="A156" t="s">
        <v>72</v>
      </c>
      <c r="B156" t="s">
        <v>3186</v>
      </c>
      <c r="C156" t="s">
        <v>74</v>
      </c>
      <c r="D156" t="s">
        <v>74</v>
      </c>
      <c r="E156" t="s">
        <v>74</v>
      </c>
      <c r="F156" t="s">
        <v>3187</v>
      </c>
      <c r="G156" t="s">
        <v>74</v>
      </c>
      <c r="H156" t="s">
        <v>74</v>
      </c>
      <c r="I156" t="s">
        <v>3188</v>
      </c>
      <c r="J156" t="s">
        <v>551</v>
      </c>
      <c r="K156" t="s">
        <v>74</v>
      </c>
      <c r="L156" t="s">
        <v>74</v>
      </c>
      <c r="M156" t="s">
        <v>78</v>
      </c>
      <c r="N156" t="s">
        <v>79</v>
      </c>
      <c r="O156" t="s">
        <v>74</v>
      </c>
      <c r="P156" t="s">
        <v>74</v>
      </c>
      <c r="Q156" t="s">
        <v>74</v>
      </c>
      <c r="R156" t="s">
        <v>74</v>
      </c>
      <c r="S156" t="s">
        <v>74</v>
      </c>
      <c r="T156" t="s">
        <v>74</v>
      </c>
      <c r="U156" t="s">
        <v>3189</v>
      </c>
      <c r="V156" t="s">
        <v>3190</v>
      </c>
      <c r="W156" t="s">
        <v>3191</v>
      </c>
      <c r="X156" t="s">
        <v>3192</v>
      </c>
      <c r="Y156" t="s">
        <v>3193</v>
      </c>
      <c r="Z156" t="s">
        <v>3194</v>
      </c>
      <c r="AA156" t="s">
        <v>74</v>
      </c>
      <c r="AB156" t="s">
        <v>3195</v>
      </c>
      <c r="AC156" t="s">
        <v>3196</v>
      </c>
      <c r="AD156" t="s">
        <v>3197</v>
      </c>
      <c r="AE156" t="s">
        <v>3198</v>
      </c>
      <c r="AF156" t="s">
        <v>74</v>
      </c>
      <c r="AG156">
        <v>43</v>
      </c>
      <c r="AH156">
        <v>29</v>
      </c>
      <c r="AI156">
        <v>30</v>
      </c>
      <c r="AJ156">
        <v>0</v>
      </c>
      <c r="AK156">
        <v>15</v>
      </c>
      <c r="AL156" t="s">
        <v>118</v>
      </c>
      <c r="AM156" t="s">
        <v>119</v>
      </c>
      <c r="AN156" t="s">
        <v>120</v>
      </c>
      <c r="AO156" t="s">
        <v>563</v>
      </c>
      <c r="AP156" t="s">
        <v>564</v>
      </c>
      <c r="AQ156" t="s">
        <v>74</v>
      </c>
      <c r="AR156" t="s">
        <v>565</v>
      </c>
      <c r="AS156" t="s">
        <v>566</v>
      </c>
      <c r="AT156" t="s">
        <v>3199</v>
      </c>
      <c r="AU156">
        <v>2012</v>
      </c>
      <c r="AV156">
        <v>117</v>
      </c>
      <c r="AW156" t="s">
        <v>74</v>
      </c>
      <c r="AX156" t="s">
        <v>74</v>
      </c>
      <c r="AY156" t="s">
        <v>74</v>
      </c>
      <c r="AZ156" t="s">
        <v>74</v>
      </c>
      <c r="BA156" t="s">
        <v>74</v>
      </c>
      <c r="BB156" t="s">
        <v>74</v>
      </c>
      <c r="BC156" t="s">
        <v>74</v>
      </c>
      <c r="BD156" t="s">
        <v>3200</v>
      </c>
      <c r="BE156" t="s">
        <v>3201</v>
      </c>
      <c r="BF156" t="str">
        <f>HYPERLINK("http://dx.doi.org/10.1029/2012JF002378","http://dx.doi.org/10.1029/2012JF002378")</f>
        <v>http://dx.doi.org/10.1029/2012JF002378</v>
      </c>
      <c r="BG156" t="s">
        <v>74</v>
      </c>
      <c r="BH156" t="s">
        <v>74</v>
      </c>
      <c r="BI156">
        <v>19</v>
      </c>
      <c r="BJ156" t="s">
        <v>461</v>
      </c>
      <c r="BK156" t="s">
        <v>98</v>
      </c>
      <c r="BL156" t="s">
        <v>462</v>
      </c>
      <c r="BM156" t="s">
        <v>3202</v>
      </c>
      <c r="BN156" t="s">
        <v>74</v>
      </c>
      <c r="BO156" t="s">
        <v>607</v>
      </c>
      <c r="BP156" t="s">
        <v>74</v>
      </c>
      <c r="BQ156" t="s">
        <v>74</v>
      </c>
      <c r="BR156" t="s">
        <v>101</v>
      </c>
      <c r="BS156" t="s">
        <v>3203</v>
      </c>
      <c r="BT156" t="str">
        <f>HYPERLINK("https%3A%2F%2Fwww.webofscience.com%2Fwos%2Fwoscc%2Ffull-record%2FWOS:000310342700003","View Full Record in Web of Science")</f>
        <v>View Full Record in Web of Science</v>
      </c>
    </row>
    <row r="157" spans="1:72" x14ac:dyDescent="0.15">
      <c r="A157" t="s">
        <v>72</v>
      </c>
      <c r="B157" t="s">
        <v>3204</v>
      </c>
      <c r="C157" t="s">
        <v>74</v>
      </c>
      <c r="D157" t="s">
        <v>74</v>
      </c>
      <c r="E157" t="s">
        <v>74</v>
      </c>
      <c r="F157" t="s">
        <v>3205</v>
      </c>
      <c r="G157" t="s">
        <v>74</v>
      </c>
      <c r="H157" t="s">
        <v>74</v>
      </c>
      <c r="I157" t="s">
        <v>3206</v>
      </c>
      <c r="J157" t="s">
        <v>3207</v>
      </c>
      <c r="K157" t="s">
        <v>74</v>
      </c>
      <c r="L157" t="s">
        <v>74</v>
      </c>
      <c r="M157" t="s">
        <v>78</v>
      </c>
      <c r="N157" t="s">
        <v>79</v>
      </c>
      <c r="O157" t="s">
        <v>74</v>
      </c>
      <c r="P157" t="s">
        <v>74</v>
      </c>
      <c r="Q157" t="s">
        <v>74</v>
      </c>
      <c r="R157" t="s">
        <v>74</v>
      </c>
      <c r="S157" t="s">
        <v>74</v>
      </c>
      <c r="T157" t="s">
        <v>74</v>
      </c>
      <c r="U157" t="s">
        <v>3208</v>
      </c>
      <c r="V157" t="s">
        <v>3209</v>
      </c>
      <c r="W157" t="s">
        <v>3210</v>
      </c>
      <c r="X157" t="s">
        <v>3211</v>
      </c>
      <c r="Y157" t="s">
        <v>3212</v>
      </c>
      <c r="Z157" t="s">
        <v>3213</v>
      </c>
      <c r="AA157" t="s">
        <v>3214</v>
      </c>
      <c r="AB157" t="s">
        <v>3215</v>
      </c>
      <c r="AC157" t="s">
        <v>3216</v>
      </c>
      <c r="AD157" t="s">
        <v>3217</v>
      </c>
      <c r="AE157" t="s">
        <v>3218</v>
      </c>
      <c r="AF157" t="s">
        <v>74</v>
      </c>
      <c r="AG157">
        <v>78</v>
      </c>
      <c r="AH157">
        <v>8</v>
      </c>
      <c r="AI157">
        <v>8</v>
      </c>
      <c r="AJ157">
        <v>0</v>
      </c>
      <c r="AK157">
        <v>23</v>
      </c>
      <c r="AL157" t="s">
        <v>118</v>
      </c>
      <c r="AM157" t="s">
        <v>119</v>
      </c>
      <c r="AN157" t="s">
        <v>120</v>
      </c>
      <c r="AO157" t="s">
        <v>3219</v>
      </c>
      <c r="AP157" t="s">
        <v>3220</v>
      </c>
      <c r="AQ157" t="s">
        <v>74</v>
      </c>
      <c r="AR157" t="s">
        <v>3221</v>
      </c>
      <c r="AS157" t="s">
        <v>3222</v>
      </c>
      <c r="AT157" t="s">
        <v>3199</v>
      </c>
      <c r="AU157">
        <v>2012</v>
      </c>
      <c r="AV157">
        <v>117</v>
      </c>
      <c r="AW157" t="s">
        <v>74</v>
      </c>
      <c r="AX157" t="s">
        <v>74</v>
      </c>
      <c r="AY157" t="s">
        <v>74</v>
      </c>
      <c r="AZ157" t="s">
        <v>74</v>
      </c>
      <c r="BA157" t="s">
        <v>74</v>
      </c>
      <c r="BB157" t="s">
        <v>74</v>
      </c>
      <c r="BC157" t="s">
        <v>74</v>
      </c>
      <c r="BD157" t="s">
        <v>3223</v>
      </c>
      <c r="BE157" t="s">
        <v>3224</v>
      </c>
      <c r="BF157" t="str">
        <f>HYPERLINK("http://dx.doi.org/10.1029/2012JD017704","http://dx.doi.org/10.1029/2012JD017704")</f>
        <v>http://dx.doi.org/10.1029/2012JD017704</v>
      </c>
      <c r="BG157" t="s">
        <v>74</v>
      </c>
      <c r="BH157" t="s">
        <v>74</v>
      </c>
      <c r="BI157">
        <v>8</v>
      </c>
      <c r="BJ157" t="s">
        <v>378</v>
      </c>
      <c r="BK157" t="s">
        <v>98</v>
      </c>
      <c r="BL157" t="s">
        <v>378</v>
      </c>
      <c r="BM157" t="s">
        <v>3225</v>
      </c>
      <c r="BN157" t="s">
        <v>74</v>
      </c>
      <c r="BO157" t="s">
        <v>607</v>
      </c>
      <c r="BP157" t="s">
        <v>74</v>
      </c>
      <c r="BQ157" t="s">
        <v>74</v>
      </c>
      <c r="BR157" t="s">
        <v>101</v>
      </c>
      <c r="BS157" t="s">
        <v>3226</v>
      </c>
      <c r="BT157" t="str">
        <f>HYPERLINK("https%3A%2F%2Fwww.webofscience.com%2Fwos%2Fwoscc%2Ffull-record%2FWOS:000310343700002","View Full Record in Web of Science")</f>
        <v>View Full Record in Web of Science</v>
      </c>
    </row>
    <row r="158" spans="1:72" x14ac:dyDescent="0.15">
      <c r="A158" t="s">
        <v>72</v>
      </c>
      <c r="B158" t="s">
        <v>3227</v>
      </c>
      <c r="C158" t="s">
        <v>74</v>
      </c>
      <c r="D158" t="s">
        <v>74</v>
      </c>
      <c r="E158" t="s">
        <v>74</v>
      </c>
      <c r="F158" t="s">
        <v>3228</v>
      </c>
      <c r="G158" t="s">
        <v>74</v>
      </c>
      <c r="H158" t="s">
        <v>74</v>
      </c>
      <c r="I158" t="s">
        <v>3229</v>
      </c>
      <c r="J158" t="s">
        <v>77</v>
      </c>
      <c r="K158" t="s">
        <v>74</v>
      </c>
      <c r="L158" t="s">
        <v>74</v>
      </c>
      <c r="M158" t="s">
        <v>78</v>
      </c>
      <c r="N158" t="s">
        <v>79</v>
      </c>
      <c r="O158" t="s">
        <v>74</v>
      </c>
      <c r="P158" t="s">
        <v>74</v>
      </c>
      <c r="Q158" t="s">
        <v>74</v>
      </c>
      <c r="R158" t="s">
        <v>74</v>
      </c>
      <c r="S158" t="s">
        <v>74</v>
      </c>
      <c r="T158" t="s">
        <v>3230</v>
      </c>
      <c r="U158" t="s">
        <v>3231</v>
      </c>
      <c r="V158" t="s">
        <v>3232</v>
      </c>
      <c r="W158" t="s">
        <v>3233</v>
      </c>
      <c r="X158" t="s">
        <v>3234</v>
      </c>
      <c r="Y158" t="s">
        <v>3235</v>
      </c>
      <c r="Z158" t="s">
        <v>3236</v>
      </c>
      <c r="AA158" t="s">
        <v>74</v>
      </c>
      <c r="AB158" t="s">
        <v>3237</v>
      </c>
      <c r="AC158" t="s">
        <v>3238</v>
      </c>
      <c r="AD158" t="s">
        <v>3239</v>
      </c>
      <c r="AE158" t="s">
        <v>3240</v>
      </c>
      <c r="AF158" t="s">
        <v>74</v>
      </c>
      <c r="AG158">
        <v>123</v>
      </c>
      <c r="AH158">
        <v>23</v>
      </c>
      <c r="AI158">
        <v>23</v>
      </c>
      <c r="AJ158">
        <v>0</v>
      </c>
      <c r="AK158">
        <v>77</v>
      </c>
      <c r="AL158" t="s">
        <v>89</v>
      </c>
      <c r="AM158" t="s">
        <v>90</v>
      </c>
      <c r="AN158" t="s">
        <v>91</v>
      </c>
      <c r="AO158" t="s">
        <v>92</v>
      </c>
      <c r="AP158" t="s">
        <v>74</v>
      </c>
      <c r="AQ158" t="s">
        <v>74</v>
      </c>
      <c r="AR158" t="s">
        <v>93</v>
      </c>
      <c r="AS158" t="s">
        <v>94</v>
      </c>
      <c r="AT158" t="s">
        <v>3241</v>
      </c>
      <c r="AU158">
        <v>2012</v>
      </c>
      <c r="AV158">
        <v>54</v>
      </c>
      <c r="AW158" t="s">
        <v>74</v>
      </c>
      <c r="AX158" t="s">
        <v>74</v>
      </c>
      <c r="AY158" t="s">
        <v>74</v>
      </c>
      <c r="AZ158" t="s">
        <v>1019</v>
      </c>
      <c r="BA158" t="s">
        <v>74</v>
      </c>
      <c r="BB158">
        <v>58</v>
      </c>
      <c r="BC158">
        <v>76</v>
      </c>
      <c r="BD158" t="s">
        <v>74</v>
      </c>
      <c r="BE158" t="s">
        <v>3242</v>
      </c>
      <c r="BF158" t="str">
        <f>HYPERLINK("http://dx.doi.org/10.1016/j.quascirev.2012.02.007","http://dx.doi.org/10.1016/j.quascirev.2012.02.007")</f>
        <v>http://dx.doi.org/10.1016/j.quascirev.2012.02.007</v>
      </c>
      <c r="BG158" t="s">
        <v>74</v>
      </c>
      <c r="BH158" t="s">
        <v>74</v>
      </c>
      <c r="BI158">
        <v>19</v>
      </c>
      <c r="BJ158" t="s">
        <v>97</v>
      </c>
      <c r="BK158" t="s">
        <v>98</v>
      </c>
      <c r="BL158" t="s">
        <v>99</v>
      </c>
      <c r="BM158" t="s">
        <v>3243</v>
      </c>
      <c r="BN158" t="s">
        <v>74</v>
      </c>
      <c r="BO158" t="s">
        <v>74</v>
      </c>
      <c r="BP158" t="s">
        <v>74</v>
      </c>
      <c r="BQ158" t="s">
        <v>74</v>
      </c>
      <c r="BR158" t="s">
        <v>101</v>
      </c>
      <c r="BS158" t="s">
        <v>3244</v>
      </c>
      <c r="BT158" t="str">
        <f>HYPERLINK("https%3A%2F%2Fwww.webofscience.com%2Fwos%2Fwoscc%2Ffull-record%2FWOS:000310948100006","View Full Record in Web of Science")</f>
        <v>View Full Record in Web of Science</v>
      </c>
    </row>
    <row r="159" spans="1:72" x14ac:dyDescent="0.15">
      <c r="A159" t="s">
        <v>72</v>
      </c>
      <c r="B159" t="s">
        <v>3245</v>
      </c>
      <c r="C159" t="s">
        <v>74</v>
      </c>
      <c r="D159" t="s">
        <v>74</v>
      </c>
      <c r="E159" t="s">
        <v>74</v>
      </c>
      <c r="F159" t="s">
        <v>3246</v>
      </c>
      <c r="G159" t="s">
        <v>74</v>
      </c>
      <c r="H159" t="s">
        <v>74</v>
      </c>
      <c r="I159" t="s">
        <v>3247</v>
      </c>
      <c r="J159" t="s">
        <v>3248</v>
      </c>
      <c r="K159" t="s">
        <v>74</v>
      </c>
      <c r="L159" t="s">
        <v>74</v>
      </c>
      <c r="M159" t="s">
        <v>78</v>
      </c>
      <c r="N159" t="s">
        <v>79</v>
      </c>
      <c r="O159" t="s">
        <v>74</v>
      </c>
      <c r="P159" t="s">
        <v>74</v>
      </c>
      <c r="Q159" t="s">
        <v>74</v>
      </c>
      <c r="R159" t="s">
        <v>74</v>
      </c>
      <c r="S159" t="s">
        <v>74</v>
      </c>
      <c r="T159" t="s">
        <v>3249</v>
      </c>
      <c r="U159" t="s">
        <v>3250</v>
      </c>
      <c r="V159" t="s">
        <v>3251</v>
      </c>
      <c r="W159" t="s">
        <v>3252</v>
      </c>
      <c r="X159" t="s">
        <v>3253</v>
      </c>
      <c r="Y159" t="s">
        <v>3254</v>
      </c>
      <c r="Z159" t="s">
        <v>3255</v>
      </c>
      <c r="AA159" t="s">
        <v>3256</v>
      </c>
      <c r="AB159" t="s">
        <v>3257</v>
      </c>
      <c r="AC159" t="s">
        <v>3258</v>
      </c>
      <c r="AD159" t="s">
        <v>3259</v>
      </c>
      <c r="AE159" t="s">
        <v>3260</v>
      </c>
      <c r="AF159" t="s">
        <v>74</v>
      </c>
      <c r="AG159">
        <v>23</v>
      </c>
      <c r="AH159">
        <v>27</v>
      </c>
      <c r="AI159">
        <v>29</v>
      </c>
      <c r="AJ159">
        <v>0</v>
      </c>
      <c r="AK159">
        <v>42</v>
      </c>
      <c r="AL159" t="s">
        <v>89</v>
      </c>
      <c r="AM159" t="s">
        <v>90</v>
      </c>
      <c r="AN159" t="s">
        <v>91</v>
      </c>
      <c r="AO159" t="s">
        <v>3261</v>
      </c>
      <c r="AP159" t="s">
        <v>74</v>
      </c>
      <c r="AQ159" t="s">
        <v>74</v>
      </c>
      <c r="AR159" t="s">
        <v>3262</v>
      </c>
      <c r="AS159" t="s">
        <v>3263</v>
      </c>
      <c r="AT159" t="s">
        <v>3264</v>
      </c>
      <c r="AU159">
        <v>2012</v>
      </c>
      <c r="AV159">
        <v>53</v>
      </c>
      <c r="AW159">
        <v>43</v>
      </c>
      <c r="AX159" t="s">
        <v>74</v>
      </c>
      <c r="AY159" t="s">
        <v>74</v>
      </c>
      <c r="AZ159" t="s">
        <v>74</v>
      </c>
      <c r="BA159" t="s">
        <v>74</v>
      </c>
      <c r="BB159">
        <v>5753</v>
      </c>
      <c r="BC159">
        <v>5755</v>
      </c>
      <c r="BD159" t="s">
        <v>74</v>
      </c>
      <c r="BE159" t="s">
        <v>3265</v>
      </c>
      <c r="BF159" t="str">
        <f>HYPERLINK("http://dx.doi.org/10.1016/j.tetlet.2012.08.042","http://dx.doi.org/10.1016/j.tetlet.2012.08.042")</f>
        <v>http://dx.doi.org/10.1016/j.tetlet.2012.08.042</v>
      </c>
      <c r="BG159" t="s">
        <v>74</v>
      </c>
      <c r="BH159" t="s">
        <v>74</v>
      </c>
      <c r="BI159">
        <v>3</v>
      </c>
      <c r="BJ159" t="s">
        <v>799</v>
      </c>
      <c r="BK159" t="s">
        <v>3266</v>
      </c>
      <c r="BL159" t="s">
        <v>801</v>
      </c>
      <c r="BM159" t="s">
        <v>3267</v>
      </c>
      <c r="BN159">
        <v>23175586</v>
      </c>
      <c r="BO159" t="s">
        <v>416</v>
      </c>
      <c r="BP159" t="s">
        <v>74</v>
      </c>
      <c r="BQ159" t="s">
        <v>74</v>
      </c>
      <c r="BR159" t="s">
        <v>101</v>
      </c>
      <c r="BS159" t="s">
        <v>3268</v>
      </c>
      <c r="BT159" t="str">
        <f>HYPERLINK("https%3A%2F%2Fwww.webofscience.com%2Fwos%2Fwoscc%2Ffull-record%2FWOS:000309618000008","View Full Record in Web of Science")</f>
        <v>View Full Record in Web of Science</v>
      </c>
    </row>
    <row r="160" spans="1:72" x14ac:dyDescent="0.15">
      <c r="A160" t="s">
        <v>72</v>
      </c>
      <c r="B160" t="s">
        <v>3269</v>
      </c>
      <c r="C160" t="s">
        <v>74</v>
      </c>
      <c r="D160" t="s">
        <v>74</v>
      </c>
      <c r="E160" t="s">
        <v>74</v>
      </c>
      <c r="F160" t="s">
        <v>3270</v>
      </c>
      <c r="G160" t="s">
        <v>74</v>
      </c>
      <c r="H160" t="s">
        <v>74</v>
      </c>
      <c r="I160" t="s">
        <v>3271</v>
      </c>
      <c r="J160" t="s">
        <v>499</v>
      </c>
      <c r="K160" t="s">
        <v>74</v>
      </c>
      <c r="L160" t="s">
        <v>74</v>
      </c>
      <c r="M160" t="s">
        <v>78</v>
      </c>
      <c r="N160" t="s">
        <v>79</v>
      </c>
      <c r="O160" t="s">
        <v>74</v>
      </c>
      <c r="P160" t="s">
        <v>74</v>
      </c>
      <c r="Q160" t="s">
        <v>74</v>
      </c>
      <c r="R160" t="s">
        <v>74</v>
      </c>
      <c r="S160" t="s">
        <v>74</v>
      </c>
      <c r="T160" t="s">
        <v>3272</v>
      </c>
      <c r="U160" t="s">
        <v>3273</v>
      </c>
      <c r="V160" t="s">
        <v>3274</v>
      </c>
      <c r="W160" t="s">
        <v>3275</v>
      </c>
      <c r="X160" t="s">
        <v>3080</v>
      </c>
      <c r="Y160" t="s">
        <v>3276</v>
      </c>
      <c r="Z160" t="s">
        <v>3277</v>
      </c>
      <c r="AA160" t="s">
        <v>3278</v>
      </c>
      <c r="AB160" t="s">
        <v>74</v>
      </c>
      <c r="AC160" t="s">
        <v>74</v>
      </c>
      <c r="AD160" t="s">
        <v>74</v>
      </c>
      <c r="AE160" t="s">
        <v>74</v>
      </c>
      <c r="AF160" t="s">
        <v>74</v>
      </c>
      <c r="AG160">
        <v>84</v>
      </c>
      <c r="AH160">
        <v>9</v>
      </c>
      <c r="AI160">
        <v>11</v>
      </c>
      <c r="AJ160">
        <v>2</v>
      </c>
      <c r="AK160">
        <v>101</v>
      </c>
      <c r="AL160" t="s">
        <v>188</v>
      </c>
      <c r="AM160" t="s">
        <v>189</v>
      </c>
      <c r="AN160" t="s">
        <v>190</v>
      </c>
      <c r="AO160" t="s">
        <v>509</v>
      </c>
      <c r="AP160" t="s">
        <v>510</v>
      </c>
      <c r="AQ160" t="s">
        <v>74</v>
      </c>
      <c r="AR160" t="s">
        <v>511</v>
      </c>
      <c r="AS160" t="s">
        <v>512</v>
      </c>
      <c r="AT160" t="s">
        <v>3264</v>
      </c>
      <c r="AU160">
        <v>2012</v>
      </c>
      <c r="AV160">
        <v>245</v>
      </c>
      <c r="AW160" t="s">
        <v>74</v>
      </c>
      <c r="AX160" t="s">
        <v>74</v>
      </c>
      <c r="AY160" t="s">
        <v>74</v>
      </c>
      <c r="AZ160" t="s">
        <v>1019</v>
      </c>
      <c r="BA160" t="s">
        <v>74</v>
      </c>
      <c r="BB160">
        <v>208</v>
      </c>
      <c r="BC160">
        <v>218</v>
      </c>
      <c r="BD160" t="s">
        <v>74</v>
      </c>
      <c r="BE160" t="s">
        <v>3279</v>
      </c>
      <c r="BF160" t="str">
        <f>HYPERLINK("http://dx.doi.org/10.1016/j.ecolmodel.2012.03.027","http://dx.doi.org/10.1016/j.ecolmodel.2012.03.027")</f>
        <v>http://dx.doi.org/10.1016/j.ecolmodel.2012.03.027</v>
      </c>
      <c r="BG160" t="s">
        <v>74</v>
      </c>
      <c r="BH160" t="s">
        <v>74</v>
      </c>
      <c r="BI160">
        <v>11</v>
      </c>
      <c r="BJ160" t="s">
        <v>515</v>
      </c>
      <c r="BK160" t="s">
        <v>98</v>
      </c>
      <c r="BL160" t="s">
        <v>333</v>
      </c>
      <c r="BM160" t="s">
        <v>3280</v>
      </c>
      <c r="BN160" t="s">
        <v>74</v>
      </c>
      <c r="BO160" t="s">
        <v>74</v>
      </c>
      <c r="BP160" t="s">
        <v>74</v>
      </c>
      <c r="BQ160" t="s">
        <v>74</v>
      </c>
      <c r="BR160" t="s">
        <v>101</v>
      </c>
      <c r="BS160" t="s">
        <v>3281</v>
      </c>
      <c r="BT160" t="str">
        <f>HYPERLINK("https%3A%2F%2Fwww.webofscience.com%2Fwos%2Fwoscc%2Ffull-record%2FWOS:000309374600021","View Full Record in Web of Science")</f>
        <v>View Full Record in Web of Science</v>
      </c>
    </row>
    <row r="161" spans="1:72" x14ac:dyDescent="0.15">
      <c r="A161" t="s">
        <v>72</v>
      </c>
      <c r="B161" t="s">
        <v>3282</v>
      </c>
      <c r="C161" t="s">
        <v>74</v>
      </c>
      <c r="D161" t="s">
        <v>74</v>
      </c>
      <c r="E161" t="s">
        <v>74</v>
      </c>
      <c r="F161" t="s">
        <v>3283</v>
      </c>
      <c r="G161" t="s">
        <v>74</v>
      </c>
      <c r="H161" t="s">
        <v>74</v>
      </c>
      <c r="I161" t="s">
        <v>3284</v>
      </c>
      <c r="J161" t="s">
        <v>3145</v>
      </c>
      <c r="K161" t="s">
        <v>74</v>
      </c>
      <c r="L161" t="s">
        <v>74</v>
      </c>
      <c r="M161" t="s">
        <v>78</v>
      </c>
      <c r="N161" t="s">
        <v>79</v>
      </c>
      <c r="O161" t="s">
        <v>74</v>
      </c>
      <c r="P161" t="s">
        <v>74</v>
      </c>
      <c r="Q161" t="s">
        <v>74</v>
      </c>
      <c r="R161" t="s">
        <v>74</v>
      </c>
      <c r="S161" t="s">
        <v>74</v>
      </c>
      <c r="T161" t="s">
        <v>3285</v>
      </c>
      <c r="U161" t="s">
        <v>3286</v>
      </c>
      <c r="V161" t="s">
        <v>3287</v>
      </c>
      <c r="W161" t="s">
        <v>3288</v>
      </c>
      <c r="X161" t="s">
        <v>3289</v>
      </c>
      <c r="Y161" t="s">
        <v>3290</v>
      </c>
      <c r="Z161" t="s">
        <v>3291</v>
      </c>
      <c r="AA161" t="s">
        <v>3292</v>
      </c>
      <c r="AB161" t="s">
        <v>3293</v>
      </c>
      <c r="AC161" t="s">
        <v>3294</v>
      </c>
      <c r="AD161" t="s">
        <v>3295</v>
      </c>
      <c r="AE161" t="s">
        <v>3296</v>
      </c>
      <c r="AF161" t="s">
        <v>74</v>
      </c>
      <c r="AG161">
        <v>38</v>
      </c>
      <c r="AH161">
        <v>224</v>
      </c>
      <c r="AI161">
        <v>247</v>
      </c>
      <c r="AJ161">
        <v>4</v>
      </c>
      <c r="AK161">
        <v>180</v>
      </c>
      <c r="AL161" t="s">
        <v>3158</v>
      </c>
      <c r="AM161" t="s">
        <v>119</v>
      </c>
      <c r="AN161" t="s">
        <v>3159</v>
      </c>
      <c r="AO161" t="s">
        <v>3160</v>
      </c>
      <c r="AP161" t="s">
        <v>74</v>
      </c>
      <c r="AQ161" t="s">
        <v>74</v>
      </c>
      <c r="AR161" t="s">
        <v>3161</v>
      </c>
      <c r="AS161" t="s">
        <v>3162</v>
      </c>
      <c r="AT161" t="s">
        <v>3297</v>
      </c>
      <c r="AU161">
        <v>2012</v>
      </c>
      <c r="AV161">
        <v>109</v>
      </c>
      <c r="AW161">
        <v>43</v>
      </c>
      <c r="AX161" t="s">
        <v>74</v>
      </c>
      <c r="AY161" t="s">
        <v>74</v>
      </c>
      <c r="AZ161" t="s">
        <v>74</v>
      </c>
      <c r="BA161" t="s">
        <v>74</v>
      </c>
      <c r="BB161">
        <v>17633</v>
      </c>
      <c r="BC161">
        <v>17638</v>
      </c>
      <c r="BD161" t="s">
        <v>74</v>
      </c>
      <c r="BE161" t="s">
        <v>3298</v>
      </c>
      <c r="BF161" t="str">
        <f>HYPERLINK("http://dx.doi.org/10.1073/pnas.1208160109","http://dx.doi.org/10.1073/pnas.1208160109")</f>
        <v>http://dx.doi.org/10.1073/pnas.1208160109</v>
      </c>
      <c r="BG161" t="s">
        <v>74</v>
      </c>
      <c r="BH161" t="s">
        <v>74</v>
      </c>
      <c r="BI161">
        <v>6</v>
      </c>
      <c r="BJ161" t="s">
        <v>153</v>
      </c>
      <c r="BK161" t="s">
        <v>98</v>
      </c>
      <c r="BL161" t="s">
        <v>154</v>
      </c>
      <c r="BM161" t="s">
        <v>3299</v>
      </c>
      <c r="BN161">
        <v>23045668</v>
      </c>
      <c r="BO161" t="s">
        <v>1458</v>
      </c>
      <c r="BP161" t="s">
        <v>74</v>
      </c>
      <c r="BQ161" t="s">
        <v>74</v>
      </c>
      <c r="BR161" t="s">
        <v>101</v>
      </c>
      <c r="BS161" t="s">
        <v>3300</v>
      </c>
      <c r="BT161" t="str">
        <f>HYPERLINK("https%3A%2F%2Fwww.webofscience.com%2Fwos%2Fwoscc%2Ffull-record%2FWOS:000311147800065","View Full Record in Web of Science")</f>
        <v>View Full Record in Web of Science</v>
      </c>
    </row>
    <row r="162" spans="1:72" x14ac:dyDescent="0.15">
      <c r="A162" t="s">
        <v>72</v>
      </c>
      <c r="B162" t="s">
        <v>3301</v>
      </c>
      <c r="C162" t="s">
        <v>74</v>
      </c>
      <c r="D162" t="s">
        <v>74</v>
      </c>
      <c r="E162" t="s">
        <v>74</v>
      </c>
      <c r="F162" t="s">
        <v>3302</v>
      </c>
      <c r="G162" t="s">
        <v>74</v>
      </c>
      <c r="H162" t="s">
        <v>74</v>
      </c>
      <c r="I162" t="s">
        <v>3303</v>
      </c>
      <c r="J162" t="s">
        <v>3304</v>
      </c>
      <c r="K162" t="s">
        <v>74</v>
      </c>
      <c r="L162" t="s">
        <v>74</v>
      </c>
      <c r="M162" t="s">
        <v>78</v>
      </c>
      <c r="N162" t="s">
        <v>79</v>
      </c>
      <c r="O162" t="s">
        <v>74</v>
      </c>
      <c r="P162" t="s">
        <v>74</v>
      </c>
      <c r="Q162" t="s">
        <v>74</v>
      </c>
      <c r="R162" t="s">
        <v>74</v>
      </c>
      <c r="S162" t="s">
        <v>74</v>
      </c>
      <c r="T162" t="s">
        <v>3305</v>
      </c>
      <c r="U162" t="s">
        <v>3306</v>
      </c>
      <c r="V162" t="s">
        <v>3307</v>
      </c>
      <c r="W162" t="s">
        <v>3308</v>
      </c>
      <c r="X162" t="s">
        <v>3309</v>
      </c>
      <c r="Y162" t="s">
        <v>3310</v>
      </c>
      <c r="Z162" t="s">
        <v>3311</v>
      </c>
      <c r="AA162" t="s">
        <v>3312</v>
      </c>
      <c r="AB162" t="s">
        <v>3313</v>
      </c>
      <c r="AC162" t="s">
        <v>3314</v>
      </c>
      <c r="AD162" t="s">
        <v>3315</v>
      </c>
      <c r="AE162" t="s">
        <v>3316</v>
      </c>
      <c r="AF162" t="s">
        <v>74</v>
      </c>
      <c r="AG162">
        <v>82</v>
      </c>
      <c r="AH162">
        <v>32</v>
      </c>
      <c r="AI162">
        <v>38</v>
      </c>
      <c r="AJ162">
        <v>0</v>
      </c>
      <c r="AK162">
        <v>23</v>
      </c>
      <c r="AL162" t="s">
        <v>118</v>
      </c>
      <c r="AM162" t="s">
        <v>119</v>
      </c>
      <c r="AN162" t="s">
        <v>120</v>
      </c>
      <c r="AO162" t="s">
        <v>3317</v>
      </c>
      <c r="AP162" t="s">
        <v>74</v>
      </c>
      <c r="AQ162" t="s">
        <v>74</v>
      </c>
      <c r="AR162" t="s">
        <v>3318</v>
      </c>
      <c r="AS162" t="s">
        <v>3319</v>
      </c>
      <c r="AT162" t="s">
        <v>3320</v>
      </c>
      <c r="AU162">
        <v>2012</v>
      </c>
      <c r="AV162">
        <v>13</v>
      </c>
      <c r="AW162" t="s">
        <v>74</v>
      </c>
      <c r="AX162" t="s">
        <v>74</v>
      </c>
      <c r="AY162" t="s">
        <v>74</v>
      </c>
      <c r="AZ162" t="s">
        <v>74</v>
      </c>
      <c r="BA162" t="s">
        <v>74</v>
      </c>
      <c r="BB162" t="s">
        <v>74</v>
      </c>
      <c r="BC162" t="s">
        <v>74</v>
      </c>
      <c r="BD162" t="s">
        <v>3321</v>
      </c>
      <c r="BE162" t="s">
        <v>3322</v>
      </c>
      <c r="BF162" t="str">
        <f>HYPERLINK("http://dx.doi.org/10.1029/2012GC004357","http://dx.doi.org/10.1029/2012GC004357")</f>
        <v>http://dx.doi.org/10.1029/2012GC004357</v>
      </c>
      <c r="BG162" t="s">
        <v>74</v>
      </c>
      <c r="BH162" t="s">
        <v>74</v>
      </c>
      <c r="BI162">
        <v>18</v>
      </c>
      <c r="BJ162" t="s">
        <v>241</v>
      </c>
      <c r="BK162" t="s">
        <v>98</v>
      </c>
      <c r="BL162" t="s">
        <v>241</v>
      </c>
      <c r="BM162" t="s">
        <v>3323</v>
      </c>
      <c r="BN162" t="s">
        <v>74</v>
      </c>
      <c r="BO162" t="s">
        <v>1654</v>
      </c>
      <c r="BP162" t="s">
        <v>74</v>
      </c>
      <c r="BQ162" t="s">
        <v>74</v>
      </c>
      <c r="BR162" t="s">
        <v>101</v>
      </c>
      <c r="BS162" t="s">
        <v>3324</v>
      </c>
      <c r="BT162" t="str">
        <f>HYPERLINK("https%3A%2F%2Fwww.webofscience.com%2Fwos%2Fwoscc%2Ffull-record%2FWOS:000310071200001","View Full Record in Web of Science")</f>
        <v>View Full Record in Web of Science</v>
      </c>
    </row>
    <row r="163" spans="1:72" x14ac:dyDescent="0.15">
      <c r="A163" t="s">
        <v>72</v>
      </c>
      <c r="B163" t="s">
        <v>3325</v>
      </c>
      <c r="C163" t="s">
        <v>74</v>
      </c>
      <c r="D163" t="s">
        <v>74</v>
      </c>
      <c r="E163" t="s">
        <v>74</v>
      </c>
      <c r="F163" t="s">
        <v>3326</v>
      </c>
      <c r="G163" t="s">
        <v>74</v>
      </c>
      <c r="H163" t="s">
        <v>74</v>
      </c>
      <c r="I163" t="s">
        <v>3327</v>
      </c>
      <c r="J163" t="s">
        <v>106</v>
      </c>
      <c r="K163" t="s">
        <v>74</v>
      </c>
      <c r="L163" t="s">
        <v>74</v>
      </c>
      <c r="M163" t="s">
        <v>78</v>
      </c>
      <c r="N163" t="s">
        <v>79</v>
      </c>
      <c r="O163" t="s">
        <v>74</v>
      </c>
      <c r="P163" t="s">
        <v>74</v>
      </c>
      <c r="Q163" t="s">
        <v>74</v>
      </c>
      <c r="R163" t="s">
        <v>74</v>
      </c>
      <c r="S163" t="s">
        <v>74</v>
      </c>
      <c r="T163" t="s">
        <v>74</v>
      </c>
      <c r="U163" t="s">
        <v>3328</v>
      </c>
      <c r="V163" t="s">
        <v>3329</v>
      </c>
      <c r="W163" t="s">
        <v>3330</v>
      </c>
      <c r="X163" t="s">
        <v>3331</v>
      </c>
      <c r="Y163" t="s">
        <v>3332</v>
      </c>
      <c r="Z163" t="s">
        <v>3333</v>
      </c>
      <c r="AA163" t="s">
        <v>3334</v>
      </c>
      <c r="AB163" t="s">
        <v>3335</v>
      </c>
      <c r="AC163" t="s">
        <v>3336</v>
      </c>
      <c r="AD163" t="s">
        <v>3337</v>
      </c>
      <c r="AE163" t="s">
        <v>3338</v>
      </c>
      <c r="AF163" t="s">
        <v>74</v>
      </c>
      <c r="AG163">
        <v>101</v>
      </c>
      <c r="AH163">
        <v>235</v>
      </c>
      <c r="AI163">
        <v>243</v>
      </c>
      <c r="AJ163">
        <v>2</v>
      </c>
      <c r="AK163">
        <v>23</v>
      </c>
      <c r="AL163" t="s">
        <v>118</v>
      </c>
      <c r="AM163" t="s">
        <v>119</v>
      </c>
      <c r="AN163" t="s">
        <v>120</v>
      </c>
      <c r="AO163" t="s">
        <v>121</v>
      </c>
      <c r="AP163" t="s">
        <v>122</v>
      </c>
      <c r="AQ163" t="s">
        <v>74</v>
      </c>
      <c r="AR163" t="s">
        <v>123</v>
      </c>
      <c r="AS163" t="s">
        <v>124</v>
      </c>
      <c r="AT163" t="s">
        <v>3320</v>
      </c>
      <c r="AU163">
        <v>2012</v>
      </c>
      <c r="AV163">
        <v>117</v>
      </c>
      <c r="AW163" t="s">
        <v>74</v>
      </c>
      <c r="AX163" t="s">
        <v>74</v>
      </c>
      <c r="AY163" t="s">
        <v>74</v>
      </c>
      <c r="AZ163" t="s">
        <v>74</v>
      </c>
      <c r="BA163" t="s">
        <v>74</v>
      </c>
      <c r="BB163" t="s">
        <v>74</v>
      </c>
      <c r="BC163" t="s">
        <v>74</v>
      </c>
      <c r="BD163" t="s">
        <v>3339</v>
      </c>
      <c r="BE163" t="s">
        <v>3340</v>
      </c>
      <c r="BF163" t="str">
        <f>HYPERLINK("http://dx.doi.org/10.1029/2012JA017978","http://dx.doi.org/10.1029/2012JA017978")</f>
        <v>http://dx.doi.org/10.1029/2012JA017978</v>
      </c>
      <c r="BG163" t="s">
        <v>74</v>
      </c>
      <c r="BH163" t="s">
        <v>74</v>
      </c>
      <c r="BI163">
        <v>14</v>
      </c>
      <c r="BJ163" t="s">
        <v>127</v>
      </c>
      <c r="BK163" t="s">
        <v>98</v>
      </c>
      <c r="BL163" t="s">
        <v>127</v>
      </c>
      <c r="BM163" t="s">
        <v>3341</v>
      </c>
      <c r="BN163" t="s">
        <v>74</v>
      </c>
      <c r="BO163" t="s">
        <v>416</v>
      </c>
      <c r="BP163" t="s">
        <v>74</v>
      </c>
      <c r="BQ163" t="s">
        <v>74</v>
      </c>
      <c r="BR163" t="s">
        <v>101</v>
      </c>
      <c r="BS163" t="s">
        <v>3342</v>
      </c>
      <c r="BT163" t="str">
        <f>HYPERLINK("https%3A%2F%2Fwww.webofscience.com%2Fwos%2Fwoscc%2Ffull-record%2FWOS:000310084900001","View Full Record in Web of Science")</f>
        <v>View Full Record in Web of Science</v>
      </c>
    </row>
    <row r="164" spans="1:72" x14ac:dyDescent="0.15">
      <c r="A164" t="s">
        <v>72</v>
      </c>
      <c r="B164" t="s">
        <v>3343</v>
      </c>
      <c r="C164" t="s">
        <v>74</v>
      </c>
      <c r="D164" t="s">
        <v>74</v>
      </c>
      <c r="E164" t="s">
        <v>74</v>
      </c>
      <c r="F164" t="s">
        <v>3344</v>
      </c>
      <c r="G164" t="s">
        <v>74</v>
      </c>
      <c r="H164" t="s">
        <v>74</v>
      </c>
      <c r="I164" t="s">
        <v>3345</v>
      </c>
      <c r="J164" t="s">
        <v>444</v>
      </c>
      <c r="K164" t="s">
        <v>74</v>
      </c>
      <c r="L164" t="s">
        <v>74</v>
      </c>
      <c r="M164" t="s">
        <v>78</v>
      </c>
      <c r="N164" t="s">
        <v>79</v>
      </c>
      <c r="O164" t="s">
        <v>74</v>
      </c>
      <c r="P164" t="s">
        <v>74</v>
      </c>
      <c r="Q164" t="s">
        <v>74</v>
      </c>
      <c r="R164" t="s">
        <v>74</v>
      </c>
      <c r="S164" t="s">
        <v>74</v>
      </c>
      <c r="T164" t="s">
        <v>74</v>
      </c>
      <c r="U164" t="s">
        <v>3346</v>
      </c>
      <c r="V164" t="s">
        <v>3347</v>
      </c>
      <c r="W164" t="s">
        <v>3348</v>
      </c>
      <c r="X164" t="s">
        <v>3349</v>
      </c>
      <c r="Y164" t="s">
        <v>3350</v>
      </c>
      <c r="Z164" t="s">
        <v>3351</v>
      </c>
      <c r="AA164" t="s">
        <v>3352</v>
      </c>
      <c r="AB164" t="s">
        <v>3353</v>
      </c>
      <c r="AC164" t="s">
        <v>3354</v>
      </c>
      <c r="AD164" t="s">
        <v>3355</v>
      </c>
      <c r="AE164" t="s">
        <v>3356</v>
      </c>
      <c r="AF164" t="s">
        <v>74</v>
      </c>
      <c r="AG164">
        <v>20</v>
      </c>
      <c r="AH164">
        <v>112</v>
      </c>
      <c r="AI164">
        <v>117</v>
      </c>
      <c r="AJ164">
        <v>0</v>
      </c>
      <c r="AK164">
        <v>42</v>
      </c>
      <c r="AL164" t="s">
        <v>118</v>
      </c>
      <c r="AM164" t="s">
        <v>119</v>
      </c>
      <c r="AN164" t="s">
        <v>120</v>
      </c>
      <c r="AO164" t="s">
        <v>454</v>
      </c>
      <c r="AP164" t="s">
        <v>455</v>
      </c>
      <c r="AQ164" t="s">
        <v>74</v>
      </c>
      <c r="AR164" t="s">
        <v>456</v>
      </c>
      <c r="AS164" t="s">
        <v>457</v>
      </c>
      <c r="AT164" t="s">
        <v>3357</v>
      </c>
      <c r="AU164">
        <v>2012</v>
      </c>
      <c r="AV164">
        <v>39</v>
      </c>
      <c r="AW164" t="s">
        <v>74</v>
      </c>
      <c r="AX164" t="s">
        <v>74</v>
      </c>
      <c r="AY164" t="s">
        <v>74</v>
      </c>
      <c r="AZ164" t="s">
        <v>74</v>
      </c>
      <c r="BA164" t="s">
        <v>74</v>
      </c>
      <c r="BB164" t="s">
        <v>74</v>
      </c>
      <c r="BC164" t="s">
        <v>74</v>
      </c>
      <c r="BD164" t="s">
        <v>3358</v>
      </c>
      <c r="BE164" t="s">
        <v>3359</v>
      </c>
      <c r="BF164" t="str">
        <f>HYPERLINK("http://dx.doi.org/10.1029/2012GL053393","http://dx.doi.org/10.1029/2012GL053393")</f>
        <v>http://dx.doi.org/10.1029/2012GL053393</v>
      </c>
      <c r="BG164" t="s">
        <v>74</v>
      </c>
      <c r="BH164" t="s">
        <v>74</v>
      </c>
      <c r="BI164">
        <v>5</v>
      </c>
      <c r="BJ164" t="s">
        <v>461</v>
      </c>
      <c r="BK164" t="s">
        <v>98</v>
      </c>
      <c r="BL164" t="s">
        <v>462</v>
      </c>
      <c r="BM164" t="s">
        <v>3360</v>
      </c>
      <c r="BN164" t="s">
        <v>74</v>
      </c>
      <c r="BO164" t="s">
        <v>1654</v>
      </c>
      <c r="BP164" t="s">
        <v>74</v>
      </c>
      <c r="BQ164" t="s">
        <v>74</v>
      </c>
      <c r="BR164" t="s">
        <v>101</v>
      </c>
      <c r="BS164" t="s">
        <v>3361</v>
      </c>
      <c r="BT164" t="str">
        <f>HYPERLINK("https%3A%2F%2Fwww.webofscience.com%2Fwos%2Fwoscc%2Ffull-record%2FWOS:000310079200005","View Full Record in Web of Science")</f>
        <v>View Full Record in Web of Science</v>
      </c>
    </row>
    <row r="165" spans="1:72" x14ac:dyDescent="0.15">
      <c r="A165" t="s">
        <v>72</v>
      </c>
      <c r="B165" t="s">
        <v>3362</v>
      </c>
      <c r="C165" t="s">
        <v>74</v>
      </c>
      <c r="D165" t="s">
        <v>74</v>
      </c>
      <c r="E165" t="s">
        <v>74</v>
      </c>
      <c r="F165" t="s">
        <v>3363</v>
      </c>
      <c r="G165" t="s">
        <v>74</v>
      </c>
      <c r="H165" t="s">
        <v>74</v>
      </c>
      <c r="I165" t="s">
        <v>3364</v>
      </c>
      <c r="J165" t="s">
        <v>421</v>
      </c>
      <c r="K165" t="s">
        <v>74</v>
      </c>
      <c r="L165" t="s">
        <v>74</v>
      </c>
      <c r="M165" t="s">
        <v>78</v>
      </c>
      <c r="N165" t="s">
        <v>540</v>
      </c>
      <c r="O165" t="s">
        <v>74</v>
      </c>
      <c r="P165" t="s">
        <v>74</v>
      </c>
      <c r="Q165" t="s">
        <v>74</v>
      </c>
      <c r="R165" t="s">
        <v>74</v>
      </c>
      <c r="S165" t="s">
        <v>74</v>
      </c>
      <c r="T165" t="s">
        <v>74</v>
      </c>
      <c r="U165" t="s">
        <v>74</v>
      </c>
      <c r="V165" t="s">
        <v>74</v>
      </c>
      <c r="W165" t="s">
        <v>74</v>
      </c>
      <c r="X165" t="s">
        <v>74</v>
      </c>
      <c r="Y165" t="s">
        <v>74</v>
      </c>
      <c r="Z165" t="s">
        <v>74</v>
      </c>
      <c r="AA165" t="s">
        <v>74</v>
      </c>
      <c r="AB165" t="s">
        <v>74</v>
      </c>
      <c r="AC165" t="s">
        <v>74</v>
      </c>
      <c r="AD165" t="s">
        <v>74</v>
      </c>
      <c r="AE165" t="s">
        <v>74</v>
      </c>
      <c r="AF165" t="s">
        <v>74</v>
      </c>
      <c r="AG165">
        <v>1</v>
      </c>
      <c r="AH165">
        <v>5</v>
      </c>
      <c r="AI165">
        <v>5</v>
      </c>
      <c r="AJ165">
        <v>0</v>
      </c>
      <c r="AK165">
        <v>9</v>
      </c>
      <c r="AL165" t="s">
        <v>433</v>
      </c>
      <c r="AM165" t="s">
        <v>434</v>
      </c>
      <c r="AN165" t="s">
        <v>435</v>
      </c>
      <c r="AO165" t="s">
        <v>436</v>
      </c>
      <c r="AP165" t="s">
        <v>74</v>
      </c>
      <c r="AQ165" t="s">
        <v>74</v>
      </c>
      <c r="AR165" t="s">
        <v>421</v>
      </c>
      <c r="AS165" t="s">
        <v>437</v>
      </c>
      <c r="AT165" t="s">
        <v>3365</v>
      </c>
      <c r="AU165">
        <v>2012</v>
      </c>
      <c r="AV165">
        <v>490</v>
      </c>
      <c r="AW165">
        <v>7420</v>
      </c>
      <c r="AX165" t="s">
        <v>74</v>
      </c>
      <c r="AY165" t="s">
        <v>74</v>
      </c>
      <c r="AZ165" t="s">
        <v>74</v>
      </c>
      <c r="BA165" t="s">
        <v>74</v>
      </c>
      <c r="BB165">
        <v>324</v>
      </c>
      <c r="BC165">
        <v>324</v>
      </c>
      <c r="BD165" t="s">
        <v>74</v>
      </c>
      <c r="BE165" t="s">
        <v>3366</v>
      </c>
      <c r="BF165" t="str">
        <f>HYPERLINK("http://dx.doi.org/10.1038/490324a","http://dx.doi.org/10.1038/490324a")</f>
        <v>http://dx.doi.org/10.1038/490324a</v>
      </c>
      <c r="BG165" t="s">
        <v>74</v>
      </c>
      <c r="BH165" t="s">
        <v>74</v>
      </c>
      <c r="BI165">
        <v>1</v>
      </c>
      <c r="BJ165" t="s">
        <v>153</v>
      </c>
      <c r="BK165" t="s">
        <v>98</v>
      </c>
      <c r="BL165" t="s">
        <v>154</v>
      </c>
      <c r="BM165" t="s">
        <v>3367</v>
      </c>
      <c r="BN165">
        <v>23075961</v>
      </c>
      <c r="BO165" t="s">
        <v>607</v>
      </c>
      <c r="BP165" t="s">
        <v>74</v>
      </c>
      <c r="BQ165" t="s">
        <v>74</v>
      </c>
      <c r="BR165" t="s">
        <v>101</v>
      </c>
      <c r="BS165" t="s">
        <v>3368</v>
      </c>
      <c r="BT165" t="str">
        <f>HYPERLINK("https%3A%2F%2Fwww.webofscience.com%2Fwos%2Fwoscc%2Ffull-record%2FWOS:000309918500011","View Full Record in Web of Science")</f>
        <v>View Full Record in Web of Science</v>
      </c>
    </row>
    <row r="166" spans="1:72" x14ac:dyDescent="0.15">
      <c r="A166" t="s">
        <v>72</v>
      </c>
      <c r="B166" t="s">
        <v>3369</v>
      </c>
      <c r="C166" t="s">
        <v>74</v>
      </c>
      <c r="D166" t="s">
        <v>74</v>
      </c>
      <c r="E166" t="s">
        <v>74</v>
      </c>
      <c r="F166" t="s">
        <v>3370</v>
      </c>
      <c r="G166" t="s">
        <v>74</v>
      </c>
      <c r="H166" t="s">
        <v>74</v>
      </c>
      <c r="I166" t="s">
        <v>3371</v>
      </c>
      <c r="J166" t="s">
        <v>421</v>
      </c>
      <c r="K166" t="s">
        <v>74</v>
      </c>
      <c r="L166" t="s">
        <v>74</v>
      </c>
      <c r="M166" t="s">
        <v>78</v>
      </c>
      <c r="N166" t="s">
        <v>79</v>
      </c>
      <c r="O166" t="s">
        <v>74</v>
      </c>
      <c r="P166" t="s">
        <v>74</v>
      </c>
      <c r="Q166" t="s">
        <v>74</v>
      </c>
      <c r="R166" t="s">
        <v>74</v>
      </c>
      <c r="S166" t="s">
        <v>74</v>
      </c>
      <c r="T166" t="s">
        <v>74</v>
      </c>
      <c r="U166" t="s">
        <v>3372</v>
      </c>
      <c r="V166" t="s">
        <v>3373</v>
      </c>
      <c r="W166" t="s">
        <v>3374</v>
      </c>
      <c r="X166" t="s">
        <v>3375</v>
      </c>
      <c r="Y166" t="s">
        <v>3376</v>
      </c>
      <c r="Z166" t="s">
        <v>3377</v>
      </c>
      <c r="AA166" t="s">
        <v>3378</v>
      </c>
      <c r="AB166" t="s">
        <v>3379</v>
      </c>
      <c r="AC166" t="s">
        <v>3380</v>
      </c>
      <c r="AD166" t="s">
        <v>3381</v>
      </c>
      <c r="AE166" t="s">
        <v>3382</v>
      </c>
      <c r="AF166" t="s">
        <v>74</v>
      </c>
      <c r="AG166">
        <v>30</v>
      </c>
      <c r="AH166">
        <v>277</v>
      </c>
      <c r="AI166">
        <v>342</v>
      </c>
      <c r="AJ166">
        <v>5</v>
      </c>
      <c r="AK166">
        <v>222</v>
      </c>
      <c r="AL166" t="s">
        <v>433</v>
      </c>
      <c r="AM166" t="s">
        <v>434</v>
      </c>
      <c r="AN166" t="s">
        <v>435</v>
      </c>
      <c r="AO166" t="s">
        <v>436</v>
      </c>
      <c r="AP166" t="s">
        <v>3383</v>
      </c>
      <c r="AQ166" t="s">
        <v>74</v>
      </c>
      <c r="AR166" t="s">
        <v>421</v>
      </c>
      <c r="AS166" t="s">
        <v>437</v>
      </c>
      <c r="AT166" t="s">
        <v>3365</v>
      </c>
      <c r="AU166">
        <v>2012</v>
      </c>
      <c r="AV166">
        <v>490</v>
      </c>
      <c r="AW166">
        <v>7420</v>
      </c>
      <c r="AX166" t="s">
        <v>74</v>
      </c>
      <c r="AY166" t="s">
        <v>74</v>
      </c>
      <c r="AZ166" t="s">
        <v>74</v>
      </c>
      <c r="BA166" t="s">
        <v>74</v>
      </c>
      <c r="BB166">
        <v>393</v>
      </c>
      <c r="BC166">
        <v>396</v>
      </c>
      <c r="BD166" t="s">
        <v>74</v>
      </c>
      <c r="BE166" t="s">
        <v>3384</v>
      </c>
      <c r="BF166" t="str">
        <f>HYPERLINK("http://dx.doi.org/10.1038/nature11493","http://dx.doi.org/10.1038/nature11493")</f>
        <v>http://dx.doi.org/10.1038/nature11493</v>
      </c>
      <c r="BG166" t="s">
        <v>74</v>
      </c>
      <c r="BH166" t="s">
        <v>74</v>
      </c>
      <c r="BI166">
        <v>4</v>
      </c>
      <c r="BJ166" t="s">
        <v>153</v>
      </c>
      <c r="BK166" t="s">
        <v>98</v>
      </c>
      <c r="BL166" t="s">
        <v>154</v>
      </c>
      <c r="BM166" t="s">
        <v>3367</v>
      </c>
      <c r="BN166">
        <v>23034648</v>
      </c>
      <c r="BO166" t="s">
        <v>74</v>
      </c>
      <c r="BP166" t="s">
        <v>74</v>
      </c>
      <c r="BQ166" t="s">
        <v>74</v>
      </c>
      <c r="BR166" t="s">
        <v>101</v>
      </c>
      <c r="BS166" t="s">
        <v>3385</v>
      </c>
      <c r="BT166" t="str">
        <f>HYPERLINK("https%3A%2F%2Fwww.webofscience.com%2Fwos%2Fwoscc%2Ffull-record%2FWOS:000309918500044","View Full Record in Web of Science")</f>
        <v>View Full Record in Web of Science</v>
      </c>
    </row>
    <row r="167" spans="1:72" x14ac:dyDescent="0.15">
      <c r="A167" t="s">
        <v>72</v>
      </c>
      <c r="B167" t="s">
        <v>3386</v>
      </c>
      <c r="C167" t="s">
        <v>74</v>
      </c>
      <c r="D167" t="s">
        <v>74</v>
      </c>
      <c r="E167" t="s">
        <v>74</v>
      </c>
      <c r="F167" t="s">
        <v>3387</v>
      </c>
      <c r="G167" t="s">
        <v>74</v>
      </c>
      <c r="H167" t="s">
        <v>74</v>
      </c>
      <c r="I167" t="s">
        <v>3388</v>
      </c>
      <c r="J167" t="s">
        <v>3389</v>
      </c>
      <c r="K167" t="s">
        <v>74</v>
      </c>
      <c r="L167" t="s">
        <v>74</v>
      </c>
      <c r="M167" t="s">
        <v>78</v>
      </c>
      <c r="N167" t="s">
        <v>79</v>
      </c>
      <c r="O167" t="s">
        <v>74</v>
      </c>
      <c r="P167" t="s">
        <v>74</v>
      </c>
      <c r="Q167" t="s">
        <v>74</v>
      </c>
      <c r="R167" t="s">
        <v>74</v>
      </c>
      <c r="S167" t="s">
        <v>74</v>
      </c>
      <c r="T167" t="s">
        <v>3390</v>
      </c>
      <c r="U167" t="s">
        <v>3391</v>
      </c>
      <c r="V167" t="s">
        <v>3392</v>
      </c>
      <c r="W167" t="s">
        <v>3393</v>
      </c>
      <c r="X167" t="s">
        <v>3394</v>
      </c>
      <c r="Y167" t="s">
        <v>3395</v>
      </c>
      <c r="Z167" t="s">
        <v>3396</v>
      </c>
      <c r="AA167" t="s">
        <v>3397</v>
      </c>
      <c r="AB167" t="s">
        <v>3398</v>
      </c>
      <c r="AC167" t="s">
        <v>3399</v>
      </c>
      <c r="AD167" t="s">
        <v>3400</v>
      </c>
      <c r="AE167" t="s">
        <v>3401</v>
      </c>
      <c r="AF167" t="s">
        <v>74</v>
      </c>
      <c r="AG167">
        <v>100</v>
      </c>
      <c r="AH167">
        <v>98</v>
      </c>
      <c r="AI167">
        <v>113</v>
      </c>
      <c r="AJ167">
        <v>1</v>
      </c>
      <c r="AK167">
        <v>150</v>
      </c>
      <c r="AL167" t="s">
        <v>3402</v>
      </c>
      <c r="AM167" t="s">
        <v>434</v>
      </c>
      <c r="AN167" t="s">
        <v>3403</v>
      </c>
      <c r="AO167" t="s">
        <v>3404</v>
      </c>
      <c r="AP167" t="s">
        <v>74</v>
      </c>
      <c r="AQ167" t="s">
        <v>74</v>
      </c>
      <c r="AR167" t="s">
        <v>3405</v>
      </c>
      <c r="AS167" t="s">
        <v>3406</v>
      </c>
      <c r="AT167" t="s">
        <v>3365</v>
      </c>
      <c r="AU167">
        <v>2012</v>
      </c>
      <c r="AV167">
        <v>9</v>
      </c>
      <c r="AW167" t="s">
        <v>74</v>
      </c>
      <c r="AX167" t="s">
        <v>74</v>
      </c>
      <c r="AY167" t="s">
        <v>74</v>
      </c>
      <c r="AZ167" t="s">
        <v>74</v>
      </c>
      <c r="BA167" t="s">
        <v>74</v>
      </c>
      <c r="BB167" t="s">
        <v>74</v>
      </c>
      <c r="BC167" t="s">
        <v>74</v>
      </c>
      <c r="BD167">
        <v>28</v>
      </c>
      <c r="BE167" t="s">
        <v>3407</v>
      </c>
      <c r="BF167" t="str">
        <f>HYPERLINK("http://dx.doi.org/10.1186/1742-9994-9-28","http://dx.doi.org/10.1186/1742-9994-9-28")</f>
        <v>http://dx.doi.org/10.1186/1742-9994-9-28</v>
      </c>
      <c r="BG167" t="s">
        <v>74</v>
      </c>
      <c r="BH167" t="s">
        <v>74</v>
      </c>
      <c r="BI167">
        <v>15</v>
      </c>
      <c r="BJ167" t="s">
        <v>675</v>
      </c>
      <c r="BK167" t="s">
        <v>98</v>
      </c>
      <c r="BL167" t="s">
        <v>675</v>
      </c>
      <c r="BM167" t="s">
        <v>3408</v>
      </c>
      <c r="BN167">
        <v>23075125</v>
      </c>
      <c r="BO167" t="s">
        <v>3409</v>
      </c>
      <c r="BP167" t="s">
        <v>74</v>
      </c>
      <c r="BQ167" t="s">
        <v>74</v>
      </c>
      <c r="BR167" t="s">
        <v>101</v>
      </c>
      <c r="BS167" t="s">
        <v>3410</v>
      </c>
      <c r="BT167" t="str">
        <f>HYPERLINK("https%3A%2F%2Fwww.webofscience.com%2Fwos%2Fwoscc%2Ffull-record%2FWOS:000313330200001","View Full Record in Web of Science")</f>
        <v>View Full Record in Web of Science</v>
      </c>
    </row>
    <row r="168" spans="1:72" x14ac:dyDescent="0.15">
      <c r="A168" t="s">
        <v>72</v>
      </c>
      <c r="B168" t="s">
        <v>3411</v>
      </c>
      <c r="C168" t="s">
        <v>74</v>
      </c>
      <c r="D168" t="s">
        <v>74</v>
      </c>
      <c r="E168" t="s">
        <v>74</v>
      </c>
      <c r="F168" t="s">
        <v>3412</v>
      </c>
      <c r="G168" t="s">
        <v>74</v>
      </c>
      <c r="H168" t="s">
        <v>74</v>
      </c>
      <c r="I168" t="s">
        <v>3413</v>
      </c>
      <c r="J168" t="s">
        <v>3414</v>
      </c>
      <c r="K168" t="s">
        <v>74</v>
      </c>
      <c r="L168" t="s">
        <v>74</v>
      </c>
      <c r="M168" t="s">
        <v>78</v>
      </c>
      <c r="N168" t="s">
        <v>79</v>
      </c>
      <c r="O168" t="s">
        <v>74</v>
      </c>
      <c r="P168" t="s">
        <v>74</v>
      </c>
      <c r="Q168" t="s">
        <v>74</v>
      </c>
      <c r="R168" t="s">
        <v>74</v>
      </c>
      <c r="S168" t="s">
        <v>74</v>
      </c>
      <c r="T168" t="s">
        <v>3415</v>
      </c>
      <c r="U168" t="s">
        <v>3416</v>
      </c>
      <c r="V168" t="s">
        <v>3417</v>
      </c>
      <c r="W168" t="s">
        <v>3418</v>
      </c>
      <c r="X168" t="s">
        <v>3419</v>
      </c>
      <c r="Y168" t="s">
        <v>3420</v>
      </c>
      <c r="Z168" t="s">
        <v>3421</v>
      </c>
      <c r="AA168" t="s">
        <v>3422</v>
      </c>
      <c r="AB168" t="s">
        <v>3423</v>
      </c>
      <c r="AC168" t="s">
        <v>3424</v>
      </c>
      <c r="AD168" t="s">
        <v>3425</v>
      </c>
      <c r="AE168" t="s">
        <v>74</v>
      </c>
      <c r="AF168" t="s">
        <v>74</v>
      </c>
      <c r="AG168">
        <v>51</v>
      </c>
      <c r="AH168">
        <v>3</v>
      </c>
      <c r="AI168">
        <v>4</v>
      </c>
      <c r="AJ168">
        <v>0</v>
      </c>
      <c r="AK168">
        <v>17</v>
      </c>
      <c r="AL168" t="s">
        <v>188</v>
      </c>
      <c r="AM168" t="s">
        <v>189</v>
      </c>
      <c r="AN168" t="s">
        <v>190</v>
      </c>
      <c r="AO168" t="s">
        <v>3426</v>
      </c>
      <c r="AP168" t="s">
        <v>3427</v>
      </c>
      <c r="AQ168" t="s">
        <v>74</v>
      </c>
      <c r="AR168" t="s">
        <v>3414</v>
      </c>
      <c r="AS168" t="s">
        <v>3428</v>
      </c>
      <c r="AT168" t="s">
        <v>3429</v>
      </c>
      <c r="AU168">
        <v>2012</v>
      </c>
      <c r="AV168">
        <v>572</v>
      </c>
      <c r="AW168" t="s">
        <v>74</v>
      </c>
      <c r="AX168" t="s">
        <v>74</v>
      </c>
      <c r="AY168" t="s">
        <v>74</v>
      </c>
      <c r="AZ168" t="s">
        <v>1019</v>
      </c>
      <c r="BA168" t="s">
        <v>74</v>
      </c>
      <c r="BB168">
        <v>100</v>
      </c>
      <c r="BC168">
        <v>110</v>
      </c>
      <c r="BD168" t="s">
        <v>74</v>
      </c>
      <c r="BE168" t="s">
        <v>3430</v>
      </c>
      <c r="BF168" t="str">
        <f>HYPERLINK("http://dx.doi.org/10.1016/j.tecto.2012.01.014","http://dx.doi.org/10.1016/j.tecto.2012.01.014")</f>
        <v>http://dx.doi.org/10.1016/j.tecto.2012.01.014</v>
      </c>
      <c r="BG168" t="s">
        <v>74</v>
      </c>
      <c r="BH168" t="s">
        <v>74</v>
      </c>
      <c r="BI168">
        <v>11</v>
      </c>
      <c r="BJ168" t="s">
        <v>241</v>
      </c>
      <c r="BK168" t="s">
        <v>98</v>
      </c>
      <c r="BL168" t="s">
        <v>241</v>
      </c>
      <c r="BM168" t="s">
        <v>3431</v>
      </c>
      <c r="BN168" t="s">
        <v>74</v>
      </c>
      <c r="BO168" t="s">
        <v>74</v>
      </c>
      <c r="BP168" t="s">
        <v>74</v>
      </c>
      <c r="BQ168" t="s">
        <v>74</v>
      </c>
      <c r="BR168" t="s">
        <v>101</v>
      </c>
      <c r="BS168" t="s">
        <v>3432</v>
      </c>
      <c r="BT168" t="str">
        <f>HYPERLINK("https%3A%2F%2Fwww.webofscience.com%2Fwos%2Fwoscc%2Ffull-record%2FWOS:000310402200009","View Full Record in Web of Science")</f>
        <v>View Full Record in Web of Science</v>
      </c>
    </row>
    <row r="169" spans="1:72" x14ac:dyDescent="0.15">
      <c r="A169" t="s">
        <v>72</v>
      </c>
      <c r="B169" t="s">
        <v>3433</v>
      </c>
      <c r="C169" t="s">
        <v>74</v>
      </c>
      <c r="D169" t="s">
        <v>74</v>
      </c>
      <c r="E169" t="s">
        <v>74</v>
      </c>
      <c r="F169" t="s">
        <v>3434</v>
      </c>
      <c r="G169" t="s">
        <v>74</v>
      </c>
      <c r="H169" t="s">
        <v>74</v>
      </c>
      <c r="I169" t="s">
        <v>3435</v>
      </c>
      <c r="J169" t="s">
        <v>134</v>
      </c>
      <c r="K169" t="s">
        <v>74</v>
      </c>
      <c r="L169" t="s">
        <v>74</v>
      </c>
      <c r="M169" t="s">
        <v>78</v>
      </c>
      <c r="N169" t="s">
        <v>79</v>
      </c>
      <c r="O169" t="s">
        <v>74</v>
      </c>
      <c r="P169" t="s">
        <v>74</v>
      </c>
      <c r="Q169" t="s">
        <v>74</v>
      </c>
      <c r="R169" t="s">
        <v>74</v>
      </c>
      <c r="S169" t="s">
        <v>74</v>
      </c>
      <c r="T169" t="s">
        <v>74</v>
      </c>
      <c r="U169" t="s">
        <v>3436</v>
      </c>
      <c r="V169" t="s">
        <v>3437</v>
      </c>
      <c r="W169" t="s">
        <v>3438</v>
      </c>
      <c r="X169" t="s">
        <v>74</v>
      </c>
      <c r="Y169" t="s">
        <v>3439</v>
      </c>
      <c r="Z169" t="s">
        <v>3440</v>
      </c>
      <c r="AA169" t="s">
        <v>3441</v>
      </c>
      <c r="AB169" t="s">
        <v>3442</v>
      </c>
      <c r="AC169" t="s">
        <v>3443</v>
      </c>
      <c r="AD169" t="s">
        <v>3444</v>
      </c>
      <c r="AE169" t="s">
        <v>3445</v>
      </c>
      <c r="AF169" t="s">
        <v>74</v>
      </c>
      <c r="AG169">
        <v>49</v>
      </c>
      <c r="AH169">
        <v>39</v>
      </c>
      <c r="AI169">
        <v>41</v>
      </c>
      <c r="AJ169">
        <v>1</v>
      </c>
      <c r="AK169">
        <v>52</v>
      </c>
      <c r="AL169" t="s">
        <v>146</v>
      </c>
      <c r="AM169" t="s">
        <v>147</v>
      </c>
      <c r="AN169" t="s">
        <v>148</v>
      </c>
      <c r="AO169" t="s">
        <v>149</v>
      </c>
      <c r="AP169" t="s">
        <v>74</v>
      </c>
      <c r="AQ169" t="s">
        <v>74</v>
      </c>
      <c r="AR169" t="s">
        <v>134</v>
      </c>
      <c r="AS169" t="s">
        <v>150</v>
      </c>
      <c r="AT169" t="s">
        <v>3429</v>
      </c>
      <c r="AU169">
        <v>2012</v>
      </c>
      <c r="AV169">
        <v>7</v>
      </c>
      <c r="AW169">
        <v>10</v>
      </c>
      <c r="AX169" t="s">
        <v>74</v>
      </c>
      <c r="AY169" t="s">
        <v>74</v>
      </c>
      <c r="AZ169" t="s">
        <v>74</v>
      </c>
      <c r="BA169" t="s">
        <v>74</v>
      </c>
      <c r="BB169" t="s">
        <v>74</v>
      </c>
      <c r="BC169" t="s">
        <v>74</v>
      </c>
      <c r="BD169" t="s">
        <v>3446</v>
      </c>
      <c r="BE169" t="s">
        <v>3447</v>
      </c>
      <c r="BF169" t="str">
        <f>HYPERLINK("http://dx.doi.org/10.1371/journal.pone.0047444","http://dx.doi.org/10.1371/journal.pone.0047444")</f>
        <v>http://dx.doi.org/10.1371/journal.pone.0047444</v>
      </c>
      <c r="BG169" t="s">
        <v>74</v>
      </c>
      <c r="BH169" t="s">
        <v>74</v>
      </c>
      <c r="BI169">
        <v>10</v>
      </c>
      <c r="BJ169" t="s">
        <v>153</v>
      </c>
      <c r="BK169" t="s">
        <v>98</v>
      </c>
      <c r="BL169" t="s">
        <v>154</v>
      </c>
      <c r="BM169" t="s">
        <v>3448</v>
      </c>
      <c r="BN169">
        <v>23082166</v>
      </c>
      <c r="BO169" t="s">
        <v>693</v>
      </c>
      <c r="BP169" t="s">
        <v>74</v>
      </c>
      <c r="BQ169" t="s">
        <v>74</v>
      </c>
      <c r="BR169" t="s">
        <v>101</v>
      </c>
      <c r="BS169" t="s">
        <v>3449</v>
      </c>
      <c r="BT169" t="str">
        <f>HYPERLINK("https%3A%2F%2Fwww.webofscience.com%2Fwos%2Fwoscc%2Ffull-record%2FWOS:000311146900062","View Full Record in Web of Science")</f>
        <v>View Full Record in Web of Science</v>
      </c>
    </row>
    <row r="170" spans="1:72" x14ac:dyDescent="0.15">
      <c r="A170" t="s">
        <v>72</v>
      </c>
      <c r="B170" t="s">
        <v>3450</v>
      </c>
      <c r="C170" t="s">
        <v>74</v>
      </c>
      <c r="D170" t="s">
        <v>74</v>
      </c>
      <c r="E170" t="s">
        <v>74</v>
      </c>
      <c r="F170" t="s">
        <v>3451</v>
      </c>
      <c r="G170" t="s">
        <v>74</v>
      </c>
      <c r="H170" t="s">
        <v>74</v>
      </c>
      <c r="I170" t="s">
        <v>3452</v>
      </c>
      <c r="J170" t="s">
        <v>444</v>
      </c>
      <c r="K170" t="s">
        <v>74</v>
      </c>
      <c r="L170" t="s">
        <v>74</v>
      </c>
      <c r="M170" t="s">
        <v>78</v>
      </c>
      <c r="N170" t="s">
        <v>79</v>
      </c>
      <c r="O170" t="s">
        <v>74</v>
      </c>
      <c r="P170" t="s">
        <v>74</v>
      </c>
      <c r="Q170" t="s">
        <v>74</v>
      </c>
      <c r="R170" t="s">
        <v>74</v>
      </c>
      <c r="S170" t="s">
        <v>74</v>
      </c>
      <c r="T170" t="s">
        <v>74</v>
      </c>
      <c r="U170" t="s">
        <v>3453</v>
      </c>
      <c r="V170" t="s">
        <v>3454</v>
      </c>
      <c r="W170" t="s">
        <v>3455</v>
      </c>
      <c r="X170" t="s">
        <v>3456</v>
      </c>
      <c r="Y170" t="s">
        <v>3457</v>
      </c>
      <c r="Z170" t="s">
        <v>3458</v>
      </c>
      <c r="AA170" t="s">
        <v>3459</v>
      </c>
      <c r="AB170" t="s">
        <v>3460</v>
      </c>
      <c r="AC170" t="s">
        <v>3461</v>
      </c>
      <c r="AD170" t="s">
        <v>3462</v>
      </c>
      <c r="AE170" t="s">
        <v>3463</v>
      </c>
      <c r="AF170" t="s">
        <v>74</v>
      </c>
      <c r="AG170">
        <v>26</v>
      </c>
      <c r="AH170">
        <v>48</v>
      </c>
      <c r="AI170">
        <v>52</v>
      </c>
      <c r="AJ170">
        <v>0</v>
      </c>
      <c r="AK170">
        <v>30</v>
      </c>
      <c r="AL170" t="s">
        <v>118</v>
      </c>
      <c r="AM170" t="s">
        <v>119</v>
      </c>
      <c r="AN170" t="s">
        <v>120</v>
      </c>
      <c r="AO170" t="s">
        <v>454</v>
      </c>
      <c r="AP170" t="s">
        <v>455</v>
      </c>
      <c r="AQ170" t="s">
        <v>74</v>
      </c>
      <c r="AR170" t="s">
        <v>456</v>
      </c>
      <c r="AS170" t="s">
        <v>457</v>
      </c>
      <c r="AT170" t="s">
        <v>3464</v>
      </c>
      <c r="AU170">
        <v>2012</v>
      </c>
      <c r="AV170">
        <v>39</v>
      </c>
      <c r="AW170" t="s">
        <v>74</v>
      </c>
      <c r="AX170" t="s">
        <v>74</v>
      </c>
      <c r="AY170" t="s">
        <v>74</v>
      </c>
      <c r="AZ170" t="s">
        <v>74</v>
      </c>
      <c r="BA170" t="s">
        <v>74</v>
      </c>
      <c r="BB170" t="s">
        <v>74</v>
      </c>
      <c r="BC170" t="s">
        <v>74</v>
      </c>
      <c r="BD170" t="s">
        <v>3465</v>
      </c>
      <c r="BE170" t="s">
        <v>3466</v>
      </c>
      <c r="BF170" t="str">
        <f>HYPERLINK("http://dx.doi.org/10.1029/2012GL053325","http://dx.doi.org/10.1029/2012GL053325")</f>
        <v>http://dx.doi.org/10.1029/2012GL053325</v>
      </c>
      <c r="BG170" t="s">
        <v>74</v>
      </c>
      <c r="BH170" t="s">
        <v>74</v>
      </c>
      <c r="BI170">
        <v>6</v>
      </c>
      <c r="BJ170" t="s">
        <v>461</v>
      </c>
      <c r="BK170" t="s">
        <v>98</v>
      </c>
      <c r="BL170" t="s">
        <v>462</v>
      </c>
      <c r="BM170" t="s">
        <v>3467</v>
      </c>
      <c r="BN170" t="s">
        <v>74</v>
      </c>
      <c r="BO170" t="s">
        <v>1499</v>
      </c>
      <c r="BP170" t="s">
        <v>74</v>
      </c>
      <c r="BQ170" t="s">
        <v>74</v>
      </c>
      <c r="BR170" t="s">
        <v>101</v>
      </c>
      <c r="BS170" t="s">
        <v>3468</v>
      </c>
      <c r="BT170" t="str">
        <f>HYPERLINK("https%3A%2F%2Fwww.webofscience.com%2Fwos%2Fwoscc%2Ffull-record%2FWOS:000310078000001","View Full Record in Web of Science")</f>
        <v>View Full Record in Web of Science</v>
      </c>
    </row>
    <row r="171" spans="1:72" x14ac:dyDescent="0.15">
      <c r="A171" t="s">
        <v>72</v>
      </c>
      <c r="B171" t="s">
        <v>3469</v>
      </c>
      <c r="C171" t="s">
        <v>74</v>
      </c>
      <c r="D171" t="s">
        <v>74</v>
      </c>
      <c r="E171" t="s">
        <v>74</v>
      </c>
      <c r="F171" t="s">
        <v>3470</v>
      </c>
      <c r="G171" t="s">
        <v>74</v>
      </c>
      <c r="H171" t="s">
        <v>74</v>
      </c>
      <c r="I171" t="s">
        <v>3471</v>
      </c>
      <c r="J171" t="s">
        <v>1417</v>
      </c>
      <c r="K171" t="s">
        <v>74</v>
      </c>
      <c r="L171" t="s">
        <v>74</v>
      </c>
      <c r="M171" t="s">
        <v>78</v>
      </c>
      <c r="N171" t="s">
        <v>79</v>
      </c>
      <c r="O171" t="s">
        <v>74</v>
      </c>
      <c r="P171" t="s">
        <v>74</v>
      </c>
      <c r="Q171" t="s">
        <v>74</v>
      </c>
      <c r="R171" t="s">
        <v>74</v>
      </c>
      <c r="S171" t="s">
        <v>74</v>
      </c>
      <c r="T171" t="s">
        <v>74</v>
      </c>
      <c r="U171" t="s">
        <v>3472</v>
      </c>
      <c r="V171" t="s">
        <v>3473</v>
      </c>
      <c r="W171" t="s">
        <v>3474</v>
      </c>
      <c r="X171" t="s">
        <v>761</v>
      </c>
      <c r="Y171" t="s">
        <v>3475</v>
      </c>
      <c r="Z171" t="s">
        <v>3476</v>
      </c>
      <c r="AA171" t="s">
        <v>3477</v>
      </c>
      <c r="AB171" t="s">
        <v>3478</v>
      </c>
      <c r="AC171" t="s">
        <v>3479</v>
      </c>
      <c r="AD171" t="s">
        <v>3480</v>
      </c>
      <c r="AE171" t="s">
        <v>3481</v>
      </c>
      <c r="AF171" t="s">
        <v>74</v>
      </c>
      <c r="AG171">
        <v>30</v>
      </c>
      <c r="AH171">
        <v>31</v>
      </c>
      <c r="AI171">
        <v>32</v>
      </c>
      <c r="AJ171">
        <v>0</v>
      </c>
      <c r="AK171">
        <v>10</v>
      </c>
      <c r="AL171" t="s">
        <v>1429</v>
      </c>
      <c r="AM171" t="s">
        <v>1430</v>
      </c>
      <c r="AN171" t="s">
        <v>1431</v>
      </c>
      <c r="AO171" t="s">
        <v>1432</v>
      </c>
      <c r="AP171" t="s">
        <v>1433</v>
      </c>
      <c r="AQ171" t="s">
        <v>74</v>
      </c>
      <c r="AR171" t="s">
        <v>1434</v>
      </c>
      <c r="AS171" t="s">
        <v>1435</v>
      </c>
      <c r="AT171" t="s">
        <v>3482</v>
      </c>
      <c r="AU171">
        <v>2012</v>
      </c>
      <c r="AV171">
        <v>25</v>
      </c>
      <c r="AW171">
        <v>20</v>
      </c>
      <c r="AX171" t="s">
        <v>74</v>
      </c>
      <c r="AY171" t="s">
        <v>74</v>
      </c>
      <c r="AZ171" t="s">
        <v>74</v>
      </c>
      <c r="BA171" t="s">
        <v>74</v>
      </c>
      <c r="BB171">
        <v>7003</v>
      </c>
      <c r="BC171">
        <v>7013</v>
      </c>
      <c r="BD171" t="s">
        <v>74</v>
      </c>
      <c r="BE171" t="s">
        <v>3483</v>
      </c>
      <c r="BF171" t="str">
        <f>HYPERLINK("http://dx.doi.org/10.1175/JCLI-D-11-00679.1","http://dx.doi.org/10.1175/JCLI-D-11-00679.1")</f>
        <v>http://dx.doi.org/10.1175/JCLI-D-11-00679.1</v>
      </c>
      <c r="BG171" t="s">
        <v>74</v>
      </c>
      <c r="BH171" t="s">
        <v>74</v>
      </c>
      <c r="BI171">
        <v>11</v>
      </c>
      <c r="BJ171" t="s">
        <v>378</v>
      </c>
      <c r="BK171" t="s">
        <v>98</v>
      </c>
      <c r="BL171" t="s">
        <v>378</v>
      </c>
      <c r="BM171" t="s">
        <v>3484</v>
      </c>
      <c r="BN171" t="s">
        <v>74</v>
      </c>
      <c r="BO171" t="s">
        <v>1287</v>
      </c>
      <c r="BP171" t="s">
        <v>74</v>
      </c>
      <c r="BQ171" t="s">
        <v>74</v>
      </c>
      <c r="BR171" t="s">
        <v>101</v>
      </c>
      <c r="BS171" t="s">
        <v>3485</v>
      </c>
      <c r="BT171" t="str">
        <f>HYPERLINK("https%3A%2F%2Fwww.webofscience.com%2Fwos%2Fwoscc%2Ffull-record%2FWOS:000309944500008","View Full Record in Web of Science")</f>
        <v>View Full Record in Web of Science</v>
      </c>
    </row>
    <row r="172" spans="1:72" x14ac:dyDescent="0.15">
      <c r="A172" t="s">
        <v>72</v>
      </c>
      <c r="B172" t="s">
        <v>3486</v>
      </c>
      <c r="C172" t="s">
        <v>74</v>
      </c>
      <c r="D172" t="s">
        <v>74</v>
      </c>
      <c r="E172" t="s">
        <v>74</v>
      </c>
      <c r="F172" t="s">
        <v>3487</v>
      </c>
      <c r="G172" t="s">
        <v>74</v>
      </c>
      <c r="H172" t="s">
        <v>74</v>
      </c>
      <c r="I172" t="s">
        <v>3488</v>
      </c>
      <c r="J172" t="s">
        <v>3489</v>
      </c>
      <c r="K172" t="s">
        <v>74</v>
      </c>
      <c r="L172" t="s">
        <v>74</v>
      </c>
      <c r="M172" t="s">
        <v>78</v>
      </c>
      <c r="N172" t="s">
        <v>79</v>
      </c>
      <c r="O172" t="s">
        <v>74</v>
      </c>
      <c r="P172" t="s">
        <v>74</v>
      </c>
      <c r="Q172" t="s">
        <v>74</v>
      </c>
      <c r="R172" t="s">
        <v>74</v>
      </c>
      <c r="S172" t="s">
        <v>74</v>
      </c>
      <c r="T172" t="s">
        <v>3490</v>
      </c>
      <c r="U172" t="s">
        <v>3491</v>
      </c>
      <c r="V172" t="s">
        <v>3492</v>
      </c>
      <c r="W172" t="s">
        <v>3493</v>
      </c>
      <c r="X172" t="s">
        <v>3494</v>
      </c>
      <c r="Y172" t="s">
        <v>3495</v>
      </c>
      <c r="Z172" t="s">
        <v>3496</v>
      </c>
      <c r="AA172" t="s">
        <v>3497</v>
      </c>
      <c r="AB172" t="s">
        <v>3498</v>
      </c>
      <c r="AC172" t="s">
        <v>74</v>
      </c>
      <c r="AD172" t="s">
        <v>74</v>
      </c>
      <c r="AE172" t="s">
        <v>74</v>
      </c>
      <c r="AF172" t="s">
        <v>74</v>
      </c>
      <c r="AG172">
        <v>25</v>
      </c>
      <c r="AH172">
        <v>25</v>
      </c>
      <c r="AI172">
        <v>29</v>
      </c>
      <c r="AJ172">
        <v>0</v>
      </c>
      <c r="AK172">
        <v>34</v>
      </c>
      <c r="AL172" t="s">
        <v>1034</v>
      </c>
      <c r="AM172" t="s">
        <v>90</v>
      </c>
      <c r="AN172" t="s">
        <v>1035</v>
      </c>
      <c r="AO172" t="s">
        <v>3499</v>
      </c>
      <c r="AP172" t="s">
        <v>74</v>
      </c>
      <c r="AQ172" t="s">
        <v>74</v>
      </c>
      <c r="AR172" t="s">
        <v>3500</v>
      </c>
      <c r="AS172" t="s">
        <v>3501</v>
      </c>
      <c r="AT172" t="s">
        <v>3482</v>
      </c>
      <c r="AU172">
        <v>2012</v>
      </c>
      <c r="AV172">
        <v>50</v>
      </c>
      <c r="AW172">
        <v>8</v>
      </c>
      <c r="AX172" t="s">
        <v>74</v>
      </c>
      <c r="AY172" t="s">
        <v>74</v>
      </c>
      <c r="AZ172" t="s">
        <v>74</v>
      </c>
      <c r="BA172" t="s">
        <v>74</v>
      </c>
      <c r="BB172">
        <v>998</v>
      </c>
      <c r="BC172">
        <v>1006</v>
      </c>
      <c r="BD172" t="s">
        <v>74</v>
      </c>
      <c r="BE172" t="s">
        <v>3502</v>
      </c>
      <c r="BF172" t="str">
        <f>HYPERLINK("http://dx.doi.org/10.1016/j.asr.2012.04.003","http://dx.doi.org/10.1016/j.asr.2012.04.003")</f>
        <v>http://dx.doi.org/10.1016/j.asr.2012.04.003</v>
      </c>
      <c r="BG172" t="s">
        <v>74</v>
      </c>
      <c r="BH172" t="s">
        <v>74</v>
      </c>
      <c r="BI172">
        <v>9</v>
      </c>
      <c r="BJ172" t="s">
        <v>3503</v>
      </c>
      <c r="BK172" t="s">
        <v>98</v>
      </c>
      <c r="BL172" t="s">
        <v>3504</v>
      </c>
      <c r="BM172" t="s">
        <v>3505</v>
      </c>
      <c r="BN172" t="s">
        <v>74</v>
      </c>
      <c r="BO172" t="s">
        <v>74</v>
      </c>
      <c r="BP172" t="s">
        <v>74</v>
      </c>
      <c r="BQ172" t="s">
        <v>74</v>
      </c>
      <c r="BR172" t="s">
        <v>101</v>
      </c>
      <c r="BS172" t="s">
        <v>3506</v>
      </c>
      <c r="BT172" t="str">
        <f>HYPERLINK("https%3A%2F%2Fwww.webofscience.com%2Fwos%2Fwoscc%2Ffull-record%2FWOS:000309095300002","View Full Record in Web of Science")</f>
        <v>View Full Record in Web of Science</v>
      </c>
    </row>
    <row r="173" spans="1:72" x14ac:dyDescent="0.15">
      <c r="A173" t="s">
        <v>72</v>
      </c>
      <c r="B173" t="s">
        <v>3507</v>
      </c>
      <c r="C173" t="s">
        <v>74</v>
      </c>
      <c r="D173" t="s">
        <v>74</v>
      </c>
      <c r="E173" t="s">
        <v>74</v>
      </c>
      <c r="F173" t="s">
        <v>3508</v>
      </c>
      <c r="G173" t="s">
        <v>74</v>
      </c>
      <c r="H173" t="s">
        <v>74</v>
      </c>
      <c r="I173" t="s">
        <v>3509</v>
      </c>
      <c r="J173" t="s">
        <v>3489</v>
      </c>
      <c r="K173" t="s">
        <v>74</v>
      </c>
      <c r="L173" t="s">
        <v>74</v>
      </c>
      <c r="M173" t="s">
        <v>78</v>
      </c>
      <c r="N173" t="s">
        <v>79</v>
      </c>
      <c r="O173" t="s">
        <v>74</v>
      </c>
      <c r="P173" t="s">
        <v>74</v>
      </c>
      <c r="Q173" t="s">
        <v>74</v>
      </c>
      <c r="R173" t="s">
        <v>74</v>
      </c>
      <c r="S173" t="s">
        <v>74</v>
      </c>
      <c r="T173" t="s">
        <v>3510</v>
      </c>
      <c r="U173" t="s">
        <v>3511</v>
      </c>
      <c r="V173" t="s">
        <v>3512</v>
      </c>
      <c r="W173" t="s">
        <v>3513</v>
      </c>
      <c r="X173" t="s">
        <v>3514</v>
      </c>
      <c r="Y173" t="s">
        <v>3515</v>
      </c>
      <c r="Z173" t="s">
        <v>3516</v>
      </c>
      <c r="AA173" t="s">
        <v>3517</v>
      </c>
      <c r="AB173" t="s">
        <v>3518</v>
      </c>
      <c r="AC173" t="s">
        <v>3519</v>
      </c>
      <c r="AD173" t="s">
        <v>3520</v>
      </c>
      <c r="AE173" t="s">
        <v>3521</v>
      </c>
      <c r="AF173" t="s">
        <v>74</v>
      </c>
      <c r="AG173">
        <v>83</v>
      </c>
      <c r="AH173">
        <v>96</v>
      </c>
      <c r="AI173">
        <v>108</v>
      </c>
      <c r="AJ173">
        <v>5</v>
      </c>
      <c r="AK173">
        <v>88</v>
      </c>
      <c r="AL173" t="s">
        <v>1034</v>
      </c>
      <c r="AM173" t="s">
        <v>90</v>
      </c>
      <c r="AN173" t="s">
        <v>1035</v>
      </c>
      <c r="AO173" t="s">
        <v>3499</v>
      </c>
      <c r="AP173" t="s">
        <v>3522</v>
      </c>
      <c r="AQ173" t="s">
        <v>74</v>
      </c>
      <c r="AR173" t="s">
        <v>3500</v>
      </c>
      <c r="AS173" t="s">
        <v>3501</v>
      </c>
      <c r="AT173" t="s">
        <v>3482</v>
      </c>
      <c r="AU173">
        <v>2012</v>
      </c>
      <c r="AV173">
        <v>50</v>
      </c>
      <c r="AW173">
        <v>8</v>
      </c>
      <c r="AX173" t="s">
        <v>74</v>
      </c>
      <c r="AY173" t="s">
        <v>74</v>
      </c>
      <c r="AZ173" t="s">
        <v>74</v>
      </c>
      <c r="BA173" t="s">
        <v>74</v>
      </c>
      <c r="BB173">
        <v>1062</v>
      </c>
      <c r="BC173">
        <v>1076</v>
      </c>
      <c r="BD173" t="s">
        <v>74</v>
      </c>
      <c r="BE173" t="s">
        <v>3523</v>
      </c>
      <c r="BF173" t="str">
        <f>HYPERLINK("http://dx.doi.org/10.1016/j.asr.2011.09.033","http://dx.doi.org/10.1016/j.asr.2011.09.033")</f>
        <v>http://dx.doi.org/10.1016/j.asr.2011.09.033</v>
      </c>
      <c r="BG173" t="s">
        <v>74</v>
      </c>
      <c r="BH173" t="s">
        <v>74</v>
      </c>
      <c r="BI173">
        <v>15</v>
      </c>
      <c r="BJ173" t="s">
        <v>3503</v>
      </c>
      <c r="BK173" t="s">
        <v>98</v>
      </c>
      <c r="BL173" t="s">
        <v>3504</v>
      </c>
      <c r="BM173" t="s">
        <v>3505</v>
      </c>
      <c r="BN173" t="s">
        <v>74</v>
      </c>
      <c r="BO173" t="s">
        <v>1499</v>
      </c>
      <c r="BP173" t="s">
        <v>74</v>
      </c>
      <c r="BQ173" t="s">
        <v>74</v>
      </c>
      <c r="BR173" t="s">
        <v>101</v>
      </c>
      <c r="BS173" t="s">
        <v>3524</v>
      </c>
      <c r="BT173" t="str">
        <f>HYPERLINK("https%3A%2F%2Fwww.webofscience.com%2Fwos%2Fwoscc%2Ffull-record%2FWOS:000309095300006","View Full Record in Web of Science")</f>
        <v>View Full Record in Web of Science</v>
      </c>
    </row>
    <row r="174" spans="1:72" x14ac:dyDescent="0.15">
      <c r="A174" t="s">
        <v>72</v>
      </c>
      <c r="B174" t="s">
        <v>3525</v>
      </c>
      <c r="C174" t="s">
        <v>74</v>
      </c>
      <c r="D174" t="s">
        <v>74</v>
      </c>
      <c r="E174" t="s">
        <v>74</v>
      </c>
      <c r="F174" t="s">
        <v>3526</v>
      </c>
      <c r="G174" t="s">
        <v>74</v>
      </c>
      <c r="H174" t="s">
        <v>74</v>
      </c>
      <c r="I174" t="s">
        <v>3527</v>
      </c>
      <c r="J174" t="s">
        <v>222</v>
      </c>
      <c r="K174" t="s">
        <v>74</v>
      </c>
      <c r="L174" t="s">
        <v>74</v>
      </c>
      <c r="M174" t="s">
        <v>78</v>
      </c>
      <c r="N174" t="s">
        <v>79</v>
      </c>
      <c r="O174" t="s">
        <v>74</v>
      </c>
      <c r="P174" t="s">
        <v>74</v>
      </c>
      <c r="Q174" t="s">
        <v>74</v>
      </c>
      <c r="R174" t="s">
        <v>74</v>
      </c>
      <c r="S174" t="s">
        <v>74</v>
      </c>
      <c r="T174" t="s">
        <v>3528</v>
      </c>
      <c r="U174" t="s">
        <v>3529</v>
      </c>
      <c r="V174" t="s">
        <v>3530</v>
      </c>
      <c r="W174" t="s">
        <v>3531</v>
      </c>
      <c r="X174" t="s">
        <v>3532</v>
      </c>
      <c r="Y174" t="s">
        <v>3533</v>
      </c>
      <c r="Z174" t="s">
        <v>3534</v>
      </c>
      <c r="AA174" t="s">
        <v>3535</v>
      </c>
      <c r="AB174" t="s">
        <v>3536</v>
      </c>
      <c r="AC174" t="s">
        <v>3537</v>
      </c>
      <c r="AD174" t="s">
        <v>3538</v>
      </c>
      <c r="AE174" t="s">
        <v>3539</v>
      </c>
      <c r="AF174" t="s">
        <v>74</v>
      </c>
      <c r="AG174">
        <v>72</v>
      </c>
      <c r="AH174">
        <v>37</v>
      </c>
      <c r="AI174">
        <v>44</v>
      </c>
      <c r="AJ174">
        <v>2</v>
      </c>
      <c r="AK174">
        <v>88</v>
      </c>
      <c r="AL174" t="s">
        <v>188</v>
      </c>
      <c r="AM174" t="s">
        <v>189</v>
      </c>
      <c r="AN174" t="s">
        <v>190</v>
      </c>
      <c r="AO174" t="s">
        <v>235</v>
      </c>
      <c r="AP174" t="s">
        <v>236</v>
      </c>
      <c r="AQ174" t="s">
        <v>74</v>
      </c>
      <c r="AR174" t="s">
        <v>237</v>
      </c>
      <c r="AS174" t="s">
        <v>238</v>
      </c>
      <c r="AT174" t="s">
        <v>3482</v>
      </c>
      <c r="AU174">
        <v>2012</v>
      </c>
      <c r="AV174">
        <v>351</v>
      </c>
      <c r="AW174" t="s">
        <v>74</v>
      </c>
      <c r="AX174" t="s">
        <v>74</v>
      </c>
      <c r="AY174" t="s">
        <v>74</v>
      </c>
      <c r="AZ174" t="s">
        <v>74</v>
      </c>
      <c r="BA174" t="s">
        <v>74</v>
      </c>
      <c r="BB174">
        <v>84</v>
      </c>
      <c r="BC174">
        <v>94</v>
      </c>
      <c r="BD174" t="s">
        <v>74</v>
      </c>
      <c r="BE174" t="s">
        <v>3540</v>
      </c>
      <c r="BF174" t="str">
        <f>HYPERLINK("http://dx.doi.org/10.1016/j.epsl.2012.07.029","http://dx.doi.org/10.1016/j.epsl.2012.07.029")</f>
        <v>http://dx.doi.org/10.1016/j.epsl.2012.07.029</v>
      </c>
      <c r="BG174" t="s">
        <v>74</v>
      </c>
      <c r="BH174" t="s">
        <v>74</v>
      </c>
      <c r="BI174">
        <v>11</v>
      </c>
      <c r="BJ174" t="s">
        <v>241</v>
      </c>
      <c r="BK174" t="s">
        <v>98</v>
      </c>
      <c r="BL174" t="s">
        <v>241</v>
      </c>
      <c r="BM174" t="s">
        <v>3541</v>
      </c>
      <c r="BN174" t="s">
        <v>74</v>
      </c>
      <c r="BO174" t="s">
        <v>74</v>
      </c>
      <c r="BP174" t="s">
        <v>74</v>
      </c>
      <c r="BQ174" t="s">
        <v>74</v>
      </c>
      <c r="BR174" t="s">
        <v>101</v>
      </c>
      <c r="BS174" t="s">
        <v>3542</v>
      </c>
      <c r="BT174" t="str">
        <f>HYPERLINK("https%3A%2F%2Fwww.webofscience.com%2Fwos%2Fwoscc%2Ffull-record%2FWOS:000310255300008","View Full Record in Web of Science")</f>
        <v>View Full Record in Web of Science</v>
      </c>
    </row>
    <row r="175" spans="1:72" x14ac:dyDescent="0.15">
      <c r="A175" t="s">
        <v>72</v>
      </c>
      <c r="B175" t="s">
        <v>3543</v>
      </c>
      <c r="C175" t="s">
        <v>74</v>
      </c>
      <c r="D175" t="s">
        <v>74</v>
      </c>
      <c r="E175" t="s">
        <v>74</v>
      </c>
      <c r="F175" t="s">
        <v>3544</v>
      </c>
      <c r="G175" t="s">
        <v>74</v>
      </c>
      <c r="H175" t="s">
        <v>74</v>
      </c>
      <c r="I175" t="s">
        <v>3545</v>
      </c>
      <c r="J175" t="s">
        <v>1417</v>
      </c>
      <c r="K175" t="s">
        <v>74</v>
      </c>
      <c r="L175" t="s">
        <v>74</v>
      </c>
      <c r="M175" t="s">
        <v>78</v>
      </c>
      <c r="N175" t="s">
        <v>79</v>
      </c>
      <c r="O175" t="s">
        <v>74</v>
      </c>
      <c r="P175" t="s">
        <v>74</v>
      </c>
      <c r="Q175" t="s">
        <v>74</v>
      </c>
      <c r="R175" t="s">
        <v>74</v>
      </c>
      <c r="S175" t="s">
        <v>74</v>
      </c>
      <c r="T175" t="s">
        <v>74</v>
      </c>
      <c r="U175" t="s">
        <v>3546</v>
      </c>
      <c r="V175" t="s">
        <v>3547</v>
      </c>
      <c r="W175" t="s">
        <v>3548</v>
      </c>
      <c r="X175" t="s">
        <v>3549</v>
      </c>
      <c r="Y175" t="s">
        <v>3550</v>
      </c>
      <c r="Z175" t="s">
        <v>3551</v>
      </c>
      <c r="AA175" t="s">
        <v>3552</v>
      </c>
      <c r="AB175" t="s">
        <v>3553</v>
      </c>
      <c r="AC175" t="s">
        <v>3554</v>
      </c>
      <c r="AD175" t="s">
        <v>3555</v>
      </c>
      <c r="AE175" t="s">
        <v>3556</v>
      </c>
      <c r="AF175" t="s">
        <v>74</v>
      </c>
      <c r="AG175">
        <v>58</v>
      </c>
      <c r="AH175">
        <v>57</v>
      </c>
      <c r="AI175">
        <v>62</v>
      </c>
      <c r="AJ175">
        <v>1</v>
      </c>
      <c r="AK175">
        <v>37</v>
      </c>
      <c r="AL175" t="s">
        <v>1429</v>
      </c>
      <c r="AM175" t="s">
        <v>1430</v>
      </c>
      <c r="AN175" t="s">
        <v>3557</v>
      </c>
      <c r="AO175" t="s">
        <v>1432</v>
      </c>
      <c r="AP175" t="s">
        <v>1433</v>
      </c>
      <c r="AQ175" t="s">
        <v>74</v>
      </c>
      <c r="AR175" t="s">
        <v>1434</v>
      </c>
      <c r="AS175" t="s">
        <v>1435</v>
      </c>
      <c r="AT175" t="s">
        <v>3482</v>
      </c>
      <c r="AU175">
        <v>2012</v>
      </c>
      <c r="AV175">
        <v>25</v>
      </c>
      <c r="AW175">
        <v>20</v>
      </c>
      <c r="AX175" t="s">
        <v>74</v>
      </c>
      <c r="AY175" t="s">
        <v>74</v>
      </c>
      <c r="AZ175" t="s">
        <v>74</v>
      </c>
      <c r="BA175" t="s">
        <v>74</v>
      </c>
      <c r="BB175">
        <v>6958</v>
      </c>
      <c r="BC175">
        <v>6974</v>
      </c>
      <c r="BD175" t="s">
        <v>74</v>
      </c>
      <c r="BE175" t="s">
        <v>3558</v>
      </c>
      <c r="BF175" t="str">
        <f>HYPERLINK("http://dx.doi.org/10.1175/JCLI-D-11-00309.1","http://dx.doi.org/10.1175/JCLI-D-11-00309.1")</f>
        <v>http://dx.doi.org/10.1175/JCLI-D-11-00309.1</v>
      </c>
      <c r="BG175" t="s">
        <v>74</v>
      </c>
      <c r="BH175" t="s">
        <v>74</v>
      </c>
      <c r="BI175">
        <v>17</v>
      </c>
      <c r="BJ175" t="s">
        <v>378</v>
      </c>
      <c r="BK175" t="s">
        <v>98</v>
      </c>
      <c r="BL175" t="s">
        <v>378</v>
      </c>
      <c r="BM175" t="s">
        <v>3484</v>
      </c>
      <c r="BN175" t="s">
        <v>74</v>
      </c>
      <c r="BO175" t="s">
        <v>1347</v>
      </c>
      <c r="BP175" t="s">
        <v>74</v>
      </c>
      <c r="BQ175" t="s">
        <v>74</v>
      </c>
      <c r="BR175" t="s">
        <v>101</v>
      </c>
      <c r="BS175" t="s">
        <v>3559</v>
      </c>
      <c r="BT175" t="str">
        <f>HYPERLINK("https%3A%2F%2Fwww.webofscience.com%2Fwos%2Fwoscc%2Ffull-record%2FWOS:000309944500005","View Full Record in Web of Science")</f>
        <v>View Full Record in Web of Science</v>
      </c>
    </row>
    <row r="176" spans="1:72" x14ac:dyDescent="0.15">
      <c r="A176" t="s">
        <v>72</v>
      </c>
      <c r="B176" t="s">
        <v>3560</v>
      </c>
      <c r="C176" t="s">
        <v>74</v>
      </c>
      <c r="D176" t="s">
        <v>74</v>
      </c>
      <c r="E176" t="s">
        <v>74</v>
      </c>
      <c r="F176" t="s">
        <v>3561</v>
      </c>
      <c r="G176" t="s">
        <v>74</v>
      </c>
      <c r="H176" t="s">
        <v>74</v>
      </c>
      <c r="I176" t="s">
        <v>3562</v>
      </c>
      <c r="J176" t="s">
        <v>1417</v>
      </c>
      <c r="K176" t="s">
        <v>74</v>
      </c>
      <c r="L176" t="s">
        <v>74</v>
      </c>
      <c r="M176" t="s">
        <v>78</v>
      </c>
      <c r="N176" t="s">
        <v>79</v>
      </c>
      <c r="O176" t="s">
        <v>74</v>
      </c>
      <c r="P176" t="s">
        <v>74</v>
      </c>
      <c r="Q176" t="s">
        <v>74</v>
      </c>
      <c r="R176" t="s">
        <v>74</v>
      </c>
      <c r="S176" t="s">
        <v>74</v>
      </c>
      <c r="T176" t="s">
        <v>74</v>
      </c>
      <c r="U176" t="s">
        <v>3563</v>
      </c>
      <c r="V176" t="s">
        <v>3564</v>
      </c>
      <c r="W176" t="s">
        <v>3565</v>
      </c>
      <c r="X176" t="s">
        <v>636</v>
      </c>
      <c r="Y176" t="s">
        <v>3566</v>
      </c>
      <c r="Z176" t="s">
        <v>3567</v>
      </c>
      <c r="AA176" t="s">
        <v>3568</v>
      </c>
      <c r="AB176" t="s">
        <v>3569</v>
      </c>
      <c r="AC176" t="s">
        <v>3570</v>
      </c>
      <c r="AD176" t="s">
        <v>3571</v>
      </c>
      <c r="AE176" t="s">
        <v>3572</v>
      </c>
      <c r="AF176" t="s">
        <v>74</v>
      </c>
      <c r="AG176">
        <v>26</v>
      </c>
      <c r="AH176">
        <v>200</v>
      </c>
      <c r="AI176">
        <v>217</v>
      </c>
      <c r="AJ176">
        <v>1</v>
      </c>
      <c r="AK176">
        <v>46</v>
      </c>
      <c r="AL176" t="s">
        <v>1429</v>
      </c>
      <c r="AM176" t="s">
        <v>1430</v>
      </c>
      <c r="AN176" t="s">
        <v>1431</v>
      </c>
      <c r="AO176" t="s">
        <v>1432</v>
      </c>
      <c r="AP176" t="s">
        <v>1433</v>
      </c>
      <c r="AQ176" t="s">
        <v>74</v>
      </c>
      <c r="AR176" t="s">
        <v>1434</v>
      </c>
      <c r="AS176" t="s">
        <v>1435</v>
      </c>
      <c r="AT176" t="s">
        <v>3482</v>
      </c>
      <c r="AU176">
        <v>2012</v>
      </c>
      <c r="AV176">
        <v>25</v>
      </c>
      <c r="AW176">
        <v>20</v>
      </c>
      <c r="AX176" t="s">
        <v>74</v>
      </c>
      <c r="AY176" t="s">
        <v>74</v>
      </c>
      <c r="AZ176" t="s">
        <v>74</v>
      </c>
      <c r="BA176" t="s">
        <v>74</v>
      </c>
      <c r="BB176">
        <v>7138</v>
      </c>
      <c r="BC176">
        <v>7146</v>
      </c>
      <c r="BD176" t="s">
        <v>74</v>
      </c>
      <c r="BE176" t="s">
        <v>3573</v>
      </c>
      <c r="BF176" t="str">
        <f>HYPERLINK("http://dx.doi.org/10.1175/JCLI-D-11-00685.1","http://dx.doi.org/10.1175/JCLI-D-11-00685.1")</f>
        <v>http://dx.doi.org/10.1175/JCLI-D-11-00685.1</v>
      </c>
      <c r="BG176" t="s">
        <v>74</v>
      </c>
      <c r="BH176" t="s">
        <v>74</v>
      </c>
      <c r="BI176">
        <v>9</v>
      </c>
      <c r="BJ176" t="s">
        <v>378</v>
      </c>
      <c r="BK176" t="s">
        <v>98</v>
      </c>
      <c r="BL176" t="s">
        <v>378</v>
      </c>
      <c r="BM176" t="s">
        <v>3484</v>
      </c>
      <c r="BN176" t="s">
        <v>74</v>
      </c>
      <c r="BO176" t="s">
        <v>464</v>
      </c>
      <c r="BP176" t="s">
        <v>74</v>
      </c>
      <c r="BQ176" t="s">
        <v>74</v>
      </c>
      <c r="BR176" t="s">
        <v>101</v>
      </c>
      <c r="BS176" t="s">
        <v>3574</v>
      </c>
      <c r="BT176" t="str">
        <f>HYPERLINK("https%3A%2F%2Fwww.webofscience.com%2Fwos%2Fwoscc%2Ffull-record%2FWOS:000309944500016","View Full Record in Web of Science")</f>
        <v>View Full Record in Web of Science</v>
      </c>
    </row>
    <row r="177" spans="1:72" x14ac:dyDescent="0.15">
      <c r="A177" t="s">
        <v>72</v>
      </c>
      <c r="B177" t="s">
        <v>3575</v>
      </c>
      <c r="C177" t="s">
        <v>74</v>
      </c>
      <c r="D177" t="s">
        <v>74</v>
      </c>
      <c r="E177" t="s">
        <v>74</v>
      </c>
      <c r="F177" t="s">
        <v>3576</v>
      </c>
      <c r="G177" t="s">
        <v>74</v>
      </c>
      <c r="H177" t="s">
        <v>74</v>
      </c>
      <c r="I177" t="s">
        <v>3577</v>
      </c>
      <c r="J177" t="s">
        <v>77</v>
      </c>
      <c r="K177" t="s">
        <v>74</v>
      </c>
      <c r="L177" t="s">
        <v>74</v>
      </c>
      <c r="M177" t="s">
        <v>78</v>
      </c>
      <c r="N177" t="s">
        <v>974</v>
      </c>
      <c r="O177" t="s">
        <v>74</v>
      </c>
      <c r="P177" t="s">
        <v>74</v>
      </c>
      <c r="Q177" t="s">
        <v>74</v>
      </c>
      <c r="R177" t="s">
        <v>74</v>
      </c>
      <c r="S177" t="s">
        <v>74</v>
      </c>
      <c r="T177" t="s">
        <v>3578</v>
      </c>
      <c r="U177" t="s">
        <v>3579</v>
      </c>
      <c r="V177" t="s">
        <v>3580</v>
      </c>
      <c r="W177" t="s">
        <v>3581</v>
      </c>
      <c r="X177" t="s">
        <v>3582</v>
      </c>
      <c r="Y177" t="s">
        <v>3583</v>
      </c>
      <c r="Z177" t="s">
        <v>3584</v>
      </c>
      <c r="AA177" t="s">
        <v>3585</v>
      </c>
      <c r="AB177" t="s">
        <v>3586</v>
      </c>
      <c r="AC177" t="s">
        <v>3587</v>
      </c>
      <c r="AD177" t="s">
        <v>3588</v>
      </c>
      <c r="AE177" t="s">
        <v>3589</v>
      </c>
      <c r="AF177" t="s">
        <v>74</v>
      </c>
      <c r="AG177">
        <v>217</v>
      </c>
      <c r="AH177">
        <v>171</v>
      </c>
      <c r="AI177">
        <v>181</v>
      </c>
      <c r="AJ177">
        <v>1</v>
      </c>
      <c r="AK177">
        <v>131</v>
      </c>
      <c r="AL177" t="s">
        <v>89</v>
      </c>
      <c r="AM177" t="s">
        <v>90</v>
      </c>
      <c r="AN177" t="s">
        <v>91</v>
      </c>
      <c r="AO177" t="s">
        <v>92</v>
      </c>
      <c r="AP177" t="s">
        <v>74</v>
      </c>
      <c r="AQ177" t="s">
        <v>74</v>
      </c>
      <c r="AR177" t="s">
        <v>93</v>
      </c>
      <c r="AS177" t="s">
        <v>94</v>
      </c>
      <c r="AT177" t="s">
        <v>3482</v>
      </c>
      <c r="AU177">
        <v>2012</v>
      </c>
      <c r="AV177">
        <v>53</v>
      </c>
      <c r="AW177" t="s">
        <v>74</v>
      </c>
      <c r="AX177" t="s">
        <v>74</v>
      </c>
      <c r="AY177" t="s">
        <v>74</v>
      </c>
      <c r="AZ177" t="s">
        <v>74</v>
      </c>
      <c r="BA177" t="s">
        <v>74</v>
      </c>
      <c r="BB177">
        <v>1</v>
      </c>
      <c r="BC177">
        <v>23</v>
      </c>
      <c r="BD177" t="s">
        <v>74</v>
      </c>
      <c r="BE177" t="s">
        <v>3590</v>
      </c>
      <c r="BF177" t="str">
        <f>HYPERLINK("http://dx.doi.org/10.1016/j.quascirev.2012.07.017","http://dx.doi.org/10.1016/j.quascirev.2012.07.017")</f>
        <v>http://dx.doi.org/10.1016/j.quascirev.2012.07.017</v>
      </c>
      <c r="BG177" t="s">
        <v>74</v>
      </c>
      <c r="BH177" t="s">
        <v>74</v>
      </c>
      <c r="BI177">
        <v>23</v>
      </c>
      <c r="BJ177" t="s">
        <v>97</v>
      </c>
      <c r="BK177" t="s">
        <v>98</v>
      </c>
      <c r="BL177" t="s">
        <v>99</v>
      </c>
      <c r="BM177" t="s">
        <v>3591</v>
      </c>
      <c r="BN177" t="s">
        <v>74</v>
      </c>
      <c r="BO177" t="s">
        <v>74</v>
      </c>
      <c r="BP177" t="s">
        <v>74</v>
      </c>
      <c r="BQ177" t="s">
        <v>74</v>
      </c>
      <c r="BR177" t="s">
        <v>101</v>
      </c>
      <c r="BS177" t="s">
        <v>3592</v>
      </c>
      <c r="BT177" t="str">
        <f>HYPERLINK("https%3A%2F%2Fwww.webofscience.com%2Fwos%2Fwoscc%2Ffull-record%2FWOS:000310481100001","View Full Record in Web of Science")</f>
        <v>View Full Record in Web of Science</v>
      </c>
    </row>
    <row r="178" spans="1:72" x14ac:dyDescent="0.15">
      <c r="A178" t="s">
        <v>72</v>
      </c>
      <c r="B178" t="s">
        <v>3593</v>
      </c>
      <c r="C178" t="s">
        <v>74</v>
      </c>
      <c r="D178" t="s">
        <v>74</v>
      </c>
      <c r="E178" t="s">
        <v>74</v>
      </c>
      <c r="F178" t="s">
        <v>3594</v>
      </c>
      <c r="G178" t="s">
        <v>74</v>
      </c>
      <c r="H178" t="s">
        <v>74</v>
      </c>
      <c r="I178" t="s">
        <v>3595</v>
      </c>
      <c r="J178" t="s">
        <v>77</v>
      </c>
      <c r="K178" t="s">
        <v>74</v>
      </c>
      <c r="L178" t="s">
        <v>74</v>
      </c>
      <c r="M178" t="s">
        <v>78</v>
      </c>
      <c r="N178" t="s">
        <v>79</v>
      </c>
      <c r="O178" t="s">
        <v>74</v>
      </c>
      <c r="P178" t="s">
        <v>74</v>
      </c>
      <c r="Q178" t="s">
        <v>74</v>
      </c>
      <c r="R178" t="s">
        <v>74</v>
      </c>
      <c r="S178" t="s">
        <v>74</v>
      </c>
      <c r="T178" t="s">
        <v>3596</v>
      </c>
      <c r="U178" t="s">
        <v>3597</v>
      </c>
      <c r="V178" t="s">
        <v>3598</v>
      </c>
      <c r="W178" t="s">
        <v>3599</v>
      </c>
      <c r="X178" t="s">
        <v>3600</v>
      </c>
      <c r="Y178" t="s">
        <v>3601</v>
      </c>
      <c r="Z178" t="s">
        <v>3602</v>
      </c>
      <c r="AA178" t="s">
        <v>3603</v>
      </c>
      <c r="AB178" t="s">
        <v>3604</v>
      </c>
      <c r="AC178" t="s">
        <v>3605</v>
      </c>
      <c r="AD178" t="s">
        <v>3606</v>
      </c>
      <c r="AE178" t="s">
        <v>3607</v>
      </c>
      <c r="AF178" t="s">
        <v>74</v>
      </c>
      <c r="AG178">
        <v>187</v>
      </c>
      <c r="AH178">
        <v>32</v>
      </c>
      <c r="AI178">
        <v>34</v>
      </c>
      <c r="AJ178">
        <v>0</v>
      </c>
      <c r="AK178">
        <v>39</v>
      </c>
      <c r="AL178" t="s">
        <v>89</v>
      </c>
      <c r="AM178" t="s">
        <v>90</v>
      </c>
      <c r="AN178" t="s">
        <v>91</v>
      </c>
      <c r="AO178" t="s">
        <v>92</v>
      </c>
      <c r="AP178" t="s">
        <v>74</v>
      </c>
      <c r="AQ178" t="s">
        <v>74</v>
      </c>
      <c r="AR178" t="s">
        <v>93</v>
      </c>
      <c r="AS178" t="s">
        <v>94</v>
      </c>
      <c r="AT178" t="s">
        <v>3482</v>
      </c>
      <c r="AU178">
        <v>2012</v>
      </c>
      <c r="AV178">
        <v>53</v>
      </c>
      <c r="AW178" t="s">
        <v>74</v>
      </c>
      <c r="AX178" t="s">
        <v>74</v>
      </c>
      <c r="AY178" t="s">
        <v>74</v>
      </c>
      <c r="AZ178" t="s">
        <v>74</v>
      </c>
      <c r="BA178" t="s">
        <v>74</v>
      </c>
      <c r="BB178">
        <v>88</v>
      </c>
      <c r="BC178">
        <v>110</v>
      </c>
      <c r="BD178" t="s">
        <v>74</v>
      </c>
      <c r="BE178" t="s">
        <v>3608</v>
      </c>
      <c r="BF178" t="str">
        <f>HYPERLINK("http://dx.doi.org/10.1016/j.quascirev.2012.08.010","http://dx.doi.org/10.1016/j.quascirev.2012.08.010")</f>
        <v>http://dx.doi.org/10.1016/j.quascirev.2012.08.010</v>
      </c>
      <c r="BG178" t="s">
        <v>74</v>
      </c>
      <c r="BH178" t="s">
        <v>74</v>
      </c>
      <c r="BI178">
        <v>23</v>
      </c>
      <c r="BJ178" t="s">
        <v>97</v>
      </c>
      <c r="BK178" t="s">
        <v>98</v>
      </c>
      <c r="BL178" t="s">
        <v>99</v>
      </c>
      <c r="BM178" t="s">
        <v>3591</v>
      </c>
      <c r="BN178" t="s">
        <v>74</v>
      </c>
      <c r="BO178" t="s">
        <v>416</v>
      </c>
      <c r="BP178" t="s">
        <v>74</v>
      </c>
      <c r="BQ178" t="s">
        <v>74</v>
      </c>
      <c r="BR178" t="s">
        <v>101</v>
      </c>
      <c r="BS178" t="s">
        <v>3609</v>
      </c>
      <c r="BT178" t="str">
        <f>HYPERLINK("https%3A%2F%2Fwww.webofscience.com%2Fwos%2Fwoscc%2Ffull-record%2FWOS:000310481100006","View Full Record in Web of Science")</f>
        <v>View Full Record in Web of Science</v>
      </c>
    </row>
    <row r="179" spans="1:72" x14ac:dyDescent="0.15">
      <c r="A179" t="s">
        <v>72</v>
      </c>
      <c r="B179" t="s">
        <v>3610</v>
      </c>
      <c r="C179" t="s">
        <v>74</v>
      </c>
      <c r="D179" t="s">
        <v>74</v>
      </c>
      <c r="E179" t="s">
        <v>74</v>
      </c>
      <c r="F179" t="s">
        <v>3611</v>
      </c>
      <c r="G179" t="s">
        <v>74</v>
      </c>
      <c r="H179" t="s">
        <v>74</v>
      </c>
      <c r="I179" t="s">
        <v>3612</v>
      </c>
      <c r="J179" t="s">
        <v>77</v>
      </c>
      <c r="K179" t="s">
        <v>74</v>
      </c>
      <c r="L179" t="s">
        <v>74</v>
      </c>
      <c r="M179" t="s">
        <v>78</v>
      </c>
      <c r="N179" t="s">
        <v>79</v>
      </c>
      <c r="O179" t="s">
        <v>74</v>
      </c>
      <c r="P179" t="s">
        <v>74</v>
      </c>
      <c r="Q179" t="s">
        <v>74</v>
      </c>
      <c r="R179" t="s">
        <v>74</v>
      </c>
      <c r="S179" t="s">
        <v>74</v>
      </c>
      <c r="T179" t="s">
        <v>3613</v>
      </c>
      <c r="U179" t="s">
        <v>3614</v>
      </c>
      <c r="V179" t="s">
        <v>3615</v>
      </c>
      <c r="W179" t="s">
        <v>3616</v>
      </c>
      <c r="X179" t="s">
        <v>636</v>
      </c>
      <c r="Y179" t="s">
        <v>3617</v>
      </c>
      <c r="Z179" t="s">
        <v>3618</v>
      </c>
      <c r="AA179" t="s">
        <v>3619</v>
      </c>
      <c r="AB179" t="s">
        <v>3620</v>
      </c>
      <c r="AC179" t="s">
        <v>3621</v>
      </c>
      <c r="AD179" t="s">
        <v>3622</v>
      </c>
      <c r="AE179" t="s">
        <v>3623</v>
      </c>
      <c r="AF179" t="s">
        <v>74</v>
      </c>
      <c r="AG179">
        <v>72</v>
      </c>
      <c r="AH179">
        <v>38</v>
      </c>
      <c r="AI179">
        <v>41</v>
      </c>
      <c r="AJ179">
        <v>0</v>
      </c>
      <c r="AK179">
        <v>28</v>
      </c>
      <c r="AL179" t="s">
        <v>89</v>
      </c>
      <c r="AM179" t="s">
        <v>90</v>
      </c>
      <c r="AN179" t="s">
        <v>91</v>
      </c>
      <c r="AO179" t="s">
        <v>92</v>
      </c>
      <c r="AP179" t="s">
        <v>74</v>
      </c>
      <c r="AQ179" t="s">
        <v>74</v>
      </c>
      <c r="AR179" t="s">
        <v>93</v>
      </c>
      <c r="AS179" t="s">
        <v>94</v>
      </c>
      <c r="AT179" t="s">
        <v>3482</v>
      </c>
      <c r="AU179">
        <v>2012</v>
      </c>
      <c r="AV179">
        <v>53</v>
      </c>
      <c r="AW179" t="s">
        <v>74</v>
      </c>
      <c r="AX179" t="s">
        <v>74</v>
      </c>
      <c r="AY179" t="s">
        <v>74</v>
      </c>
      <c r="AZ179" t="s">
        <v>74</v>
      </c>
      <c r="BA179" t="s">
        <v>74</v>
      </c>
      <c r="BB179">
        <v>111</v>
      </c>
      <c r="BC179">
        <v>122</v>
      </c>
      <c r="BD179" t="s">
        <v>74</v>
      </c>
      <c r="BE179" t="s">
        <v>3624</v>
      </c>
      <c r="BF179" t="str">
        <f>HYPERLINK("http://dx.doi.org/10.1016/j.quascirev.2012.08.006","http://dx.doi.org/10.1016/j.quascirev.2012.08.006")</f>
        <v>http://dx.doi.org/10.1016/j.quascirev.2012.08.006</v>
      </c>
      <c r="BG179" t="s">
        <v>74</v>
      </c>
      <c r="BH179" t="s">
        <v>74</v>
      </c>
      <c r="BI179">
        <v>12</v>
      </c>
      <c r="BJ179" t="s">
        <v>97</v>
      </c>
      <c r="BK179" t="s">
        <v>98</v>
      </c>
      <c r="BL179" t="s">
        <v>99</v>
      </c>
      <c r="BM179" t="s">
        <v>3591</v>
      </c>
      <c r="BN179" t="s">
        <v>74</v>
      </c>
      <c r="BO179" t="s">
        <v>74</v>
      </c>
      <c r="BP179" t="s">
        <v>74</v>
      </c>
      <c r="BQ179" t="s">
        <v>74</v>
      </c>
      <c r="BR179" t="s">
        <v>101</v>
      </c>
      <c r="BS179" t="s">
        <v>3625</v>
      </c>
      <c r="BT179" t="str">
        <f>HYPERLINK("https%3A%2F%2Fwww.webofscience.com%2Fwos%2Fwoscc%2Ffull-record%2FWOS:000310481100007","View Full Record in Web of Science")</f>
        <v>View Full Record in Web of Science</v>
      </c>
    </row>
    <row r="180" spans="1:72" x14ac:dyDescent="0.15">
      <c r="A180" t="s">
        <v>72</v>
      </c>
      <c r="B180" t="s">
        <v>3626</v>
      </c>
      <c r="C180" t="s">
        <v>74</v>
      </c>
      <c r="D180" t="s">
        <v>74</v>
      </c>
      <c r="E180" t="s">
        <v>74</v>
      </c>
      <c r="F180" t="s">
        <v>3627</v>
      </c>
      <c r="G180" t="s">
        <v>74</v>
      </c>
      <c r="H180" t="s">
        <v>74</v>
      </c>
      <c r="I180" t="s">
        <v>3628</v>
      </c>
      <c r="J180" t="s">
        <v>3629</v>
      </c>
      <c r="K180" t="s">
        <v>74</v>
      </c>
      <c r="L180" t="s">
        <v>74</v>
      </c>
      <c r="M180" t="s">
        <v>78</v>
      </c>
      <c r="N180" t="s">
        <v>79</v>
      </c>
      <c r="O180" t="s">
        <v>74</v>
      </c>
      <c r="P180" t="s">
        <v>74</v>
      </c>
      <c r="Q180" t="s">
        <v>74</v>
      </c>
      <c r="R180" t="s">
        <v>74</v>
      </c>
      <c r="S180" t="s">
        <v>74</v>
      </c>
      <c r="T180" t="s">
        <v>3630</v>
      </c>
      <c r="U180" t="s">
        <v>3631</v>
      </c>
      <c r="V180" t="s">
        <v>3632</v>
      </c>
      <c r="W180" t="s">
        <v>3633</v>
      </c>
      <c r="X180" t="s">
        <v>3634</v>
      </c>
      <c r="Y180" t="s">
        <v>3635</v>
      </c>
      <c r="Z180" t="s">
        <v>3636</v>
      </c>
      <c r="AA180" t="s">
        <v>3637</v>
      </c>
      <c r="AB180" t="s">
        <v>3638</v>
      </c>
      <c r="AC180" t="s">
        <v>74</v>
      </c>
      <c r="AD180" t="s">
        <v>74</v>
      </c>
      <c r="AE180" t="s">
        <v>74</v>
      </c>
      <c r="AF180" t="s">
        <v>74</v>
      </c>
      <c r="AG180">
        <v>41</v>
      </c>
      <c r="AH180">
        <v>2</v>
      </c>
      <c r="AI180">
        <v>2</v>
      </c>
      <c r="AJ180">
        <v>0</v>
      </c>
      <c r="AK180">
        <v>11</v>
      </c>
      <c r="AL180" t="s">
        <v>89</v>
      </c>
      <c r="AM180" t="s">
        <v>90</v>
      </c>
      <c r="AN180" t="s">
        <v>91</v>
      </c>
      <c r="AO180" t="s">
        <v>3639</v>
      </c>
      <c r="AP180" t="s">
        <v>74</v>
      </c>
      <c r="AQ180" t="s">
        <v>74</v>
      </c>
      <c r="AR180" t="s">
        <v>3640</v>
      </c>
      <c r="AS180" t="s">
        <v>3641</v>
      </c>
      <c r="AT180" t="s">
        <v>3482</v>
      </c>
      <c r="AU180">
        <v>2012</v>
      </c>
      <c r="AV180">
        <v>47</v>
      </c>
      <c r="AW180" t="s">
        <v>74</v>
      </c>
      <c r="AX180" t="s">
        <v>74</v>
      </c>
      <c r="AY180" t="s">
        <v>74</v>
      </c>
      <c r="AZ180" t="s">
        <v>74</v>
      </c>
      <c r="BA180" t="s">
        <v>74</v>
      </c>
      <c r="BB180">
        <v>1</v>
      </c>
      <c r="BC180">
        <v>7</v>
      </c>
      <c r="BD180" t="s">
        <v>74</v>
      </c>
      <c r="BE180" t="s">
        <v>3642</v>
      </c>
      <c r="BF180" t="str">
        <f>HYPERLINK("http://dx.doi.org/10.1016/j.envint.2012.05.005","http://dx.doi.org/10.1016/j.envint.2012.05.005")</f>
        <v>http://dx.doi.org/10.1016/j.envint.2012.05.005</v>
      </c>
      <c r="BG180" t="s">
        <v>74</v>
      </c>
      <c r="BH180" t="s">
        <v>74</v>
      </c>
      <c r="BI180">
        <v>7</v>
      </c>
      <c r="BJ180" t="s">
        <v>332</v>
      </c>
      <c r="BK180" t="s">
        <v>98</v>
      </c>
      <c r="BL180" t="s">
        <v>333</v>
      </c>
      <c r="BM180" t="s">
        <v>3643</v>
      </c>
      <c r="BN180">
        <v>22706521</v>
      </c>
      <c r="BO180" t="s">
        <v>74</v>
      </c>
      <c r="BP180" t="s">
        <v>74</v>
      </c>
      <c r="BQ180" t="s">
        <v>74</v>
      </c>
      <c r="BR180" t="s">
        <v>101</v>
      </c>
      <c r="BS180" t="s">
        <v>3644</v>
      </c>
      <c r="BT180" t="str">
        <f>HYPERLINK("https%3A%2F%2Fwww.webofscience.com%2Fwos%2Fwoscc%2Ffull-record%2FWOS:000308057000001","View Full Record in Web of Science")</f>
        <v>View Full Record in Web of Science</v>
      </c>
    </row>
    <row r="181" spans="1:72" x14ac:dyDescent="0.15">
      <c r="A181" t="s">
        <v>72</v>
      </c>
      <c r="B181" t="s">
        <v>3645</v>
      </c>
      <c r="C181" t="s">
        <v>74</v>
      </c>
      <c r="D181" t="s">
        <v>74</v>
      </c>
      <c r="E181" t="s">
        <v>74</v>
      </c>
      <c r="F181" t="s">
        <v>3646</v>
      </c>
      <c r="G181" t="s">
        <v>74</v>
      </c>
      <c r="H181" t="s">
        <v>74</v>
      </c>
      <c r="I181" t="s">
        <v>3647</v>
      </c>
      <c r="J181" t="s">
        <v>444</v>
      </c>
      <c r="K181" t="s">
        <v>74</v>
      </c>
      <c r="L181" t="s">
        <v>74</v>
      </c>
      <c r="M181" t="s">
        <v>78</v>
      </c>
      <c r="N181" t="s">
        <v>79</v>
      </c>
      <c r="O181" t="s">
        <v>74</v>
      </c>
      <c r="P181" t="s">
        <v>74</v>
      </c>
      <c r="Q181" t="s">
        <v>74</v>
      </c>
      <c r="R181" t="s">
        <v>74</v>
      </c>
      <c r="S181" t="s">
        <v>74</v>
      </c>
      <c r="T181" t="s">
        <v>74</v>
      </c>
      <c r="U181" t="s">
        <v>3648</v>
      </c>
      <c r="V181" t="s">
        <v>3649</v>
      </c>
      <c r="W181" t="s">
        <v>3650</v>
      </c>
      <c r="X181" t="s">
        <v>3651</v>
      </c>
      <c r="Y181" t="s">
        <v>3652</v>
      </c>
      <c r="Z181" t="s">
        <v>3653</v>
      </c>
      <c r="AA181" t="s">
        <v>74</v>
      </c>
      <c r="AB181" t="s">
        <v>3654</v>
      </c>
      <c r="AC181" t="s">
        <v>3655</v>
      </c>
      <c r="AD181" t="s">
        <v>3656</v>
      </c>
      <c r="AE181" t="s">
        <v>3657</v>
      </c>
      <c r="AF181" t="s">
        <v>74</v>
      </c>
      <c r="AG181">
        <v>18</v>
      </c>
      <c r="AH181">
        <v>8</v>
      </c>
      <c r="AI181">
        <v>8</v>
      </c>
      <c r="AJ181">
        <v>0</v>
      </c>
      <c r="AK181">
        <v>0</v>
      </c>
      <c r="AL181" t="s">
        <v>118</v>
      </c>
      <c r="AM181" t="s">
        <v>119</v>
      </c>
      <c r="AN181" t="s">
        <v>120</v>
      </c>
      <c r="AO181" t="s">
        <v>454</v>
      </c>
      <c r="AP181" t="s">
        <v>455</v>
      </c>
      <c r="AQ181" t="s">
        <v>74</v>
      </c>
      <c r="AR181" t="s">
        <v>456</v>
      </c>
      <c r="AS181" t="s">
        <v>457</v>
      </c>
      <c r="AT181" t="s">
        <v>3658</v>
      </c>
      <c r="AU181">
        <v>2012</v>
      </c>
      <c r="AV181">
        <v>39</v>
      </c>
      <c r="AW181" t="s">
        <v>74</v>
      </c>
      <c r="AX181" t="s">
        <v>74</v>
      </c>
      <c r="AY181" t="s">
        <v>74</v>
      </c>
      <c r="AZ181" t="s">
        <v>74</v>
      </c>
      <c r="BA181" t="s">
        <v>74</v>
      </c>
      <c r="BB181" t="s">
        <v>74</v>
      </c>
      <c r="BC181" t="s">
        <v>74</v>
      </c>
      <c r="BD181" t="s">
        <v>3659</v>
      </c>
      <c r="BE181" t="s">
        <v>3660</v>
      </c>
      <c r="BF181" t="str">
        <f>HYPERLINK("http://dx.doi.org/10.1029/2012GL053551","http://dx.doi.org/10.1029/2012GL053551")</f>
        <v>http://dx.doi.org/10.1029/2012GL053551</v>
      </c>
      <c r="BG181" t="s">
        <v>74</v>
      </c>
      <c r="BH181" t="s">
        <v>74</v>
      </c>
      <c r="BI181">
        <v>5</v>
      </c>
      <c r="BJ181" t="s">
        <v>461</v>
      </c>
      <c r="BK181" t="s">
        <v>98</v>
      </c>
      <c r="BL181" t="s">
        <v>462</v>
      </c>
      <c r="BM181" t="s">
        <v>3661</v>
      </c>
      <c r="BN181" t="s">
        <v>74</v>
      </c>
      <c r="BO181" t="s">
        <v>607</v>
      </c>
      <c r="BP181" t="s">
        <v>74</v>
      </c>
      <c r="BQ181" t="s">
        <v>74</v>
      </c>
      <c r="BR181" t="s">
        <v>101</v>
      </c>
      <c r="BS181" t="s">
        <v>3662</v>
      </c>
      <c r="BT181" t="str">
        <f>HYPERLINK("https%3A%2F%2Fwww.webofscience.com%2Fwos%2Fwoscc%2Ffull-record%2FWOS:000309837500005","View Full Record in Web of Science")</f>
        <v>View Full Record in Web of Science</v>
      </c>
    </row>
    <row r="182" spans="1:72" x14ac:dyDescent="0.15">
      <c r="A182" t="s">
        <v>72</v>
      </c>
      <c r="B182" t="s">
        <v>3663</v>
      </c>
      <c r="C182" t="s">
        <v>74</v>
      </c>
      <c r="D182" t="s">
        <v>74</v>
      </c>
      <c r="E182" t="s">
        <v>74</v>
      </c>
      <c r="F182" t="s">
        <v>3664</v>
      </c>
      <c r="G182" t="s">
        <v>74</v>
      </c>
      <c r="H182" t="s">
        <v>74</v>
      </c>
      <c r="I182" t="s">
        <v>3665</v>
      </c>
      <c r="J182" t="s">
        <v>3666</v>
      </c>
      <c r="K182" t="s">
        <v>74</v>
      </c>
      <c r="L182" t="s">
        <v>74</v>
      </c>
      <c r="M182" t="s">
        <v>78</v>
      </c>
      <c r="N182" t="s">
        <v>79</v>
      </c>
      <c r="O182" t="s">
        <v>74</v>
      </c>
      <c r="P182" t="s">
        <v>74</v>
      </c>
      <c r="Q182" t="s">
        <v>74</v>
      </c>
      <c r="R182" t="s">
        <v>74</v>
      </c>
      <c r="S182" t="s">
        <v>74</v>
      </c>
      <c r="T182" t="s">
        <v>74</v>
      </c>
      <c r="U182" t="s">
        <v>3667</v>
      </c>
      <c r="V182" t="s">
        <v>3668</v>
      </c>
      <c r="W182" t="s">
        <v>3669</v>
      </c>
      <c r="X182" t="s">
        <v>3670</v>
      </c>
      <c r="Y182" t="s">
        <v>3671</v>
      </c>
      <c r="Z182" t="s">
        <v>3672</v>
      </c>
      <c r="AA182" t="s">
        <v>3673</v>
      </c>
      <c r="AB182" t="s">
        <v>3674</v>
      </c>
      <c r="AC182" t="s">
        <v>3675</v>
      </c>
      <c r="AD182" t="s">
        <v>3676</v>
      </c>
      <c r="AE182" t="s">
        <v>3677</v>
      </c>
      <c r="AF182" t="s">
        <v>74</v>
      </c>
      <c r="AG182">
        <v>86</v>
      </c>
      <c r="AH182">
        <v>22</v>
      </c>
      <c r="AI182">
        <v>22</v>
      </c>
      <c r="AJ182">
        <v>1</v>
      </c>
      <c r="AK182">
        <v>30</v>
      </c>
      <c r="AL182" t="s">
        <v>118</v>
      </c>
      <c r="AM182" t="s">
        <v>119</v>
      </c>
      <c r="AN182" t="s">
        <v>120</v>
      </c>
      <c r="AO182" t="s">
        <v>3678</v>
      </c>
      <c r="AP182" t="s">
        <v>3679</v>
      </c>
      <c r="AQ182" t="s">
        <v>74</v>
      </c>
      <c r="AR182" t="s">
        <v>3680</v>
      </c>
      <c r="AS182" t="s">
        <v>3681</v>
      </c>
      <c r="AT182" t="s">
        <v>3682</v>
      </c>
      <c r="AU182">
        <v>2012</v>
      </c>
      <c r="AV182">
        <v>117</v>
      </c>
      <c r="AW182" t="s">
        <v>74</v>
      </c>
      <c r="AX182" t="s">
        <v>74</v>
      </c>
      <c r="AY182" t="s">
        <v>74</v>
      </c>
      <c r="AZ182" t="s">
        <v>74</v>
      </c>
      <c r="BA182" t="s">
        <v>74</v>
      </c>
      <c r="BB182" t="s">
        <v>74</v>
      </c>
      <c r="BC182" t="s">
        <v>74</v>
      </c>
      <c r="BD182" t="s">
        <v>3683</v>
      </c>
      <c r="BE182" t="s">
        <v>3684</v>
      </c>
      <c r="BF182" t="str">
        <f>HYPERLINK("http://dx.doi.org/10.1029/2012JC008266","http://dx.doi.org/10.1029/2012JC008266")</f>
        <v>http://dx.doi.org/10.1029/2012JC008266</v>
      </c>
      <c r="BG182" t="s">
        <v>74</v>
      </c>
      <c r="BH182" t="s">
        <v>74</v>
      </c>
      <c r="BI182">
        <v>21</v>
      </c>
      <c r="BJ182" t="s">
        <v>941</v>
      </c>
      <c r="BK182" t="s">
        <v>98</v>
      </c>
      <c r="BL182" t="s">
        <v>941</v>
      </c>
      <c r="BM182" t="s">
        <v>3685</v>
      </c>
      <c r="BN182" t="s">
        <v>74</v>
      </c>
      <c r="BO182" t="s">
        <v>1254</v>
      </c>
      <c r="BP182" t="s">
        <v>74</v>
      </c>
      <c r="BQ182" t="s">
        <v>74</v>
      </c>
      <c r="BR182" t="s">
        <v>101</v>
      </c>
      <c r="BS182" t="s">
        <v>3686</v>
      </c>
      <c r="BT182" t="str">
        <f>HYPERLINK("https%3A%2F%2Fwww.webofscience.com%2Fwos%2Fwoscc%2Ffull-record%2FWOS:000309831600001","View Full Record in Web of Science")</f>
        <v>View Full Record in Web of Science</v>
      </c>
    </row>
    <row r="183" spans="1:72" x14ac:dyDescent="0.15">
      <c r="A183" t="s">
        <v>72</v>
      </c>
      <c r="B183" t="s">
        <v>3687</v>
      </c>
      <c r="C183" t="s">
        <v>74</v>
      </c>
      <c r="D183" t="s">
        <v>74</v>
      </c>
      <c r="E183" t="s">
        <v>74</v>
      </c>
      <c r="F183" t="s">
        <v>3688</v>
      </c>
      <c r="G183" t="s">
        <v>74</v>
      </c>
      <c r="H183" t="s">
        <v>74</v>
      </c>
      <c r="I183" t="s">
        <v>3689</v>
      </c>
      <c r="J183" t="s">
        <v>444</v>
      </c>
      <c r="K183" t="s">
        <v>74</v>
      </c>
      <c r="L183" t="s">
        <v>74</v>
      </c>
      <c r="M183" t="s">
        <v>78</v>
      </c>
      <c r="N183" t="s">
        <v>79</v>
      </c>
      <c r="O183" t="s">
        <v>74</v>
      </c>
      <c r="P183" t="s">
        <v>74</v>
      </c>
      <c r="Q183" t="s">
        <v>74</v>
      </c>
      <c r="R183" t="s">
        <v>74</v>
      </c>
      <c r="S183" t="s">
        <v>74</v>
      </c>
      <c r="T183" t="s">
        <v>74</v>
      </c>
      <c r="U183" t="s">
        <v>3690</v>
      </c>
      <c r="V183" t="s">
        <v>3691</v>
      </c>
      <c r="W183" t="s">
        <v>3692</v>
      </c>
      <c r="X183" t="s">
        <v>3693</v>
      </c>
      <c r="Y183" t="s">
        <v>3694</v>
      </c>
      <c r="Z183" t="s">
        <v>3695</v>
      </c>
      <c r="AA183" t="s">
        <v>3696</v>
      </c>
      <c r="AB183" t="s">
        <v>3697</v>
      </c>
      <c r="AC183" t="s">
        <v>3698</v>
      </c>
      <c r="AD183" t="s">
        <v>3699</v>
      </c>
      <c r="AE183" t="s">
        <v>3700</v>
      </c>
      <c r="AF183" t="s">
        <v>74</v>
      </c>
      <c r="AG183">
        <v>24</v>
      </c>
      <c r="AH183">
        <v>2</v>
      </c>
      <c r="AI183">
        <v>3</v>
      </c>
      <c r="AJ183">
        <v>0</v>
      </c>
      <c r="AK183">
        <v>8</v>
      </c>
      <c r="AL183" t="s">
        <v>118</v>
      </c>
      <c r="AM183" t="s">
        <v>119</v>
      </c>
      <c r="AN183" t="s">
        <v>120</v>
      </c>
      <c r="AO183" t="s">
        <v>454</v>
      </c>
      <c r="AP183" t="s">
        <v>455</v>
      </c>
      <c r="AQ183" t="s">
        <v>74</v>
      </c>
      <c r="AR183" t="s">
        <v>456</v>
      </c>
      <c r="AS183" t="s">
        <v>457</v>
      </c>
      <c r="AT183" t="s">
        <v>3682</v>
      </c>
      <c r="AU183">
        <v>2012</v>
      </c>
      <c r="AV183">
        <v>39</v>
      </c>
      <c r="AW183" t="s">
        <v>74</v>
      </c>
      <c r="AX183" t="s">
        <v>74</v>
      </c>
      <c r="AY183" t="s">
        <v>74</v>
      </c>
      <c r="AZ183" t="s">
        <v>74</v>
      </c>
      <c r="BA183" t="s">
        <v>74</v>
      </c>
      <c r="BB183" t="s">
        <v>74</v>
      </c>
      <c r="BC183" t="s">
        <v>74</v>
      </c>
      <c r="BD183" t="s">
        <v>3701</v>
      </c>
      <c r="BE183" t="s">
        <v>3702</v>
      </c>
      <c r="BF183" t="str">
        <f>HYPERLINK("http://dx.doi.org/10.1029/2012GL053402","http://dx.doi.org/10.1029/2012GL053402")</f>
        <v>http://dx.doi.org/10.1029/2012GL053402</v>
      </c>
      <c r="BG183" t="s">
        <v>74</v>
      </c>
      <c r="BH183" t="s">
        <v>74</v>
      </c>
      <c r="BI183">
        <v>5</v>
      </c>
      <c r="BJ183" t="s">
        <v>461</v>
      </c>
      <c r="BK183" t="s">
        <v>98</v>
      </c>
      <c r="BL183" t="s">
        <v>462</v>
      </c>
      <c r="BM183" t="s">
        <v>3703</v>
      </c>
      <c r="BN183" t="s">
        <v>74</v>
      </c>
      <c r="BO183" t="s">
        <v>74</v>
      </c>
      <c r="BP183" t="s">
        <v>74</v>
      </c>
      <c r="BQ183" t="s">
        <v>74</v>
      </c>
      <c r="BR183" t="s">
        <v>101</v>
      </c>
      <c r="BS183" t="s">
        <v>3704</v>
      </c>
      <c r="BT183" t="str">
        <f>HYPERLINK("https%3A%2F%2Fwww.webofscience.com%2Fwos%2Fwoscc%2Ffull-record%2FWOS:000309837400005","View Full Record in Web of Science")</f>
        <v>View Full Record in Web of Science</v>
      </c>
    </row>
    <row r="184" spans="1:72" x14ac:dyDescent="0.15">
      <c r="A184" t="s">
        <v>72</v>
      </c>
      <c r="B184" t="s">
        <v>3705</v>
      </c>
      <c r="C184" t="s">
        <v>74</v>
      </c>
      <c r="D184" t="s">
        <v>74</v>
      </c>
      <c r="E184" t="s">
        <v>74</v>
      </c>
      <c r="F184" t="s">
        <v>3706</v>
      </c>
      <c r="G184" t="s">
        <v>74</v>
      </c>
      <c r="H184" t="s">
        <v>74</v>
      </c>
      <c r="I184" t="s">
        <v>3707</v>
      </c>
      <c r="J184" t="s">
        <v>3708</v>
      </c>
      <c r="K184" t="s">
        <v>74</v>
      </c>
      <c r="L184" t="s">
        <v>74</v>
      </c>
      <c r="M184" t="s">
        <v>78</v>
      </c>
      <c r="N184" t="s">
        <v>79</v>
      </c>
      <c r="O184" t="s">
        <v>74</v>
      </c>
      <c r="P184" t="s">
        <v>74</v>
      </c>
      <c r="Q184" t="s">
        <v>74</v>
      </c>
      <c r="R184" t="s">
        <v>74</v>
      </c>
      <c r="S184" t="s">
        <v>74</v>
      </c>
      <c r="T184" t="s">
        <v>74</v>
      </c>
      <c r="U184" t="s">
        <v>3709</v>
      </c>
      <c r="V184" t="s">
        <v>3710</v>
      </c>
      <c r="W184" t="s">
        <v>3711</v>
      </c>
      <c r="X184" t="s">
        <v>3712</v>
      </c>
      <c r="Y184" t="s">
        <v>3713</v>
      </c>
      <c r="Z184" t="s">
        <v>3714</v>
      </c>
      <c r="AA184" t="s">
        <v>3715</v>
      </c>
      <c r="AB184" t="s">
        <v>3716</v>
      </c>
      <c r="AC184" t="s">
        <v>3717</v>
      </c>
      <c r="AD184" t="s">
        <v>3718</v>
      </c>
      <c r="AE184" t="s">
        <v>3719</v>
      </c>
      <c r="AF184" t="s">
        <v>74</v>
      </c>
      <c r="AG184">
        <v>36</v>
      </c>
      <c r="AH184">
        <v>40</v>
      </c>
      <c r="AI184">
        <v>48</v>
      </c>
      <c r="AJ184">
        <v>2</v>
      </c>
      <c r="AK184">
        <v>14</v>
      </c>
      <c r="AL184" t="s">
        <v>3720</v>
      </c>
      <c r="AM184" t="s">
        <v>3721</v>
      </c>
      <c r="AN184" t="s">
        <v>3722</v>
      </c>
      <c r="AO184" t="s">
        <v>74</v>
      </c>
      <c r="AP184" t="s">
        <v>3723</v>
      </c>
      <c r="AQ184" t="s">
        <v>74</v>
      </c>
      <c r="AR184" t="s">
        <v>3724</v>
      </c>
      <c r="AS184" t="s">
        <v>3725</v>
      </c>
      <c r="AT184" t="s">
        <v>3682</v>
      </c>
      <c r="AU184">
        <v>2012</v>
      </c>
      <c r="AV184">
        <v>287</v>
      </c>
      <c r="AW184">
        <v>42</v>
      </c>
      <c r="AX184" t="s">
        <v>74</v>
      </c>
      <c r="AY184" t="s">
        <v>74</v>
      </c>
      <c r="AZ184" t="s">
        <v>74</v>
      </c>
      <c r="BA184" t="s">
        <v>74</v>
      </c>
      <c r="BB184">
        <v>35127</v>
      </c>
      <c r="BC184">
        <v>35138</v>
      </c>
      <c r="BD184" t="s">
        <v>74</v>
      </c>
      <c r="BE184" t="s">
        <v>3726</v>
      </c>
      <c r="BF184" t="str">
        <f>HYPERLINK("http://dx.doi.org/10.1074/jbc.M112.398339","http://dx.doi.org/10.1074/jbc.M112.398339")</f>
        <v>http://dx.doi.org/10.1074/jbc.M112.398339</v>
      </c>
      <c r="BG184" t="s">
        <v>74</v>
      </c>
      <c r="BH184" t="s">
        <v>74</v>
      </c>
      <c r="BI184">
        <v>12</v>
      </c>
      <c r="BJ184" t="s">
        <v>3727</v>
      </c>
      <c r="BK184" t="s">
        <v>98</v>
      </c>
      <c r="BL184" t="s">
        <v>3727</v>
      </c>
      <c r="BM184" t="s">
        <v>3728</v>
      </c>
      <c r="BN184">
        <v>22904321</v>
      </c>
      <c r="BO184" t="s">
        <v>494</v>
      </c>
      <c r="BP184" t="s">
        <v>74</v>
      </c>
      <c r="BQ184" t="s">
        <v>74</v>
      </c>
      <c r="BR184" t="s">
        <v>101</v>
      </c>
      <c r="BS184" t="s">
        <v>3729</v>
      </c>
      <c r="BT184" t="str">
        <f>HYPERLINK("https%3A%2F%2Fwww.webofscience.com%2Fwos%2Fwoscc%2Ffull-record%2FWOS:000309968000023","View Full Record in Web of Science")</f>
        <v>View Full Record in Web of Science</v>
      </c>
    </row>
    <row r="185" spans="1:72" x14ac:dyDescent="0.15">
      <c r="A185" t="s">
        <v>72</v>
      </c>
      <c r="B185" t="s">
        <v>3730</v>
      </c>
      <c r="C185" t="s">
        <v>74</v>
      </c>
      <c r="D185" t="s">
        <v>74</v>
      </c>
      <c r="E185" t="s">
        <v>74</v>
      </c>
      <c r="F185" t="s">
        <v>3731</v>
      </c>
      <c r="G185" t="s">
        <v>74</v>
      </c>
      <c r="H185" t="s">
        <v>74</v>
      </c>
      <c r="I185" t="s">
        <v>3732</v>
      </c>
      <c r="J185" t="s">
        <v>3733</v>
      </c>
      <c r="K185" t="s">
        <v>74</v>
      </c>
      <c r="L185" t="s">
        <v>74</v>
      </c>
      <c r="M185" t="s">
        <v>78</v>
      </c>
      <c r="N185" t="s">
        <v>79</v>
      </c>
      <c r="O185" t="s">
        <v>74</v>
      </c>
      <c r="P185" t="s">
        <v>74</v>
      </c>
      <c r="Q185" t="s">
        <v>74</v>
      </c>
      <c r="R185" t="s">
        <v>74</v>
      </c>
      <c r="S185" t="s">
        <v>74</v>
      </c>
      <c r="T185" t="s">
        <v>74</v>
      </c>
      <c r="U185" t="s">
        <v>3734</v>
      </c>
      <c r="V185" t="s">
        <v>3735</v>
      </c>
      <c r="W185" t="s">
        <v>3736</v>
      </c>
      <c r="X185" t="s">
        <v>3737</v>
      </c>
      <c r="Y185" t="s">
        <v>3738</v>
      </c>
      <c r="Z185" t="s">
        <v>3739</v>
      </c>
      <c r="AA185" t="s">
        <v>3740</v>
      </c>
      <c r="AB185" t="s">
        <v>3741</v>
      </c>
      <c r="AC185" t="s">
        <v>3742</v>
      </c>
      <c r="AD185" t="s">
        <v>3743</v>
      </c>
      <c r="AE185" t="s">
        <v>3744</v>
      </c>
      <c r="AF185" t="s">
        <v>74</v>
      </c>
      <c r="AG185">
        <v>72</v>
      </c>
      <c r="AH185">
        <v>57</v>
      </c>
      <c r="AI185">
        <v>61</v>
      </c>
      <c r="AJ185">
        <v>0</v>
      </c>
      <c r="AK185">
        <v>65</v>
      </c>
      <c r="AL185" t="s">
        <v>118</v>
      </c>
      <c r="AM185" t="s">
        <v>119</v>
      </c>
      <c r="AN185" t="s">
        <v>120</v>
      </c>
      <c r="AO185" t="s">
        <v>3745</v>
      </c>
      <c r="AP185" t="s">
        <v>3746</v>
      </c>
      <c r="AQ185" t="s">
        <v>74</v>
      </c>
      <c r="AR185" t="s">
        <v>3733</v>
      </c>
      <c r="AS185" t="s">
        <v>3747</v>
      </c>
      <c r="AT185" t="s">
        <v>3682</v>
      </c>
      <c r="AU185">
        <v>2012</v>
      </c>
      <c r="AV185">
        <v>27</v>
      </c>
      <c r="AW185" t="s">
        <v>74</v>
      </c>
      <c r="AX185" t="s">
        <v>74</v>
      </c>
      <c r="AY185" t="s">
        <v>74</v>
      </c>
      <c r="AZ185" t="s">
        <v>74</v>
      </c>
      <c r="BA185" t="s">
        <v>74</v>
      </c>
      <c r="BB185" t="s">
        <v>74</v>
      </c>
      <c r="BC185" t="s">
        <v>74</v>
      </c>
      <c r="BD185" t="s">
        <v>3748</v>
      </c>
      <c r="BE185" t="s">
        <v>3749</v>
      </c>
      <c r="BF185" t="str">
        <f>HYPERLINK("http://dx.doi.org/10.1029/2012PA002317","http://dx.doi.org/10.1029/2012PA002317")</f>
        <v>http://dx.doi.org/10.1029/2012PA002317</v>
      </c>
      <c r="BG185" t="s">
        <v>74</v>
      </c>
      <c r="BH185" t="s">
        <v>74</v>
      </c>
      <c r="BI185">
        <v>15</v>
      </c>
      <c r="BJ185" t="s">
        <v>3750</v>
      </c>
      <c r="BK185" t="s">
        <v>98</v>
      </c>
      <c r="BL185" t="s">
        <v>3751</v>
      </c>
      <c r="BM185" t="s">
        <v>3752</v>
      </c>
      <c r="BN185" t="s">
        <v>74</v>
      </c>
      <c r="BO185" t="s">
        <v>3753</v>
      </c>
      <c r="BP185" t="s">
        <v>74</v>
      </c>
      <c r="BQ185" t="s">
        <v>74</v>
      </c>
      <c r="BR185" t="s">
        <v>101</v>
      </c>
      <c r="BS185" t="s">
        <v>3754</v>
      </c>
      <c r="BT185" t="str">
        <f>HYPERLINK("https%3A%2F%2Fwww.webofscience.com%2Fwos%2Fwoscc%2Ffull-record%2FWOS:000309840300001","View Full Record in Web of Science")</f>
        <v>View Full Record in Web of Science</v>
      </c>
    </row>
    <row r="186" spans="1:72" x14ac:dyDescent="0.15">
      <c r="A186" t="s">
        <v>72</v>
      </c>
      <c r="B186" t="s">
        <v>3755</v>
      </c>
      <c r="C186" t="s">
        <v>74</v>
      </c>
      <c r="D186" t="s">
        <v>74</v>
      </c>
      <c r="E186" t="s">
        <v>74</v>
      </c>
      <c r="F186" t="s">
        <v>3756</v>
      </c>
      <c r="G186" t="s">
        <v>74</v>
      </c>
      <c r="H186" t="s">
        <v>74</v>
      </c>
      <c r="I186" t="s">
        <v>3757</v>
      </c>
      <c r="J186" t="s">
        <v>3758</v>
      </c>
      <c r="K186" t="s">
        <v>74</v>
      </c>
      <c r="L186" t="s">
        <v>74</v>
      </c>
      <c r="M186" t="s">
        <v>78</v>
      </c>
      <c r="N186" t="s">
        <v>79</v>
      </c>
      <c r="O186" t="s">
        <v>74</v>
      </c>
      <c r="P186" t="s">
        <v>74</v>
      </c>
      <c r="Q186" t="s">
        <v>74</v>
      </c>
      <c r="R186" t="s">
        <v>74</v>
      </c>
      <c r="S186" t="s">
        <v>74</v>
      </c>
      <c r="T186" t="s">
        <v>74</v>
      </c>
      <c r="U186" t="s">
        <v>3759</v>
      </c>
      <c r="V186" t="s">
        <v>3760</v>
      </c>
      <c r="W186" t="s">
        <v>3761</v>
      </c>
      <c r="X186" t="s">
        <v>3762</v>
      </c>
      <c r="Y186" t="s">
        <v>3763</v>
      </c>
      <c r="Z186" t="s">
        <v>3764</v>
      </c>
      <c r="AA186" t="s">
        <v>3765</v>
      </c>
      <c r="AB186" t="s">
        <v>3766</v>
      </c>
      <c r="AC186" t="s">
        <v>3767</v>
      </c>
      <c r="AD186" t="s">
        <v>3768</v>
      </c>
      <c r="AE186" t="s">
        <v>3769</v>
      </c>
      <c r="AF186" t="s">
        <v>74</v>
      </c>
      <c r="AG186">
        <v>55</v>
      </c>
      <c r="AH186">
        <v>14</v>
      </c>
      <c r="AI186">
        <v>16</v>
      </c>
      <c r="AJ186">
        <v>1</v>
      </c>
      <c r="AK186">
        <v>28</v>
      </c>
      <c r="AL186" t="s">
        <v>3402</v>
      </c>
      <c r="AM186" t="s">
        <v>434</v>
      </c>
      <c r="AN186" t="s">
        <v>3403</v>
      </c>
      <c r="AO186" t="s">
        <v>3770</v>
      </c>
      <c r="AP186" t="s">
        <v>74</v>
      </c>
      <c r="AQ186" t="s">
        <v>74</v>
      </c>
      <c r="AR186" t="s">
        <v>3758</v>
      </c>
      <c r="AS186" t="s">
        <v>3771</v>
      </c>
      <c r="AT186" t="s">
        <v>3772</v>
      </c>
      <c r="AU186">
        <v>2012</v>
      </c>
      <c r="AV186">
        <v>13</v>
      </c>
      <c r="AW186" t="s">
        <v>74</v>
      </c>
      <c r="AX186" t="s">
        <v>74</v>
      </c>
      <c r="AY186" t="s">
        <v>74</v>
      </c>
      <c r="AZ186" t="s">
        <v>74</v>
      </c>
      <c r="BA186" t="s">
        <v>74</v>
      </c>
      <c r="BB186" t="s">
        <v>74</v>
      </c>
      <c r="BC186" t="s">
        <v>74</v>
      </c>
      <c r="BD186">
        <v>549</v>
      </c>
      <c r="BE186" t="s">
        <v>3773</v>
      </c>
      <c r="BF186" t="str">
        <f>HYPERLINK("http://dx.doi.org/10.1186/1471-2164-13-549","http://dx.doi.org/10.1186/1471-2164-13-549")</f>
        <v>http://dx.doi.org/10.1186/1471-2164-13-549</v>
      </c>
      <c r="BG186" t="s">
        <v>74</v>
      </c>
      <c r="BH186" t="s">
        <v>74</v>
      </c>
      <c r="BI186">
        <v>15</v>
      </c>
      <c r="BJ186" t="s">
        <v>3774</v>
      </c>
      <c r="BK186" t="s">
        <v>98</v>
      </c>
      <c r="BL186" t="s">
        <v>3774</v>
      </c>
      <c r="BM186" t="s">
        <v>3775</v>
      </c>
      <c r="BN186">
        <v>23051706</v>
      </c>
      <c r="BO186" t="s">
        <v>3409</v>
      </c>
      <c r="BP186" t="s">
        <v>74</v>
      </c>
      <c r="BQ186" t="s">
        <v>74</v>
      </c>
      <c r="BR186" t="s">
        <v>101</v>
      </c>
      <c r="BS186" t="s">
        <v>3776</v>
      </c>
      <c r="BT186" t="str">
        <f>HYPERLINK("https%3A%2F%2Fwww.webofscience.com%2Fwos%2Fwoscc%2Ffull-record%2FWOS:000314645800001","View Full Record in Web of Science")</f>
        <v>View Full Record in Web of Science</v>
      </c>
    </row>
    <row r="187" spans="1:72" x14ac:dyDescent="0.15">
      <c r="A187" t="s">
        <v>72</v>
      </c>
      <c r="B187" t="s">
        <v>3777</v>
      </c>
      <c r="C187" t="s">
        <v>74</v>
      </c>
      <c r="D187" t="s">
        <v>74</v>
      </c>
      <c r="E187" t="s">
        <v>74</v>
      </c>
      <c r="F187" t="s">
        <v>3778</v>
      </c>
      <c r="G187" t="s">
        <v>74</v>
      </c>
      <c r="H187" t="s">
        <v>74</v>
      </c>
      <c r="I187" t="s">
        <v>3779</v>
      </c>
      <c r="J187" t="s">
        <v>3733</v>
      </c>
      <c r="K187" t="s">
        <v>74</v>
      </c>
      <c r="L187" t="s">
        <v>74</v>
      </c>
      <c r="M187" t="s">
        <v>78</v>
      </c>
      <c r="N187" t="s">
        <v>79</v>
      </c>
      <c r="O187" t="s">
        <v>74</v>
      </c>
      <c r="P187" t="s">
        <v>74</v>
      </c>
      <c r="Q187" t="s">
        <v>74</v>
      </c>
      <c r="R187" t="s">
        <v>74</v>
      </c>
      <c r="S187" t="s">
        <v>74</v>
      </c>
      <c r="T187" t="s">
        <v>74</v>
      </c>
      <c r="U187" t="s">
        <v>3780</v>
      </c>
      <c r="V187" t="s">
        <v>3781</v>
      </c>
      <c r="W187" t="s">
        <v>3782</v>
      </c>
      <c r="X187" t="s">
        <v>3783</v>
      </c>
      <c r="Y187" t="s">
        <v>3784</v>
      </c>
      <c r="Z187" t="s">
        <v>3785</v>
      </c>
      <c r="AA187" t="s">
        <v>3786</v>
      </c>
      <c r="AB187" t="s">
        <v>3787</v>
      </c>
      <c r="AC187" t="s">
        <v>3788</v>
      </c>
      <c r="AD187" t="s">
        <v>3789</v>
      </c>
      <c r="AE187" t="s">
        <v>3790</v>
      </c>
      <c r="AF187" t="s">
        <v>74</v>
      </c>
      <c r="AG187">
        <v>57</v>
      </c>
      <c r="AH187">
        <v>37</v>
      </c>
      <c r="AI187">
        <v>40</v>
      </c>
      <c r="AJ187">
        <v>1</v>
      </c>
      <c r="AK187">
        <v>69</v>
      </c>
      <c r="AL187" t="s">
        <v>118</v>
      </c>
      <c r="AM187" t="s">
        <v>119</v>
      </c>
      <c r="AN187" t="s">
        <v>120</v>
      </c>
      <c r="AO187" t="s">
        <v>3745</v>
      </c>
      <c r="AP187" t="s">
        <v>3746</v>
      </c>
      <c r="AQ187" t="s">
        <v>74</v>
      </c>
      <c r="AR187" t="s">
        <v>3733</v>
      </c>
      <c r="AS187" t="s">
        <v>3747</v>
      </c>
      <c r="AT187" t="s">
        <v>3772</v>
      </c>
      <c r="AU187">
        <v>2012</v>
      </c>
      <c r="AV187">
        <v>27</v>
      </c>
      <c r="AW187" t="s">
        <v>74</v>
      </c>
      <c r="AX187" t="s">
        <v>74</v>
      </c>
      <c r="AY187" t="s">
        <v>74</v>
      </c>
      <c r="AZ187" t="s">
        <v>74</v>
      </c>
      <c r="BA187" t="s">
        <v>74</v>
      </c>
      <c r="BB187" t="s">
        <v>74</v>
      </c>
      <c r="BC187" t="s">
        <v>74</v>
      </c>
      <c r="BD187" t="s">
        <v>3791</v>
      </c>
      <c r="BE187" t="s">
        <v>3792</v>
      </c>
      <c r="BF187" t="str">
        <f>HYPERLINK("http://dx.doi.org/10.1029/2012PA002345","http://dx.doi.org/10.1029/2012PA002345")</f>
        <v>http://dx.doi.org/10.1029/2012PA002345</v>
      </c>
      <c r="BG187" t="s">
        <v>74</v>
      </c>
      <c r="BH187" t="s">
        <v>74</v>
      </c>
      <c r="BI187">
        <v>9</v>
      </c>
      <c r="BJ187" t="s">
        <v>3750</v>
      </c>
      <c r="BK187" t="s">
        <v>98</v>
      </c>
      <c r="BL187" t="s">
        <v>3751</v>
      </c>
      <c r="BM187" t="s">
        <v>3793</v>
      </c>
      <c r="BN187" t="s">
        <v>74</v>
      </c>
      <c r="BO187" t="s">
        <v>1458</v>
      </c>
      <c r="BP187" t="s">
        <v>74</v>
      </c>
      <c r="BQ187" t="s">
        <v>74</v>
      </c>
      <c r="BR187" t="s">
        <v>101</v>
      </c>
      <c r="BS187" t="s">
        <v>3794</v>
      </c>
      <c r="BT187" t="str">
        <f>HYPERLINK("https%3A%2F%2Fwww.webofscience.com%2Fwos%2Fwoscc%2Ffull-record%2FWOS:000309840200001","View Full Record in Web of Science")</f>
        <v>View Full Record in Web of Science</v>
      </c>
    </row>
    <row r="188" spans="1:72" x14ac:dyDescent="0.15">
      <c r="A188" t="s">
        <v>72</v>
      </c>
      <c r="B188" t="s">
        <v>3795</v>
      </c>
      <c r="C188" t="s">
        <v>74</v>
      </c>
      <c r="D188" t="s">
        <v>74</v>
      </c>
      <c r="E188" t="s">
        <v>74</v>
      </c>
      <c r="F188" t="s">
        <v>3796</v>
      </c>
      <c r="G188" t="s">
        <v>74</v>
      </c>
      <c r="H188" t="s">
        <v>74</v>
      </c>
      <c r="I188" t="s">
        <v>3797</v>
      </c>
      <c r="J188" t="s">
        <v>444</v>
      </c>
      <c r="K188" t="s">
        <v>74</v>
      </c>
      <c r="L188" t="s">
        <v>74</v>
      </c>
      <c r="M188" t="s">
        <v>78</v>
      </c>
      <c r="N188" t="s">
        <v>79</v>
      </c>
      <c r="O188" t="s">
        <v>74</v>
      </c>
      <c r="P188" t="s">
        <v>74</v>
      </c>
      <c r="Q188" t="s">
        <v>74</v>
      </c>
      <c r="R188" t="s">
        <v>74</v>
      </c>
      <c r="S188" t="s">
        <v>74</v>
      </c>
      <c r="T188" t="s">
        <v>74</v>
      </c>
      <c r="U188" t="s">
        <v>3798</v>
      </c>
      <c r="V188" t="s">
        <v>3799</v>
      </c>
      <c r="W188" t="s">
        <v>3800</v>
      </c>
      <c r="X188" t="s">
        <v>636</v>
      </c>
      <c r="Y188" t="s">
        <v>3801</v>
      </c>
      <c r="Z188" t="s">
        <v>3802</v>
      </c>
      <c r="AA188" t="s">
        <v>3803</v>
      </c>
      <c r="AB188" t="s">
        <v>3804</v>
      </c>
      <c r="AC188" t="s">
        <v>3805</v>
      </c>
      <c r="AD188" t="s">
        <v>2296</v>
      </c>
      <c r="AE188" t="s">
        <v>74</v>
      </c>
      <c r="AF188" t="s">
        <v>74</v>
      </c>
      <c r="AG188">
        <v>20</v>
      </c>
      <c r="AH188">
        <v>31</v>
      </c>
      <c r="AI188">
        <v>32</v>
      </c>
      <c r="AJ188">
        <v>0</v>
      </c>
      <c r="AK188">
        <v>22</v>
      </c>
      <c r="AL188" t="s">
        <v>118</v>
      </c>
      <c r="AM188" t="s">
        <v>119</v>
      </c>
      <c r="AN188" t="s">
        <v>120</v>
      </c>
      <c r="AO188" t="s">
        <v>454</v>
      </c>
      <c r="AP188" t="s">
        <v>455</v>
      </c>
      <c r="AQ188" t="s">
        <v>74</v>
      </c>
      <c r="AR188" t="s">
        <v>456</v>
      </c>
      <c r="AS188" t="s">
        <v>457</v>
      </c>
      <c r="AT188" t="s">
        <v>3772</v>
      </c>
      <c r="AU188">
        <v>2012</v>
      </c>
      <c r="AV188">
        <v>39</v>
      </c>
      <c r="AW188" t="s">
        <v>74</v>
      </c>
      <c r="AX188" t="s">
        <v>74</v>
      </c>
      <c r="AY188" t="s">
        <v>74</v>
      </c>
      <c r="AZ188" t="s">
        <v>74</v>
      </c>
      <c r="BA188" t="s">
        <v>74</v>
      </c>
      <c r="BB188" t="s">
        <v>74</v>
      </c>
      <c r="BC188" t="s">
        <v>74</v>
      </c>
      <c r="BD188" t="s">
        <v>3806</v>
      </c>
      <c r="BE188" t="s">
        <v>3807</v>
      </c>
      <c r="BF188" t="str">
        <f>HYPERLINK("http://dx.doi.org/10.1029/2012GL053187","http://dx.doi.org/10.1029/2012GL053187")</f>
        <v>http://dx.doi.org/10.1029/2012GL053187</v>
      </c>
      <c r="BG188" t="s">
        <v>74</v>
      </c>
      <c r="BH188" t="s">
        <v>74</v>
      </c>
      <c r="BI188">
        <v>6</v>
      </c>
      <c r="BJ188" t="s">
        <v>461</v>
      </c>
      <c r="BK188" t="s">
        <v>98</v>
      </c>
      <c r="BL188" t="s">
        <v>462</v>
      </c>
      <c r="BM188" t="s">
        <v>3808</v>
      </c>
      <c r="BN188" t="s">
        <v>74</v>
      </c>
      <c r="BO188" t="s">
        <v>464</v>
      </c>
      <c r="BP188" t="s">
        <v>74</v>
      </c>
      <c r="BQ188" t="s">
        <v>74</v>
      </c>
      <c r="BR188" t="s">
        <v>101</v>
      </c>
      <c r="BS188" t="s">
        <v>3809</v>
      </c>
      <c r="BT188" t="str">
        <f>HYPERLINK("https%3A%2F%2Fwww.webofscience.com%2Fwos%2Fwoscc%2Ffull-record%2FWOS:000309837300003","View Full Record in Web of Science")</f>
        <v>View Full Record in Web of Science</v>
      </c>
    </row>
    <row r="189" spans="1:72" x14ac:dyDescent="0.15">
      <c r="A189" t="s">
        <v>72</v>
      </c>
      <c r="B189" t="s">
        <v>3810</v>
      </c>
      <c r="C189" t="s">
        <v>74</v>
      </c>
      <c r="D189" t="s">
        <v>74</v>
      </c>
      <c r="E189" t="s">
        <v>74</v>
      </c>
      <c r="F189" t="s">
        <v>3811</v>
      </c>
      <c r="G189" t="s">
        <v>74</v>
      </c>
      <c r="H189" t="s">
        <v>74</v>
      </c>
      <c r="I189" t="s">
        <v>3812</v>
      </c>
      <c r="J189" t="s">
        <v>551</v>
      </c>
      <c r="K189" t="s">
        <v>74</v>
      </c>
      <c r="L189" t="s">
        <v>74</v>
      </c>
      <c r="M189" t="s">
        <v>78</v>
      </c>
      <c r="N189" t="s">
        <v>79</v>
      </c>
      <c r="O189" t="s">
        <v>74</v>
      </c>
      <c r="P189" t="s">
        <v>74</v>
      </c>
      <c r="Q189" t="s">
        <v>74</v>
      </c>
      <c r="R189" t="s">
        <v>74</v>
      </c>
      <c r="S189" t="s">
        <v>74</v>
      </c>
      <c r="T189" t="s">
        <v>74</v>
      </c>
      <c r="U189" t="s">
        <v>3813</v>
      </c>
      <c r="V189" t="s">
        <v>3814</v>
      </c>
      <c r="W189" t="s">
        <v>3815</v>
      </c>
      <c r="X189" t="s">
        <v>3816</v>
      </c>
      <c r="Y189" t="s">
        <v>3817</v>
      </c>
      <c r="Z189" t="s">
        <v>3818</v>
      </c>
      <c r="AA189" t="s">
        <v>3819</v>
      </c>
      <c r="AB189" t="s">
        <v>3820</v>
      </c>
      <c r="AC189" t="s">
        <v>74</v>
      </c>
      <c r="AD189" t="s">
        <v>74</v>
      </c>
      <c r="AE189" t="s">
        <v>74</v>
      </c>
      <c r="AF189" t="s">
        <v>74</v>
      </c>
      <c r="AG189">
        <v>40</v>
      </c>
      <c r="AH189">
        <v>303</v>
      </c>
      <c r="AI189">
        <v>327</v>
      </c>
      <c r="AJ189">
        <v>4</v>
      </c>
      <c r="AK189">
        <v>115</v>
      </c>
      <c r="AL189" t="s">
        <v>118</v>
      </c>
      <c r="AM189" t="s">
        <v>119</v>
      </c>
      <c r="AN189" t="s">
        <v>120</v>
      </c>
      <c r="AO189" t="s">
        <v>563</v>
      </c>
      <c r="AP189" t="s">
        <v>564</v>
      </c>
      <c r="AQ189" t="s">
        <v>74</v>
      </c>
      <c r="AR189" t="s">
        <v>565</v>
      </c>
      <c r="AS189" t="s">
        <v>566</v>
      </c>
      <c r="AT189" t="s">
        <v>3772</v>
      </c>
      <c r="AU189">
        <v>2012</v>
      </c>
      <c r="AV189">
        <v>117</v>
      </c>
      <c r="AW189" t="s">
        <v>74</v>
      </c>
      <c r="AX189" t="s">
        <v>74</v>
      </c>
      <c r="AY189" t="s">
        <v>74</v>
      </c>
      <c r="AZ189" t="s">
        <v>74</v>
      </c>
      <c r="BA189" t="s">
        <v>74</v>
      </c>
      <c r="BB189" t="s">
        <v>74</v>
      </c>
      <c r="BC189" t="s">
        <v>74</v>
      </c>
      <c r="BD189" t="s">
        <v>3821</v>
      </c>
      <c r="BE189" t="s">
        <v>3822</v>
      </c>
      <c r="BF189" t="str">
        <f>HYPERLINK("http://dx.doi.org/10.1029/2012JF002523","http://dx.doi.org/10.1029/2012JF002523")</f>
        <v>http://dx.doi.org/10.1029/2012JF002523</v>
      </c>
      <c r="BG189" t="s">
        <v>74</v>
      </c>
      <c r="BH189" t="s">
        <v>74</v>
      </c>
      <c r="BI189">
        <v>10</v>
      </c>
      <c r="BJ189" t="s">
        <v>461</v>
      </c>
      <c r="BK189" t="s">
        <v>98</v>
      </c>
      <c r="BL189" t="s">
        <v>462</v>
      </c>
      <c r="BM189" t="s">
        <v>3823</v>
      </c>
      <c r="BN189" t="s">
        <v>74</v>
      </c>
      <c r="BO189" t="s">
        <v>1287</v>
      </c>
      <c r="BP189" t="s">
        <v>74</v>
      </c>
      <c r="BQ189" t="s">
        <v>74</v>
      </c>
      <c r="BR189" t="s">
        <v>101</v>
      </c>
      <c r="BS189" t="s">
        <v>3824</v>
      </c>
      <c r="BT189" t="str">
        <f>HYPERLINK("https%3A%2F%2Fwww.webofscience.com%2Fwos%2Fwoscc%2Ffull-record%2FWOS:000309839800002","View Full Record in Web of Science")</f>
        <v>View Full Record in Web of Science</v>
      </c>
    </row>
    <row r="190" spans="1:72" x14ac:dyDescent="0.15">
      <c r="A190" t="s">
        <v>72</v>
      </c>
      <c r="B190" t="s">
        <v>3825</v>
      </c>
      <c r="C190" t="s">
        <v>74</v>
      </c>
      <c r="D190" t="s">
        <v>74</v>
      </c>
      <c r="E190" t="s">
        <v>74</v>
      </c>
      <c r="F190" t="s">
        <v>3826</v>
      </c>
      <c r="G190" t="s">
        <v>74</v>
      </c>
      <c r="H190" t="s">
        <v>74</v>
      </c>
      <c r="I190" t="s">
        <v>3827</v>
      </c>
      <c r="J190" t="s">
        <v>551</v>
      </c>
      <c r="K190" t="s">
        <v>74</v>
      </c>
      <c r="L190" t="s">
        <v>74</v>
      </c>
      <c r="M190" t="s">
        <v>78</v>
      </c>
      <c r="N190" t="s">
        <v>79</v>
      </c>
      <c r="O190" t="s">
        <v>74</v>
      </c>
      <c r="P190" t="s">
        <v>74</v>
      </c>
      <c r="Q190" t="s">
        <v>74</v>
      </c>
      <c r="R190" t="s">
        <v>74</v>
      </c>
      <c r="S190" t="s">
        <v>74</v>
      </c>
      <c r="T190" t="s">
        <v>74</v>
      </c>
      <c r="U190" t="s">
        <v>3828</v>
      </c>
      <c r="V190" t="s">
        <v>3829</v>
      </c>
      <c r="W190" t="s">
        <v>3830</v>
      </c>
      <c r="X190" t="s">
        <v>3831</v>
      </c>
      <c r="Y190" t="s">
        <v>3832</v>
      </c>
      <c r="Z190" t="s">
        <v>3833</v>
      </c>
      <c r="AA190" t="s">
        <v>3834</v>
      </c>
      <c r="AB190" t="s">
        <v>3835</v>
      </c>
      <c r="AC190" t="s">
        <v>3836</v>
      </c>
      <c r="AD190" t="s">
        <v>3837</v>
      </c>
      <c r="AE190" t="s">
        <v>3838</v>
      </c>
      <c r="AF190" t="s">
        <v>74</v>
      </c>
      <c r="AG190">
        <v>69</v>
      </c>
      <c r="AH190">
        <v>19</v>
      </c>
      <c r="AI190">
        <v>19</v>
      </c>
      <c r="AJ190">
        <v>0</v>
      </c>
      <c r="AK190">
        <v>18</v>
      </c>
      <c r="AL190" t="s">
        <v>118</v>
      </c>
      <c r="AM190" t="s">
        <v>119</v>
      </c>
      <c r="AN190" t="s">
        <v>120</v>
      </c>
      <c r="AO190" t="s">
        <v>563</v>
      </c>
      <c r="AP190" t="s">
        <v>564</v>
      </c>
      <c r="AQ190" t="s">
        <v>74</v>
      </c>
      <c r="AR190" t="s">
        <v>565</v>
      </c>
      <c r="AS190" t="s">
        <v>566</v>
      </c>
      <c r="AT190" t="s">
        <v>3772</v>
      </c>
      <c r="AU190">
        <v>2012</v>
      </c>
      <c r="AV190">
        <v>117</v>
      </c>
      <c r="AW190" t="s">
        <v>74</v>
      </c>
      <c r="AX190" t="s">
        <v>74</v>
      </c>
      <c r="AY190" t="s">
        <v>74</v>
      </c>
      <c r="AZ190" t="s">
        <v>74</v>
      </c>
      <c r="BA190" t="s">
        <v>74</v>
      </c>
      <c r="BB190" t="s">
        <v>74</v>
      </c>
      <c r="BC190" t="s">
        <v>74</v>
      </c>
      <c r="BD190" t="s">
        <v>3839</v>
      </c>
      <c r="BE190" t="s">
        <v>3840</v>
      </c>
      <c r="BF190" t="str">
        <f>HYPERLINK("http://dx.doi.org/10.1029/2011JF002154","http://dx.doi.org/10.1029/2011JF002154")</f>
        <v>http://dx.doi.org/10.1029/2011JF002154</v>
      </c>
      <c r="BG190" t="s">
        <v>74</v>
      </c>
      <c r="BH190" t="s">
        <v>74</v>
      </c>
      <c r="BI190">
        <v>8</v>
      </c>
      <c r="BJ190" t="s">
        <v>461</v>
      </c>
      <c r="BK190" t="s">
        <v>98</v>
      </c>
      <c r="BL190" t="s">
        <v>462</v>
      </c>
      <c r="BM190" t="s">
        <v>3823</v>
      </c>
      <c r="BN190" t="s">
        <v>74</v>
      </c>
      <c r="BO190" t="s">
        <v>1458</v>
      </c>
      <c r="BP190" t="s">
        <v>74</v>
      </c>
      <c r="BQ190" t="s">
        <v>74</v>
      </c>
      <c r="BR190" t="s">
        <v>101</v>
      </c>
      <c r="BS190" t="s">
        <v>3841</v>
      </c>
      <c r="BT190" t="str">
        <f>HYPERLINK("https%3A%2F%2Fwww.webofscience.com%2Fwos%2Fwoscc%2Ffull-record%2FWOS:000309839800001","View Full Record in Web of Science")</f>
        <v>View Full Record in Web of Science</v>
      </c>
    </row>
    <row r="191" spans="1:72" x14ac:dyDescent="0.15">
      <c r="A191" t="s">
        <v>72</v>
      </c>
      <c r="B191" t="s">
        <v>3842</v>
      </c>
      <c r="C191" t="s">
        <v>74</v>
      </c>
      <c r="D191" t="s">
        <v>74</v>
      </c>
      <c r="E191" t="s">
        <v>74</v>
      </c>
      <c r="F191" t="s">
        <v>3843</v>
      </c>
      <c r="G191" t="s">
        <v>74</v>
      </c>
      <c r="H191" t="s">
        <v>74</v>
      </c>
      <c r="I191" t="s">
        <v>3844</v>
      </c>
      <c r="J191" t="s">
        <v>3207</v>
      </c>
      <c r="K191" t="s">
        <v>74</v>
      </c>
      <c r="L191" t="s">
        <v>74</v>
      </c>
      <c r="M191" t="s">
        <v>78</v>
      </c>
      <c r="N191" t="s">
        <v>79</v>
      </c>
      <c r="O191" t="s">
        <v>74</v>
      </c>
      <c r="P191" t="s">
        <v>74</v>
      </c>
      <c r="Q191" t="s">
        <v>74</v>
      </c>
      <c r="R191" t="s">
        <v>74</v>
      </c>
      <c r="S191" t="s">
        <v>74</v>
      </c>
      <c r="T191" t="s">
        <v>74</v>
      </c>
      <c r="U191" t="s">
        <v>3845</v>
      </c>
      <c r="V191" t="s">
        <v>3846</v>
      </c>
      <c r="W191" t="s">
        <v>3847</v>
      </c>
      <c r="X191" t="s">
        <v>761</v>
      </c>
      <c r="Y191" t="s">
        <v>3848</v>
      </c>
      <c r="Z191" t="s">
        <v>3849</v>
      </c>
      <c r="AA191" t="s">
        <v>74</v>
      </c>
      <c r="AB191" t="s">
        <v>3478</v>
      </c>
      <c r="AC191" t="s">
        <v>3479</v>
      </c>
      <c r="AD191" t="s">
        <v>3480</v>
      </c>
      <c r="AE191" t="s">
        <v>3850</v>
      </c>
      <c r="AF191" t="s">
        <v>74</v>
      </c>
      <c r="AG191">
        <v>31</v>
      </c>
      <c r="AH191">
        <v>19</v>
      </c>
      <c r="AI191">
        <v>19</v>
      </c>
      <c r="AJ191">
        <v>0</v>
      </c>
      <c r="AK191">
        <v>8</v>
      </c>
      <c r="AL191" t="s">
        <v>118</v>
      </c>
      <c r="AM191" t="s">
        <v>119</v>
      </c>
      <c r="AN191" t="s">
        <v>120</v>
      </c>
      <c r="AO191" t="s">
        <v>3219</v>
      </c>
      <c r="AP191" t="s">
        <v>3220</v>
      </c>
      <c r="AQ191" t="s">
        <v>74</v>
      </c>
      <c r="AR191" t="s">
        <v>3221</v>
      </c>
      <c r="AS191" t="s">
        <v>3222</v>
      </c>
      <c r="AT191" t="s">
        <v>3851</v>
      </c>
      <c r="AU191">
        <v>2012</v>
      </c>
      <c r="AV191">
        <v>117</v>
      </c>
      <c r="AW191" t="s">
        <v>74</v>
      </c>
      <c r="AX191" t="s">
        <v>74</v>
      </c>
      <c r="AY191" t="s">
        <v>74</v>
      </c>
      <c r="AZ191" t="s">
        <v>74</v>
      </c>
      <c r="BA191" t="s">
        <v>74</v>
      </c>
      <c r="BB191" t="s">
        <v>74</v>
      </c>
      <c r="BC191" t="s">
        <v>74</v>
      </c>
      <c r="BD191" t="s">
        <v>3852</v>
      </c>
      <c r="BE191" t="s">
        <v>3853</v>
      </c>
      <c r="BF191" t="str">
        <f>HYPERLINK("http://dx.doi.org/10.1029/2012JD018016","http://dx.doi.org/10.1029/2012JD018016")</f>
        <v>http://dx.doi.org/10.1029/2012JD018016</v>
      </c>
      <c r="BG191" t="s">
        <v>74</v>
      </c>
      <c r="BH191" t="s">
        <v>74</v>
      </c>
      <c r="BI191">
        <v>11</v>
      </c>
      <c r="BJ191" t="s">
        <v>378</v>
      </c>
      <c r="BK191" t="s">
        <v>98</v>
      </c>
      <c r="BL191" t="s">
        <v>378</v>
      </c>
      <c r="BM191" t="s">
        <v>3854</v>
      </c>
      <c r="BN191" t="s">
        <v>74</v>
      </c>
      <c r="BO191" t="s">
        <v>1499</v>
      </c>
      <c r="BP191" t="s">
        <v>74</v>
      </c>
      <c r="BQ191" t="s">
        <v>74</v>
      </c>
      <c r="BR191" t="s">
        <v>101</v>
      </c>
      <c r="BS191" t="s">
        <v>3855</v>
      </c>
      <c r="BT191" t="str">
        <f>HYPERLINK("https%3A%2F%2Fwww.webofscience.com%2Fwos%2Fwoscc%2Ffull-record%2FWOS:000309829500003","View Full Record in Web of Science")</f>
        <v>View Full Record in Web of Science</v>
      </c>
    </row>
    <row r="192" spans="1:72" x14ac:dyDescent="0.15">
      <c r="A192" t="s">
        <v>72</v>
      </c>
      <c r="B192" t="s">
        <v>3856</v>
      </c>
      <c r="C192" t="s">
        <v>74</v>
      </c>
      <c r="D192" t="s">
        <v>74</v>
      </c>
      <c r="E192" t="s">
        <v>74</v>
      </c>
      <c r="F192" t="s">
        <v>3857</v>
      </c>
      <c r="G192" t="s">
        <v>74</v>
      </c>
      <c r="H192" t="s">
        <v>74</v>
      </c>
      <c r="I192" t="s">
        <v>3858</v>
      </c>
      <c r="J192" t="s">
        <v>3859</v>
      </c>
      <c r="K192" t="s">
        <v>74</v>
      </c>
      <c r="L192" t="s">
        <v>74</v>
      </c>
      <c r="M192" t="s">
        <v>78</v>
      </c>
      <c r="N192" t="s">
        <v>79</v>
      </c>
      <c r="O192" t="s">
        <v>74</v>
      </c>
      <c r="P192" t="s">
        <v>74</v>
      </c>
      <c r="Q192" t="s">
        <v>74</v>
      </c>
      <c r="R192" t="s">
        <v>74</v>
      </c>
      <c r="S192" t="s">
        <v>74</v>
      </c>
      <c r="T192" t="s">
        <v>3860</v>
      </c>
      <c r="U192" t="s">
        <v>3861</v>
      </c>
      <c r="V192" t="s">
        <v>3862</v>
      </c>
      <c r="W192" t="s">
        <v>3863</v>
      </c>
      <c r="X192" t="s">
        <v>3864</v>
      </c>
      <c r="Y192" t="s">
        <v>3865</v>
      </c>
      <c r="Z192" t="s">
        <v>3866</v>
      </c>
      <c r="AA192" t="s">
        <v>3867</v>
      </c>
      <c r="AB192" t="s">
        <v>3868</v>
      </c>
      <c r="AC192" t="s">
        <v>3869</v>
      </c>
      <c r="AD192" t="s">
        <v>3869</v>
      </c>
      <c r="AE192" t="s">
        <v>3870</v>
      </c>
      <c r="AF192" t="s">
        <v>74</v>
      </c>
      <c r="AG192">
        <v>38</v>
      </c>
      <c r="AH192">
        <v>5</v>
      </c>
      <c r="AI192">
        <v>5</v>
      </c>
      <c r="AJ192">
        <v>0</v>
      </c>
      <c r="AK192">
        <v>12</v>
      </c>
      <c r="AL192" t="s">
        <v>3871</v>
      </c>
      <c r="AM192" t="s">
        <v>3872</v>
      </c>
      <c r="AN192" t="s">
        <v>3873</v>
      </c>
      <c r="AO192" t="s">
        <v>3874</v>
      </c>
      <c r="AP192" t="s">
        <v>74</v>
      </c>
      <c r="AQ192" t="s">
        <v>74</v>
      </c>
      <c r="AR192" t="s">
        <v>3875</v>
      </c>
      <c r="AS192" t="s">
        <v>3876</v>
      </c>
      <c r="AT192" t="s">
        <v>3851</v>
      </c>
      <c r="AU192">
        <v>2012</v>
      </c>
      <c r="AV192">
        <v>103</v>
      </c>
      <c r="AW192">
        <v>7</v>
      </c>
      <c r="AX192" t="s">
        <v>74</v>
      </c>
      <c r="AY192" t="s">
        <v>74</v>
      </c>
      <c r="AZ192" t="s">
        <v>74</v>
      </c>
      <c r="BA192" t="s">
        <v>74</v>
      </c>
      <c r="BB192">
        <v>803</v>
      </c>
      <c r="BC192">
        <v>809</v>
      </c>
      <c r="BD192" t="s">
        <v>74</v>
      </c>
      <c r="BE192" t="s">
        <v>74</v>
      </c>
      <c r="BF192" t="s">
        <v>74</v>
      </c>
      <c r="BG192" t="s">
        <v>74</v>
      </c>
      <c r="BH192" t="s">
        <v>74</v>
      </c>
      <c r="BI192">
        <v>7</v>
      </c>
      <c r="BJ192" t="s">
        <v>153</v>
      </c>
      <c r="BK192" t="s">
        <v>98</v>
      </c>
      <c r="BL192" t="s">
        <v>154</v>
      </c>
      <c r="BM192" t="s">
        <v>3877</v>
      </c>
      <c r="BN192" t="s">
        <v>74</v>
      </c>
      <c r="BO192" t="s">
        <v>74</v>
      </c>
      <c r="BP192" t="s">
        <v>74</v>
      </c>
      <c r="BQ192" t="s">
        <v>74</v>
      </c>
      <c r="BR192" t="s">
        <v>101</v>
      </c>
      <c r="BS192" t="s">
        <v>3878</v>
      </c>
      <c r="BT192" t="str">
        <f>HYPERLINK("https%3A%2F%2Fwww.webofscience.com%2Fwos%2Fwoscc%2Ffull-record%2FWOS:000310725200019","View Full Record in Web of Science")</f>
        <v>View Full Record in Web of Science</v>
      </c>
    </row>
    <row r="193" spans="1:72" x14ac:dyDescent="0.15">
      <c r="A193" t="s">
        <v>72</v>
      </c>
      <c r="B193" t="s">
        <v>3879</v>
      </c>
      <c r="C193" t="s">
        <v>74</v>
      </c>
      <c r="D193" t="s">
        <v>74</v>
      </c>
      <c r="E193" t="s">
        <v>74</v>
      </c>
      <c r="F193" t="s">
        <v>3880</v>
      </c>
      <c r="G193" t="s">
        <v>74</v>
      </c>
      <c r="H193" t="s">
        <v>74</v>
      </c>
      <c r="I193" t="s">
        <v>3881</v>
      </c>
      <c r="J193" t="s">
        <v>3882</v>
      </c>
      <c r="K193" t="s">
        <v>74</v>
      </c>
      <c r="L193" t="s">
        <v>74</v>
      </c>
      <c r="M193" t="s">
        <v>78</v>
      </c>
      <c r="N193" t="s">
        <v>79</v>
      </c>
      <c r="O193" t="s">
        <v>74</v>
      </c>
      <c r="P193" t="s">
        <v>74</v>
      </c>
      <c r="Q193" t="s">
        <v>74</v>
      </c>
      <c r="R193" t="s">
        <v>74</v>
      </c>
      <c r="S193" t="s">
        <v>74</v>
      </c>
      <c r="T193" t="s">
        <v>3883</v>
      </c>
      <c r="U193" t="s">
        <v>3884</v>
      </c>
      <c r="V193" t="s">
        <v>3885</v>
      </c>
      <c r="W193" t="s">
        <v>3886</v>
      </c>
      <c r="X193" t="s">
        <v>3887</v>
      </c>
      <c r="Y193" t="s">
        <v>3888</v>
      </c>
      <c r="Z193" t="s">
        <v>3889</v>
      </c>
      <c r="AA193" t="s">
        <v>3890</v>
      </c>
      <c r="AB193" t="s">
        <v>3891</v>
      </c>
      <c r="AC193" t="s">
        <v>3892</v>
      </c>
      <c r="AD193" t="s">
        <v>3893</v>
      </c>
      <c r="AE193" t="s">
        <v>3894</v>
      </c>
      <c r="AF193" t="s">
        <v>74</v>
      </c>
      <c r="AG193">
        <v>32</v>
      </c>
      <c r="AH193">
        <v>22</v>
      </c>
      <c r="AI193">
        <v>28</v>
      </c>
      <c r="AJ193">
        <v>4</v>
      </c>
      <c r="AK193">
        <v>107</v>
      </c>
      <c r="AL193" t="s">
        <v>259</v>
      </c>
      <c r="AM193" t="s">
        <v>189</v>
      </c>
      <c r="AN193" t="s">
        <v>260</v>
      </c>
      <c r="AO193" t="s">
        <v>3895</v>
      </c>
      <c r="AP193" t="s">
        <v>74</v>
      </c>
      <c r="AQ193" t="s">
        <v>74</v>
      </c>
      <c r="AR193" t="s">
        <v>3882</v>
      </c>
      <c r="AS193" t="s">
        <v>3896</v>
      </c>
      <c r="AT193" t="s">
        <v>3851</v>
      </c>
      <c r="AU193">
        <v>2012</v>
      </c>
      <c r="AV193">
        <v>507</v>
      </c>
      <c r="AW193">
        <v>2</v>
      </c>
      <c r="AX193" t="s">
        <v>74</v>
      </c>
      <c r="AY193" t="s">
        <v>74</v>
      </c>
      <c r="AZ193" t="s">
        <v>74</v>
      </c>
      <c r="BA193" t="s">
        <v>74</v>
      </c>
      <c r="BB193">
        <v>146</v>
      </c>
      <c r="BC193">
        <v>151</v>
      </c>
      <c r="BD193" t="s">
        <v>74</v>
      </c>
      <c r="BE193" t="s">
        <v>3897</v>
      </c>
      <c r="BF193" t="str">
        <f>HYPERLINK("http://dx.doi.org/10.1016/j.gene.2012.07.037","http://dx.doi.org/10.1016/j.gene.2012.07.037")</f>
        <v>http://dx.doi.org/10.1016/j.gene.2012.07.037</v>
      </c>
      <c r="BG193" t="s">
        <v>74</v>
      </c>
      <c r="BH193" t="s">
        <v>74</v>
      </c>
      <c r="BI193">
        <v>6</v>
      </c>
      <c r="BJ193" t="s">
        <v>3898</v>
      </c>
      <c r="BK193" t="s">
        <v>98</v>
      </c>
      <c r="BL193" t="s">
        <v>3898</v>
      </c>
      <c r="BM193" t="s">
        <v>3899</v>
      </c>
      <c r="BN193">
        <v>22850272</v>
      </c>
      <c r="BO193" t="s">
        <v>74</v>
      </c>
      <c r="BP193" t="s">
        <v>74</v>
      </c>
      <c r="BQ193" t="s">
        <v>74</v>
      </c>
      <c r="BR193" t="s">
        <v>101</v>
      </c>
      <c r="BS193" t="s">
        <v>3900</v>
      </c>
      <c r="BT193" t="str">
        <f>HYPERLINK("https%3A%2F%2Fwww.webofscience.com%2Fwos%2Fwoscc%2Ffull-record%2FWOS:000308515000008","View Full Record in Web of Science")</f>
        <v>View Full Record in Web of Science</v>
      </c>
    </row>
    <row r="194" spans="1:72" x14ac:dyDescent="0.15">
      <c r="A194" t="s">
        <v>72</v>
      </c>
      <c r="B194" t="s">
        <v>3901</v>
      </c>
      <c r="C194" t="s">
        <v>74</v>
      </c>
      <c r="D194" t="s">
        <v>74</v>
      </c>
      <c r="E194" t="s">
        <v>74</v>
      </c>
      <c r="F194" t="s">
        <v>3902</v>
      </c>
      <c r="G194" t="s">
        <v>74</v>
      </c>
      <c r="H194" t="s">
        <v>74</v>
      </c>
      <c r="I194" t="s">
        <v>3903</v>
      </c>
      <c r="J194" t="s">
        <v>444</v>
      </c>
      <c r="K194" t="s">
        <v>74</v>
      </c>
      <c r="L194" t="s">
        <v>74</v>
      </c>
      <c r="M194" t="s">
        <v>78</v>
      </c>
      <c r="N194" t="s">
        <v>79</v>
      </c>
      <c r="O194" t="s">
        <v>74</v>
      </c>
      <c r="P194" t="s">
        <v>74</v>
      </c>
      <c r="Q194" t="s">
        <v>74</v>
      </c>
      <c r="R194" t="s">
        <v>74</v>
      </c>
      <c r="S194" t="s">
        <v>74</v>
      </c>
      <c r="T194" t="s">
        <v>74</v>
      </c>
      <c r="U194" t="s">
        <v>74</v>
      </c>
      <c r="V194" t="s">
        <v>3904</v>
      </c>
      <c r="W194" t="s">
        <v>3905</v>
      </c>
      <c r="X194" t="s">
        <v>3906</v>
      </c>
      <c r="Y194" t="s">
        <v>3907</v>
      </c>
      <c r="Z194" t="s">
        <v>3908</v>
      </c>
      <c r="AA194" t="s">
        <v>3909</v>
      </c>
      <c r="AB194" t="s">
        <v>3910</v>
      </c>
      <c r="AC194" t="s">
        <v>3911</v>
      </c>
      <c r="AD194" t="s">
        <v>3912</v>
      </c>
      <c r="AE194" t="s">
        <v>3913</v>
      </c>
      <c r="AF194" t="s">
        <v>74</v>
      </c>
      <c r="AG194">
        <v>19</v>
      </c>
      <c r="AH194">
        <v>36</v>
      </c>
      <c r="AI194">
        <v>39</v>
      </c>
      <c r="AJ194">
        <v>0</v>
      </c>
      <c r="AK194">
        <v>22</v>
      </c>
      <c r="AL194" t="s">
        <v>118</v>
      </c>
      <c r="AM194" t="s">
        <v>119</v>
      </c>
      <c r="AN194" t="s">
        <v>120</v>
      </c>
      <c r="AO194" t="s">
        <v>454</v>
      </c>
      <c r="AP194" t="s">
        <v>455</v>
      </c>
      <c r="AQ194" t="s">
        <v>74</v>
      </c>
      <c r="AR194" t="s">
        <v>456</v>
      </c>
      <c r="AS194" t="s">
        <v>457</v>
      </c>
      <c r="AT194" t="s">
        <v>3914</v>
      </c>
      <c r="AU194">
        <v>2012</v>
      </c>
      <c r="AV194">
        <v>39</v>
      </c>
      <c r="AW194" t="s">
        <v>74</v>
      </c>
      <c r="AX194" t="s">
        <v>74</v>
      </c>
      <c r="AY194" t="s">
        <v>74</v>
      </c>
      <c r="AZ194" t="s">
        <v>74</v>
      </c>
      <c r="BA194" t="s">
        <v>74</v>
      </c>
      <c r="BB194" t="s">
        <v>74</v>
      </c>
      <c r="BC194" t="s">
        <v>74</v>
      </c>
      <c r="BD194" t="s">
        <v>3915</v>
      </c>
      <c r="BE194" t="s">
        <v>3916</v>
      </c>
      <c r="BF194" t="str">
        <f>HYPERLINK("http://dx.doi.org/10.1029/2012GL052823","http://dx.doi.org/10.1029/2012GL052823")</f>
        <v>http://dx.doi.org/10.1029/2012GL052823</v>
      </c>
      <c r="BG194" t="s">
        <v>74</v>
      </c>
      <c r="BH194" t="s">
        <v>74</v>
      </c>
      <c r="BI194">
        <v>5</v>
      </c>
      <c r="BJ194" t="s">
        <v>461</v>
      </c>
      <c r="BK194" t="s">
        <v>98</v>
      </c>
      <c r="BL194" t="s">
        <v>462</v>
      </c>
      <c r="BM194" t="s">
        <v>3917</v>
      </c>
      <c r="BN194" t="s">
        <v>74</v>
      </c>
      <c r="BO194" t="s">
        <v>129</v>
      </c>
      <c r="BP194" t="s">
        <v>74</v>
      </c>
      <c r="BQ194" t="s">
        <v>74</v>
      </c>
      <c r="BR194" t="s">
        <v>101</v>
      </c>
      <c r="BS194" t="s">
        <v>3918</v>
      </c>
      <c r="BT194" t="str">
        <f>HYPERLINK("https%3A%2F%2Fwww.webofscience.com%2Fwos%2Fwoscc%2Ffull-record%2FWOS:000309836900002","View Full Record in Web of Science")</f>
        <v>View Full Record in Web of Science</v>
      </c>
    </row>
    <row r="195" spans="1:72" x14ac:dyDescent="0.15">
      <c r="A195" t="s">
        <v>72</v>
      </c>
      <c r="B195" t="s">
        <v>3919</v>
      </c>
      <c r="C195" t="s">
        <v>74</v>
      </c>
      <c r="D195" t="s">
        <v>74</v>
      </c>
      <c r="E195" t="s">
        <v>74</v>
      </c>
      <c r="F195" t="s">
        <v>3920</v>
      </c>
      <c r="G195" t="s">
        <v>74</v>
      </c>
      <c r="H195" t="s">
        <v>74</v>
      </c>
      <c r="I195" t="s">
        <v>3921</v>
      </c>
      <c r="J195" t="s">
        <v>782</v>
      </c>
      <c r="K195" t="s">
        <v>74</v>
      </c>
      <c r="L195" t="s">
        <v>74</v>
      </c>
      <c r="M195" t="s">
        <v>78</v>
      </c>
      <c r="N195" t="s">
        <v>3922</v>
      </c>
      <c r="O195" t="s">
        <v>74</v>
      </c>
      <c r="P195" t="s">
        <v>74</v>
      </c>
      <c r="Q195" t="s">
        <v>74</v>
      </c>
      <c r="R195" t="s">
        <v>74</v>
      </c>
      <c r="S195" t="s">
        <v>74</v>
      </c>
      <c r="T195" t="s">
        <v>74</v>
      </c>
      <c r="U195" t="s">
        <v>74</v>
      </c>
      <c r="V195" t="s">
        <v>74</v>
      </c>
      <c r="W195" t="s">
        <v>3923</v>
      </c>
      <c r="X195" t="s">
        <v>3924</v>
      </c>
      <c r="Y195" t="s">
        <v>3925</v>
      </c>
      <c r="Z195" t="s">
        <v>3926</v>
      </c>
      <c r="AA195" t="s">
        <v>3927</v>
      </c>
      <c r="AB195" t="s">
        <v>3928</v>
      </c>
      <c r="AC195" t="s">
        <v>74</v>
      </c>
      <c r="AD195" t="s">
        <v>74</v>
      </c>
      <c r="AE195" t="s">
        <v>74</v>
      </c>
      <c r="AF195" t="s">
        <v>74</v>
      </c>
      <c r="AG195">
        <v>1</v>
      </c>
      <c r="AH195">
        <v>2</v>
      </c>
      <c r="AI195">
        <v>2</v>
      </c>
      <c r="AJ195">
        <v>0</v>
      </c>
      <c r="AK195">
        <v>17</v>
      </c>
      <c r="AL195" t="s">
        <v>89</v>
      </c>
      <c r="AM195" t="s">
        <v>90</v>
      </c>
      <c r="AN195" t="s">
        <v>91</v>
      </c>
      <c r="AO195" t="s">
        <v>795</v>
      </c>
      <c r="AP195" t="s">
        <v>74</v>
      </c>
      <c r="AQ195" t="s">
        <v>74</v>
      </c>
      <c r="AR195" t="s">
        <v>782</v>
      </c>
      <c r="AS195" t="s">
        <v>796</v>
      </c>
      <c r="AT195" t="s">
        <v>3929</v>
      </c>
      <c r="AU195">
        <v>2012</v>
      </c>
      <c r="AV195">
        <v>68</v>
      </c>
      <c r="AW195">
        <v>40</v>
      </c>
      <c r="AX195" t="s">
        <v>74</v>
      </c>
      <c r="AY195" t="s">
        <v>74</v>
      </c>
      <c r="AZ195" t="s">
        <v>74</v>
      </c>
      <c r="BA195" t="s">
        <v>74</v>
      </c>
      <c r="BB195">
        <v>8515</v>
      </c>
      <c r="BC195">
        <v>8515</v>
      </c>
      <c r="BD195" t="s">
        <v>74</v>
      </c>
      <c r="BE195" t="s">
        <v>3930</v>
      </c>
      <c r="BF195" t="str">
        <f>HYPERLINK("http://dx.doi.org/10.1016/j.tet.2012.07.095","http://dx.doi.org/10.1016/j.tet.2012.07.095")</f>
        <v>http://dx.doi.org/10.1016/j.tet.2012.07.095</v>
      </c>
      <c r="BG195" t="s">
        <v>74</v>
      </c>
      <c r="BH195" t="s">
        <v>74</v>
      </c>
      <c r="BI195">
        <v>1</v>
      </c>
      <c r="BJ195" t="s">
        <v>799</v>
      </c>
      <c r="BK195" t="s">
        <v>98</v>
      </c>
      <c r="BL195" t="s">
        <v>801</v>
      </c>
      <c r="BM195" t="s">
        <v>3931</v>
      </c>
      <c r="BN195" t="s">
        <v>74</v>
      </c>
      <c r="BO195" t="s">
        <v>607</v>
      </c>
      <c r="BP195" t="s">
        <v>74</v>
      </c>
      <c r="BQ195" t="s">
        <v>74</v>
      </c>
      <c r="BR195" t="s">
        <v>101</v>
      </c>
      <c r="BS195" t="s">
        <v>3932</v>
      </c>
      <c r="BT195" t="str">
        <f>HYPERLINK("https%3A%2F%2Fwww.webofscience.com%2Fwos%2Fwoscc%2Ffull-record%2FWOS:000308778100018","View Full Record in Web of Science")</f>
        <v>View Full Record in Web of Science</v>
      </c>
    </row>
    <row r="196" spans="1:72" x14ac:dyDescent="0.15">
      <c r="A196" t="s">
        <v>72</v>
      </c>
      <c r="B196" t="s">
        <v>537</v>
      </c>
      <c r="C196" t="s">
        <v>74</v>
      </c>
      <c r="D196" t="s">
        <v>74</v>
      </c>
      <c r="E196" t="s">
        <v>74</v>
      </c>
      <c r="F196" t="s">
        <v>537</v>
      </c>
      <c r="G196" t="s">
        <v>74</v>
      </c>
      <c r="H196" t="s">
        <v>74</v>
      </c>
      <c r="I196" t="s">
        <v>3933</v>
      </c>
      <c r="J196" t="s">
        <v>3934</v>
      </c>
      <c r="K196" t="s">
        <v>74</v>
      </c>
      <c r="L196" t="s">
        <v>74</v>
      </c>
      <c r="M196" t="s">
        <v>78</v>
      </c>
      <c r="N196" t="s">
        <v>2829</v>
      </c>
      <c r="O196" t="s">
        <v>74</v>
      </c>
      <c r="P196" t="s">
        <v>74</v>
      </c>
      <c r="Q196" t="s">
        <v>74</v>
      </c>
      <c r="R196" t="s">
        <v>74</v>
      </c>
      <c r="S196" t="s">
        <v>74</v>
      </c>
      <c r="T196" t="s">
        <v>74</v>
      </c>
      <c r="U196" t="s">
        <v>74</v>
      </c>
      <c r="V196" t="s">
        <v>74</v>
      </c>
      <c r="W196" t="s">
        <v>74</v>
      </c>
      <c r="X196" t="s">
        <v>74</v>
      </c>
      <c r="Y196" t="s">
        <v>74</v>
      </c>
      <c r="Z196" t="s">
        <v>74</v>
      </c>
      <c r="AA196" t="s">
        <v>74</v>
      </c>
      <c r="AB196" t="s">
        <v>74</v>
      </c>
      <c r="AC196" t="s">
        <v>74</v>
      </c>
      <c r="AD196" t="s">
        <v>74</v>
      </c>
      <c r="AE196" t="s">
        <v>74</v>
      </c>
      <c r="AF196" t="s">
        <v>74</v>
      </c>
      <c r="AG196">
        <v>0</v>
      </c>
      <c r="AH196">
        <v>0</v>
      </c>
      <c r="AI196">
        <v>0</v>
      </c>
      <c r="AJ196">
        <v>0</v>
      </c>
      <c r="AK196">
        <v>0</v>
      </c>
      <c r="AL196" t="s">
        <v>3935</v>
      </c>
      <c r="AM196" t="s">
        <v>3936</v>
      </c>
      <c r="AN196" t="s">
        <v>3937</v>
      </c>
      <c r="AO196" t="s">
        <v>3938</v>
      </c>
      <c r="AP196" t="s">
        <v>74</v>
      </c>
      <c r="AQ196" t="s">
        <v>74</v>
      </c>
      <c r="AR196" t="s">
        <v>3939</v>
      </c>
      <c r="AS196" t="s">
        <v>3940</v>
      </c>
      <c r="AT196" t="s">
        <v>3941</v>
      </c>
      <c r="AU196">
        <v>2012</v>
      </c>
      <c r="AV196">
        <v>216</v>
      </c>
      <c r="AW196">
        <v>2885</v>
      </c>
      <c r="AX196" t="s">
        <v>74</v>
      </c>
      <c r="AY196" t="s">
        <v>74</v>
      </c>
      <c r="AZ196" t="s">
        <v>74</v>
      </c>
      <c r="BA196" t="s">
        <v>74</v>
      </c>
      <c r="BB196">
        <v>5</v>
      </c>
      <c r="BC196">
        <v>5</v>
      </c>
      <c r="BD196" t="s">
        <v>74</v>
      </c>
      <c r="BE196" t="s">
        <v>74</v>
      </c>
      <c r="BF196" t="s">
        <v>74</v>
      </c>
      <c r="BG196" t="s">
        <v>74</v>
      </c>
      <c r="BH196" t="s">
        <v>74</v>
      </c>
      <c r="BI196">
        <v>1</v>
      </c>
      <c r="BJ196" t="s">
        <v>153</v>
      </c>
      <c r="BK196" t="s">
        <v>98</v>
      </c>
      <c r="BL196" t="s">
        <v>154</v>
      </c>
      <c r="BM196" t="s">
        <v>3942</v>
      </c>
      <c r="BN196" t="s">
        <v>74</v>
      </c>
      <c r="BO196" t="s">
        <v>74</v>
      </c>
      <c r="BP196" t="s">
        <v>74</v>
      </c>
      <c r="BQ196" t="s">
        <v>74</v>
      </c>
      <c r="BR196" t="s">
        <v>101</v>
      </c>
      <c r="BS196" t="s">
        <v>3943</v>
      </c>
      <c r="BT196" t="str">
        <f>HYPERLINK("https%3A%2F%2Fwww.webofscience.com%2Fwos%2Fwoscc%2Ffull-record%2FWOS:000309852300002","View Full Record in Web of Science")</f>
        <v>View Full Record in Web of Science</v>
      </c>
    </row>
    <row r="197" spans="1:72" x14ac:dyDescent="0.15">
      <c r="A197" t="s">
        <v>72</v>
      </c>
      <c r="B197" t="s">
        <v>3944</v>
      </c>
      <c r="C197" t="s">
        <v>74</v>
      </c>
      <c r="D197" t="s">
        <v>74</v>
      </c>
      <c r="E197" t="s">
        <v>74</v>
      </c>
      <c r="F197" t="s">
        <v>3945</v>
      </c>
      <c r="G197" t="s">
        <v>74</v>
      </c>
      <c r="H197" t="s">
        <v>74</v>
      </c>
      <c r="I197" t="s">
        <v>3946</v>
      </c>
      <c r="J197" t="s">
        <v>3947</v>
      </c>
      <c r="K197" t="s">
        <v>74</v>
      </c>
      <c r="L197" t="s">
        <v>74</v>
      </c>
      <c r="M197" t="s">
        <v>78</v>
      </c>
      <c r="N197" t="s">
        <v>79</v>
      </c>
      <c r="O197" t="s">
        <v>74</v>
      </c>
      <c r="P197" t="s">
        <v>74</v>
      </c>
      <c r="Q197" t="s">
        <v>74</v>
      </c>
      <c r="R197" t="s">
        <v>74</v>
      </c>
      <c r="S197" t="s">
        <v>74</v>
      </c>
      <c r="T197" t="s">
        <v>3948</v>
      </c>
      <c r="U197" t="s">
        <v>3949</v>
      </c>
      <c r="V197" t="s">
        <v>3950</v>
      </c>
      <c r="W197" t="s">
        <v>3951</v>
      </c>
      <c r="X197" t="s">
        <v>3952</v>
      </c>
      <c r="Y197" t="s">
        <v>3953</v>
      </c>
      <c r="Z197" t="s">
        <v>3954</v>
      </c>
      <c r="AA197" t="s">
        <v>3955</v>
      </c>
      <c r="AB197" t="s">
        <v>3956</v>
      </c>
      <c r="AC197" t="s">
        <v>3957</v>
      </c>
      <c r="AD197" t="s">
        <v>3958</v>
      </c>
      <c r="AE197" t="s">
        <v>3959</v>
      </c>
      <c r="AF197" t="s">
        <v>74</v>
      </c>
      <c r="AG197">
        <v>54</v>
      </c>
      <c r="AH197">
        <v>44</v>
      </c>
      <c r="AI197">
        <v>48</v>
      </c>
      <c r="AJ197">
        <v>0</v>
      </c>
      <c r="AK197">
        <v>31</v>
      </c>
      <c r="AL197" t="s">
        <v>1694</v>
      </c>
      <c r="AM197" t="s">
        <v>1695</v>
      </c>
      <c r="AN197" t="s">
        <v>1696</v>
      </c>
      <c r="AO197" t="s">
        <v>74</v>
      </c>
      <c r="AP197" t="s">
        <v>3960</v>
      </c>
      <c r="AQ197" t="s">
        <v>74</v>
      </c>
      <c r="AR197" t="s">
        <v>3961</v>
      </c>
      <c r="AS197" t="s">
        <v>3962</v>
      </c>
      <c r="AT197" t="s">
        <v>3963</v>
      </c>
      <c r="AU197">
        <v>2012</v>
      </c>
      <c r="AV197">
        <v>12</v>
      </c>
      <c r="AW197" t="s">
        <v>74</v>
      </c>
      <c r="AX197" t="s">
        <v>74</v>
      </c>
      <c r="AY197" t="s">
        <v>74</v>
      </c>
      <c r="AZ197" t="s">
        <v>74</v>
      </c>
      <c r="BA197" t="s">
        <v>74</v>
      </c>
      <c r="BB197" t="s">
        <v>74</v>
      </c>
      <c r="BC197" t="s">
        <v>74</v>
      </c>
      <c r="BD197">
        <v>111</v>
      </c>
      <c r="BE197" t="s">
        <v>74</v>
      </c>
      <c r="BF197" t="s">
        <v>74</v>
      </c>
      <c r="BG197" t="s">
        <v>74</v>
      </c>
      <c r="BH197" t="s">
        <v>74</v>
      </c>
      <c r="BI197">
        <v>16</v>
      </c>
      <c r="BJ197" t="s">
        <v>3964</v>
      </c>
      <c r="BK197" t="s">
        <v>98</v>
      </c>
      <c r="BL197" t="s">
        <v>3964</v>
      </c>
      <c r="BM197" t="s">
        <v>3965</v>
      </c>
      <c r="BN197">
        <v>23438196</v>
      </c>
      <c r="BO197" t="s">
        <v>3966</v>
      </c>
      <c r="BP197" t="s">
        <v>74</v>
      </c>
      <c r="BQ197" t="s">
        <v>74</v>
      </c>
      <c r="BR197" t="s">
        <v>101</v>
      </c>
      <c r="BS197" t="s">
        <v>3967</v>
      </c>
      <c r="BT197" t="str">
        <f>HYPERLINK("https%3A%2F%2Fwww.webofscience.com%2Fwos%2Fwoscc%2Ffull-record%2FWOS:000309993000001","View Full Record in Web of Science")</f>
        <v>View Full Record in Web of Science</v>
      </c>
    </row>
    <row r="198" spans="1:72" x14ac:dyDescent="0.15">
      <c r="A198" t="s">
        <v>72</v>
      </c>
      <c r="B198" t="s">
        <v>3968</v>
      </c>
      <c r="C198" t="s">
        <v>74</v>
      </c>
      <c r="D198" t="s">
        <v>74</v>
      </c>
      <c r="E198" t="s">
        <v>74</v>
      </c>
      <c r="F198" t="s">
        <v>3969</v>
      </c>
      <c r="G198" t="s">
        <v>74</v>
      </c>
      <c r="H198" t="s">
        <v>74</v>
      </c>
      <c r="I198" t="s">
        <v>3970</v>
      </c>
      <c r="J198" t="s">
        <v>3304</v>
      </c>
      <c r="K198" t="s">
        <v>74</v>
      </c>
      <c r="L198" t="s">
        <v>74</v>
      </c>
      <c r="M198" t="s">
        <v>78</v>
      </c>
      <c r="N198" t="s">
        <v>79</v>
      </c>
      <c r="O198" t="s">
        <v>74</v>
      </c>
      <c r="P198" t="s">
        <v>74</v>
      </c>
      <c r="Q198" t="s">
        <v>74</v>
      </c>
      <c r="R198" t="s">
        <v>74</v>
      </c>
      <c r="S198" t="s">
        <v>74</v>
      </c>
      <c r="T198" t="s">
        <v>3971</v>
      </c>
      <c r="U198" t="s">
        <v>3972</v>
      </c>
      <c r="V198" t="s">
        <v>3973</v>
      </c>
      <c r="W198" t="s">
        <v>3974</v>
      </c>
      <c r="X198" t="s">
        <v>3762</v>
      </c>
      <c r="Y198" t="s">
        <v>3975</v>
      </c>
      <c r="Z198" t="s">
        <v>3976</v>
      </c>
      <c r="AA198" t="s">
        <v>3977</v>
      </c>
      <c r="AB198" t="s">
        <v>3978</v>
      </c>
      <c r="AC198" t="s">
        <v>3979</v>
      </c>
      <c r="AD198" t="s">
        <v>3980</v>
      </c>
      <c r="AE198" t="s">
        <v>3981</v>
      </c>
      <c r="AF198" t="s">
        <v>74</v>
      </c>
      <c r="AG198">
        <v>65</v>
      </c>
      <c r="AH198">
        <v>29</v>
      </c>
      <c r="AI198">
        <v>31</v>
      </c>
      <c r="AJ198">
        <v>0</v>
      </c>
      <c r="AK198">
        <v>18</v>
      </c>
      <c r="AL198" t="s">
        <v>118</v>
      </c>
      <c r="AM198" t="s">
        <v>119</v>
      </c>
      <c r="AN198" t="s">
        <v>120</v>
      </c>
      <c r="AO198" t="s">
        <v>74</v>
      </c>
      <c r="AP198" t="s">
        <v>3317</v>
      </c>
      <c r="AQ198" t="s">
        <v>74</v>
      </c>
      <c r="AR198" t="s">
        <v>3318</v>
      </c>
      <c r="AS198" t="s">
        <v>3319</v>
      </c>
      <c r="AT198" t="s">
        <v>3963</v>
      </c>
      <c r="AU198">
        <v>2012</v>
      </c>
      <c r="AV198">
        <v>13</v>
      </c>
      <c r="AW198" t="s">
        <v>74</v>
      </c>
      <c r="AX198" t="s">
        <v>74</v>
      </c>
      <c r="AY198" t="s">
        <v>74</v>
      </c>
      <c r="AZ198" t="s">
        <v>74</v>
      </c>
      <c r="BA198" t="s">
        <v>74</v>
      </c>
      <c r="BB198" t="s">
        <v>74</v>
      </c>
      <c r="BC198" t="s">
        <v>74</v>
      </c>
      <c r="BD198" t="s">
        <v>3982</v>
      </c>
      <c r="BE198" t="s">
        <v>3983</v>
      </c>
      <c r="BF198" t="str">
        <f>HYPERLINK("http://dx.doi.org/10.1029/2012GC004266","http://dx.doi.org/10.1029/2012GC004266")</f>
        <v>http://dx.doi.org/10.1029/2012GC004266</v>
      </c>
      <c r="BG198" t="s">
        <v>74</v>
      </c>
      <c r="BH198" t="s">
        <v>74</v>
      </c>
      <c r="BI198">
        <v>15</v>
      </c>
      <c r="BJ198" t="s">
        <v>241</v>
      </c>
      <c r="BK198" t="s">
        <v>98</v>
      </c>
      <c r="BL198" t="s">
        <v>241</v>
      </c>
      <c r="BM198" t="s">
        <v>3984</v>
      </c>
      <c r="BN198" t="s">
        <v>74</v>
      </c>
      <c r="BO198" t="s">
        <v>74</v>
      </c>
      <c r="BP198" t="s">
        <v>74</v>
      </c>
      <c r="BQ198" t="s">
        <v>74</v>
      </c>
      <c r="BR198" t="s">
        <v>101</v>
      </c>
      <c r="BS198" t="s">
        <v>3985</v>
      </c>
      <c r="BT198" t="str">
        <f>HYPERLINK("https%3A%2F%2Fwww.webofscience.com%2Fwos%2Fwoscc%2Ffull-record%2FWOS:000309612600003","View Full Record in Web of Science")</f>
        <v>View Full Record in Web of Science</v>
      </c>
    </row>
    <row r="199" spans="1:72" x14ac:dyDescent="0.15">
      <c r="A199" t="s">
        <v>72</v>
      </c>
      <c r="B199" t="s">
        <v>3986</v>
      </c>
      <c r="C199" t="s">
        <v>74</v>
      </c>
      <c r="D199" t="s">
        <v>74</v>
      </c>
      <c r="E199" t="s">
        <v>74</v>
      </c>
      <c r="F199" t="s">
        <v>3987</v>
      </c>
      <c r="G199" t="s">
        <v>74</v>
      </c>
      <c r="H199" t="s">
        <v>74</v>
      </c>
      <c r="I199" t="s">
        <v>3988</v>
      </c>
      <c r="J199" t="s">
        <v>106</v>
      </c>
      <c r="K199" t="s">
        <v>74</v>
      </c>
      <c r="L199" t="s">
        <v>74</v>
      </c>
      <c r="M199" t="s">
        <v>78</v>
      </c>
      <c r="N199" t="s">
        <v>79</v>
      </c>
      <c r="O199" t="s">
        <v>74</v>
      </c>
      <c r="P199" t="s">
        <v>74</v>
      </c>
      <c r="Q199" t="s">
        <v>74</v>
      </c>
      <c r="R199" t="s">
        <v>74</v>
      </c>
      <c r="S199" t="s">
        <v>74</v>
      </c>
      <c r="T199" t="s">
        <v>74</v>
      </c>
      <c r="U199" t="s">
        <v>3989</v>
      </c>
      <c r="V199" t="s">
        <v>3990</v>
      </c>
      <c r="W199" t="s">
        <v>3991</v>
      </c>
      <c r="X199" t="s">
        <v>3992</v>
      </c>
      <c r="Y199" t="s">
        <v>3993</v>
      </c>
      <c r="Z199" t="s">
        <v>3994</v>
      </c>
      <c r="AA199" t="s">
        <v>3995</v>
      </c>
      <c r="AB199" t="s">
        <v>3996</v>
      </c>
      <c r="AC199" t="s">
        <v>3997</v>
      </c>
      <c r="AD199" t="s">
        <v>2296</v>
      </c>
      <c r="AE199" t="s">
        <v>74</v>
      </c>
      <c r="AF199" t="s">
        <v>74</v>
      </c>
      <c r="AG199">
        <v>20</v>
      </c>
      <c r="AH199">
        <v>5</v>
      </c>
      <c r="AI199">
        <v>5</v>
      </c>
      <c r="AJ199">
        <v>0</v>
      </c>
      <c r="AK199">
        <v>6</v>
      </c>
      <c r="AL199" t="s">
        <v>118</v>
      </c>
      <c r="AM199" t="s">
        <v>119</v>
      </c>
      <c r="AN199" t="s">
        <v>120</v>
      </c>
      <c r="AO199" t="s">
        <v>121</v>
      </c>
      <c r="AP199" t="s">
        <v>122</v>
      </c>
      <c r="AQ199" t="s">
        <v>74</v>
      </c>
      <c r="AR199" t="s">
        <v>123</v>
      </c>
      <c r="AS199" t="s">
        <v>124</v>
      </c>
      <c r="AT199" t="s">
        <v>3963</v>
      </c>
      <c r="AU199">
        <v>2012</v>
      </c>
      <c r="AV199">
        <v>117</v>
      </c>
      <c r="AW199" t="s">
        <v>74</v>
      </c>
      <c r="AX199" t="s">
        <v>74</v>
      </c>
      <c r="AY199" t="s">
        <v>74</v>
      </c>
      <c r="AZ199" t="s">
        <v>74</v>
      </c>
      <c r="BA199" t="s">
        <v>74</v>
      </c>
      <c r="BB199" t="s">
        <v>74</v>
      </c>
      <c r="BC199" t="s">
        <v>74</v>
      </c>
      <c r="BD199" t="s">
        <v>3998</v>
      </c>
      <c r="BE199" t="s">
        <v>3999</v>
      </c>
      <c r="BF199" t="str">
        <f>HYPERLINK("http://dx.doi.org/10.1029/2012JA018077","http://dx.doi.org/10.1029/2012JA018077")</f>
        <v>http://dx.doi.org/10.1029/2012JA018077</v>
      </c>
      <c r="BG199" t="s">
        <v>74</v>
      </c>
      <c r="BH199" t="s">
        <v>74</v>
      </c>
      <c r="BI199">
        <v>9</v>
      </c>
      <c r="BJ199" t="s">
        <v>127</v>
      </c>
      <c r="BK199" t="s">
        <v>98</v>
      </c>
      <c r="BL199" t="s">
        <v>127</v>
      </c>
      <c r="BM199" t="s">
        <v>4000</v>
      </c>
      <c r="BN199" t="s">
        <v>74</v>
      </c>
      <c r="BO199" t="s">
        <v>416</v>
      </c>
      <c r="BP199" t="s">
        <v>74</v>
      </c>
      <c r="BQ199" t="s">
        <v>74</v>
      </c>
      <c r="BR199" t="s">
        <v>101</v>
      </c>
      <c r="BS199" t="s">
        <v>4001</v>
      </c>
      <c r="BT199" t="str">
        <f>HYPERLINK("https%3A%2F%2Fwww.webofscience.com%2Fwos%2Fwoscc%2Ffull-record%2FWOS:000309609600003","View Full Record in Web of Science")</f>
        <v>View Full Record in Web of Science</v>
      </c>
    </row>
    <row r="200" spans="1:72" x14ac:dyDescent="0.15">
      <c r="A200" t="s">
        <v>72</v>
      </c>
      <c r="B200" t="s">
        <v>4002</v>
      </c>
      <c r="C200" t="s">
        <v>74</v>
      </c>
      <c r="D200" t="s">
        <v>74</v>
      </c>
      <c r="E200" t="s">
        <v>74</v>
      </c>
      <c r="F200" t="s">
        <v>4003</v>
      </c>
      <c r="G200" t="s">
        <v>74</v>
      </c>
      <c r="H200" t="s">
        <v>74</v>
      </c>
      <c r="I200" t="s">
        <v>4004</v>
      </c>
      <c r="J200" t="s">
        <v>134</v>
      </c>
      <c r="K200" t="s">
        <v>74</v>
      </c>
      <c r="L200" t="s">
        <v>74</v>
      </c>
      <c r="M200" t="s">
        <v>78</v>
      </c>
      <c r="N200" t="s">
        <v>79</v>
      </c>
      <c r="O200" t="s">
        <v>74</v>
      </c>
      <c r="P200" t="s">
        <v>74</v>
      </c>
      <c r="Q200" t="s">
        <v>74</v>
      </c>
      <c r="R200" t="s">
        <v>74</v>
      </c>
      <c r="S200" t="s">
        <v>74</v>
      </c>
      <c r="T200" t="s">
        <v>74</v>
      </c>
      <c r="U200" t="s">
        <v>4005</v>
      </c>
      <c r="V200" t="s">
        <v>4006</v>
      </c>
      <c r="W200" t="s">
        <v>4007</v>
      </c>
      <c r="X200" t="s">
        <v>4008</v>
      </c>
      <c r="Y200" t="s">
        <v>4009</v>
      </c>
      <c r="Z200" t="s">
        <v>4010</v>
      </c>
      <c r="AA200" t="s">
        <v>4011</v>
      </c>
      <c r="AB200" t="s">
        <v>4012</v>
      </c>
      <c r="AC200" t="s">
        <v>4013</v>
      </c>
      <c r="AD200" t="s">
        <v>4014</v>
      </c>
      <c r="AE200" t="s">
        <v>4015</v>
      </c>
      <c r="AF200" t="s">
        <v>74</v>
      </c>
      <c r="AG200">
        <v>57</v>
      </c>
      <c r="AH200">
        <v>36</v>
      </c>
      <c r="AI200">
        <v>36</v>
      </c>
      <c r="AJ200">
        <v>0</v>
      </c>
      <c r="AK200">
        <v>61</v>
      </c>
      <c r="AL200" t="s">
        <v>146</v>
      </c>
      <c r="AM200" t="s">
        <v>147</v>
      </c>
      <c r="AN200" t="s">
        <v>148</v>
      </c>
      <c r="AO200" t="s">
        <v>149</v>
      </c>
      <c r="AP200" t="s">
        <v>74</v>
      </c>
      <c r="AQ200" t="s">
        <v>74</v>
      </c>
      <c r="AR200" t="s">
        <v>134</v>
      </c>
      <c r="AS200" t="s">
        <v>150</v>
      </c>
      <c r="AT200" t="s">
        <v>3963</v>
      </c>
      <c r="AU200">
        <v>2012</v>
      </c>
      <c r="AV200">
        <v>7</v>
      </c>
      <c r="AW200">
        <v>10</v>
      </c>
      <c r="AX200" t="s">
        <v>74</v>
      </c>
      <c r="AY200" t="s">
        <v>74</v>
      </c>
      <c r="AZ200" t="s">
        <v>74</v>
      </c>
      <c r="BA200" t="s">
        <v>74</v>
      </c>
      <c r="BB200" t="s">
        <v>74</v>
      </c>
      <c r="BC200" t="s">
        <v>74</v>
      </c>
      <c r="BD200" t="s">
        <v>4016</v>
      </c>
      <c r="BE200" t="s">
        <v>4017</v>
      </c>
      <c r="BF200" t="str">
        <f>HYPERLINK("http://dx.doi.org/10.1371/journal.pone.0045174","http://dx.doi.org/10.1371/journal.pone.0045174")</f>
        <v>http://dx.doi.org/10.1371/journal.pone.0045174</v>
      </c>
      <c r="BG200" t="s">
        <v>74</v>
      </c>
      <c r="BH200" t="s">
        <v>74</v>
      </c>
      <c r="BI200">
        <v>13</v>
      </c>
      <c r="BJ200" t="s">
        <v>153</v>
      </c>
      <c r="BK200" t="s">
        <v>98</v>
      </c>
      <c r="BL200" t="s">
        <v>154</v>
      </c>
      <c r="BM200" t="s">
        <v>4018</v>
      </c>
      <c r="BN200">
        <v>23071508</v>
      </c>
      <c r="BO200" t="s">
        <v>4019</v>
      </c>
      <c r="BP200" t="s">
        <v>74</v>
      </c>
      <c r="BQ200" t="s">
        <v>74</v>
      </c>
      <c r="BR200" t="s">
        <v>101</v>
      </c>
      <c r="BS200" t="s">
        <v>4020</v>
      </c>
      <c r="BT200" t="str">
        <f>HYPERLINK("https%3A%2F%2Fwww.webofscience.com%2Fwos%2Fwoscc%2Ffull-record%2FWOS:000309827300008","View Full Record in Web of Science")</f>
        <v>View Full Record in Web of Science</v>
      </c>
    </row>
    <row r="201" spans="1:72" x14ac:dyDescent="0.15">
      <c r="A201" t="s">
        <v>72</v>
      </c>
      <c r="B201" t="s">
        <v>4021</v>
      </c>
      <c r="C201" t="s">
        <v>74</v>
      </c>
      <c r="D201" t="s">
        <v>74</v>
      </c>
      <c r="E201" t="s">
        <v>74</v>
      </c>
      <c r="F201" t="s">
        <v>4022</v>
      </c>
      <c r="G201" t="s">
        <v>74</v>
      </c>
      <c r="H201" t="s">
        <v>74</v>
      </c>
      <c r="I201" t="s">
        <v>4023</v>
      </c>
      <c r="J201" t="s">
        <v>421</v>
      </c>
      <c r="K201" t="s">
        <v>74</v>
      </c>
      <c r="L201" t="s">
        <v>74</v>
      </c>
      <c r="M201" t="s">
        <v>78</v>
      </c>
      <c r="N201" t="s">
        <v>79</v>
      </c>
      <c r="O201" t="s">
        <v>74</v>
      </c>
      <c r="P201" t="s">
        <v>74</v>
      </c>
      <c r="Q201" t="s">
        <v>74</v>
      </c>
      <c r="R201" t="s">
        <v>74</v>
      </c>
      <c r="S201" t="s">
        <v>74</v>
      </c>
      <c r="T201" t="s">
        <v>74</v>
      </c>
      <c r="U201" t="s">
        <v>4024</v>
      </c>
      <c r="V201" t="s">
        <v>4025</v>
      </c>
      <c r="W201" t="s">
        <v>4026</v>
      </c>
      <c r="X201" t="s">
        <v>4027</v>
      </c>
      <c r="Y201" t="s">
        <v>4028</v>
      </c>
      <c r="Z201" t="s">
        <v>4029</v>
      </c>
      <c r="AA201" t="s">
        <v>4030</v>
      </c>
      <c r="AB201" t="s">
        <v>4031</v>
      </c>
      <c r="AC201" t="s">
        <v>4032</v>
      </c>
      <c r="AD201" t="s">
        <v>4033</v>
      </c>
      <c r="AE201" t="s">
        <v>4034</v>
      </c>
      <c r="AF201" t="s">
        <v>74</v>
      </c>
      <c r="AG201">
        <v>28</v>
      </c>
      <c r="AH201">
        <v>30</v>
      </c>
      <c r="AI201">
        <v>32</v>
      </c>
      <c r="AJ201">
        <v>1</v>
      </c>
      <c r="AK201">
        <v>67</v>
      </c>
      <c r="AL201" t="s">
        <v>433</v>
      </c>
      <c r="AM201" t="s">
        <v>434</v>
      </c>
      <c r="AN201" t="s">
        <v>435</v>
      </c>
      <c r="AO201" t="s">
        <v>436</v>
      </c>
      <c r="AP201" t="s">
        <v>3383</v>
      </c>
      <c r="AQ201" t="s">
        <v>74</v>
      </c>
      <c r="AR201" t="s">
        <v>421</v>
      </c>
      <c r="AS201" t="s">
        <v>437</v>
      </c>
      <c r="AT201" t="s">
        <v>4035</v>
      </c>
      <c r="AU201">
        <v>2012</v>
      </c>
      <c r="AV201">
        <v>490</v>
      </c>
      <c r="AW201">
        <v>7418</v>
      </c>
      <c r="AX201" t="s">
        <v>74</v>
      </c>
      <c r="AY201" t="s">
        <v>74</v>
      </c>
      <c r="AZ201" t="s">
        <v>74</v>
      </c>
      <c r="BA201" t="s">
        <v>74</v>
      </c>
      <c r="BB201">
        <v>81</v>
      </c>
      <c r="BC201">
        <v>84</v>
      </c>
      <c r="BD201" t="s">
        <v>74</v>
      </c>
      <c r="BE201" t="s">
        <v>4036</v>
      </c>
      <c r="BF201" t="str">
        <f>HYPERLINK("http://dx.doi.org/10.1038/nature11359","http://dx.doi.org/10.1038/nature11359")</f>
        <v>http://dx.doi.org/10.1038/nature11359</v>
      </c>
      <c r="BG201" t="s">
        <v>74</v>
      </c>
      <c r="BH201" t="s">
        <v>74</v>
      </c>
      <c r="BI201">
        <v>4</v>
      </c>
      <c r="BJ201" t="s">
        <v>153</v>
      </c>
      <c r="BK201" t="s">
        <v>98</v>
      </c>
      <c r="BL201" t="s">
        <v>154</v>
      </c>
      <c r="BM201" t="s">
        <v>4037</v>
      </c>
      <c r="BN201">
        <v>23038469</v>
      </c>
      <c r="BO201" t="s">
        <v>1254</v>
      </c>
      <c r="BP201" t="s">
        <v>74</v>
      </c>
      <c r="BQ201" t="s">
        <v>74</v>
      </c>
      <c r="BR201" t="s">
        <v>101</v>
      </c>
      <c r="BS201" t="s">
        <v>4038</v>
      </c>
      <c r="BT201" t="str">
        <f>HYPERLINK("https%3A%2F%2Fwww.webofscience.com%2Fwos%2Fwoscc%2Ffull-record%2FWOS:000309446800036","View Full Record in Web of Science")</f>
        <v>View Full Record in Web of Science</v>
      </c>
    </row>
    <row r="202" spans="1:72" x14ac:dyDescent="0.15">
      <c r="A202" t="s">
        <v>72</v>
      </c>
      <c r="B202" t="s">
        <v>4039</v>
      </c>
      <c r="C202" t="s">
        <v>74</v>
      </c>
      <c r="D202" t="s">
        <v>74</v>
      </c>
      <c r="E202" t="s">
        <v>74</v>
      </c>
      <c r="F202" t="s">
        <v>4040</v>
      </c>
      <c r="G202" t="s">
        <v>74</v>
      </c>
      <c r="H202" t="s">
        <v>74</v>
      </c>
      <c r="I202" t="s">
        <v>4041</v>
      </c>
      <c r="J202" t="s">
        <v>3145</v>
      </c>
      <c r="K202" t="s">
        <v>74</v>
      </c>
      <c r="L202" t="s">
        <v>74</v>
      </c>
      <c r="M202" t="s">
        <v>78</v>
      </c>
      <c r="N202" t="s">
        <v>79</v>
      </c>
      <c r="O202" t="s">
        <v>74</v>
      </c>
      <c r="P202" t="s">
        <v>74</v>
      </c>
      <c r="Q202" t="s">
        <v>74</v>
      </c>
      <c r="R202" t="s">
        <v>74</v>
      </c>
      <c r="S202" t="s">
        <v>74</v>
      </c>
      <c r="T202" t="s">
        <v>4042</v>
      </c>
      <c r="U202" t="s">
        <v>4043</v>
      </c>
      <c r="V202" t="s">
        <v>4044</v>
      </c>
      <c r="W202" t="s">
        <v>4045</v>
      </c>
      <c r="X202" t="s">
        <v>4046</v>
      </c>
      <c r="Y202" t="s">
        <v>4047</v>
      </c>
      <c r="Z202" t="s">
        <v>4048</v>
      </c>
      <c r="AA202" t="s">
        <v>4049</v>
      </c>
      <c r="AB202" t="s">
        <v>4050</v>
      </c>
      <c r="AC202" t="s">
        <v>4051</v>
      </c>
      <c r="AD202" t="s">
        <v>4052</v>
      </c>
      <c r="AE202" t="s">
        <v>4053</v>
      </c>
      <c r="AF202" t="s">
        <v>74</v>
      </c>
      <c r="AG202">
        <v>44</v>
      </c>
      <c r="AH202">
        <v>92</v>
      </c>
      <c r="AI202">
        <v>101</v>
      </c>
      <c r="AJ202">
        <v>2</v>
      </c>
      <c r="AK202">
        <v>48</v>
      </c>
      <c r="AL202" t="s">
        <v>3158</v>
      </c>
      <c r="AM202" t="s">
        <v>119</v>
      </c>
      <c r="AN202" t="s">
        <v>3159</v>
      </c>
      <c r="AO202" t="s">
        <v>3160</v>
      </c>
      <c r="AP202" t="s">
        <v>74</v>
      </c>
      <c r="AQ202" t="s">
        <v>74</v>
      </c>
      <c r="AR202" t="s">
        <v>3161</v>
      </c>
      <c r="AS202" t="s">
        <v>3162</v>
      </c>
      <c r="AT202" t="s">
        <v>4054</v>
      </c>
      <c r="AU202">
        <v>2012</v>
      </c>
      <c r="AV202">
        <v>109</v>
      </c>
      <c r="AW202">
        <v>40</v>
      </c>
      <c r="AX202" t="s">
        <v>74</v>
      </c>
      <c r="AY202" t="s">
        <v>74</v>
      </c>
      <c r="AZ202" t="s">
        <v>74</v>
      </c>
      <c r="BA202" t="s">
        <v>74</v>
      </c>
      <c r="BB202">
        <v>16052</v>
      </c>
      <c r="BC202">
        <v>16056</v>
      </c>
      <c r="BD202" t="s">
        <v>74</v>
      </c>
      <c r="BE202" t="s">
        <v>4055</v>
      </c>
      <c r="BF202" t="str">
        <f>HYPERLINK("http://dx.doi.org/10.1073/pnas.1205385109","http://dx.doi.org/10.1073/pnas.1205385109")</f>
        <v>http://dx.doi.org/10.1073/pnas.1205385109</v>
      </c>
      <c r="BG202" t="s">
        <v>74</v>
      </c>
      <c r="BH202" t="s">
        <v>74</v>
      </c>
      <c r="BI202">
        <v>5</v>
      </c>
      <c r="BJ202" t="s">
        <v>153</v>
      </c>
      <c r="BK202" t="s">
        <v>98</v>
      </c>
      <c r="BL202" t="s">
        <v>154</v>
      </c>
      <c r="BM202" t="s">
        <v>4056</v>
      </c>
      <c r="BN202">
        <v>22988078</v>
      </c>
      <c r="BO202" t="s">
        <v>1458</v>
      </c>
      <c r="BP202" t="s">
        <v>74</v>
      </c>
      <c r="BQ202" t="s">
        <v>74</v>
      </c>
      <c r="BR202" t="s">
        <v>101</v>
      </c>
      <c r="BS202" t="s">
        <v>4057</v>
      </c>
      <c r="BT202" t="str">
        <f>HYPERLINK("https%3A%2F%2Fwww.webofscience.com%2Fwos%2Fwoscc%2Ffull-record%2FWOS:000309611400028","View Full Record in Web of Science")</f>
        <v>View Full Record in Web of Science</v>
      </c>
    </row>
    <row r="203" spans="1:72" x14ac:dyDescent="0.15">
      <c r="A203" t="s">
        <v>72</v>
      </c>
      <c r="B203" t="s">
        <v>4058</v>
      </c>
      <c r="C203" t="s">
        <v>74</v>
      </c>
      <c r="D203" t="s">
        <v>74</v>
      </c>
      <c r="E203" t="s">
        <v>74</v>
      </c>
      <c r="F203" t="s">
        <v>4059</v>
      </c>
      <c r="G203" t="s">
        <v>74</v>
      </c>
      <c r="H203" t="s">
        <v>74</v>
      </c>
      <c r="I203" t="s">
        <v>4060</v>
      </c>
      <c r="J203" t="s">
        <v>4061</v>
      </c>
      <c r="K203" t="s">
        <v>74</v>
      </c>
      <c r="L203" t="s">
        <v>74</v>
      </c>
      <c r="M203" t="s">
        <v>78</v>
      </c>
      <c r="N203" t="s">
        <v>79</v>
      </c>
      <c r="O203" t="s">
        <v>74</v>
      </c>
      <c r="P203" t="s">
        <v>74</v>
      </c>
      <c r="Q203" t="s">
        <v>74</v>
      </c>
      <c r="R203" t="s">
        <v>74</v>
      </c>
      <c r="S203" t="s">
        <v>74</v>
      </c>
      <c r="T203" t="s">
        <v>4062</v>
      </c>
      <c r="U203" t="s">
        <v>4063</v>
      </c>
      <c r="V203" t="s">
        <v>4064</v>
      </c>
      <c r="W203" t="s">
        <v>4065</v>
      </c>
      <c r="X203" t="s">
        <v>3864</v>
      </c>
      <c r="Y203" t="s">
        <v>4066</v>
      </c>
      <c r="Z203" t="s">
        <v>74</v>
      </c>
      <c r="AA203" t="s">
        <v>4067</v>
      </c>
      <c r="AB203" t="s">
        <v>4068</v>
      </c>
      <c r="AC203" t="s">
        <v>4069</v>
      </c>
      <c r="AD203" t="s">
        <v>4070</v>
      </c>
      <c r="AE203" t="s">
        <v>4071</v>
      </c>
      <c r="AF203" t="s">
        <v>74</v>
      </c>
      <c r="AG203">
        <v>19</v>
      </c>
      <c r="AH203">
        <v>4</v>
      </c>
      <c r="AI203">
        <v>4</v>
      </c>
      <c r="AJ203">
        <v>0</v>
      </c>
      <c r="AK203">
        <v>7</v>
      </c>
      <c r="AL203" t="s">
        <v>4072</v>
      </c>
      <c r="AM203" t="s">
        <v>4073</v>
      </c>
      <c r="AN203" t="s">
        <v>4074</v>
      </c>
      <c r="AO203" t="s">
        <v>4075</v>
      </c>
      <c r="AP203" t="s">
        <v>74</v>
      </c>
      <c r="AQ203" t="s">
        <v>74</v>
      </c>
      <c r="AR203" t="s">
        <v>4076</v>
      </c>
      <c r="AS203" t="s">
        <v>4077</v>
      </c>
      <c r="AT203" t="s">
        <v>4078</v>
      </c>
      <c r="AU203">
        <v>2012</v>
      </c>
      <c r="AV203">
        <v>12</v>
      </c>
      <c r="AW203">
        <v>4</v>
      </c>
      <c r="AX203" t="s">
        <v>74</v>
      </c>
      <c r="AY203" t="s">
        <v>74</v>
      </c>
      <c r="AZ203" t="s">
        <v>74</v>
      </c>
      <c r="BA203" t="s">
        <v>74</v>
      </c>
      <c r="BB203" t="s">
        <v>74</v>
      </c>
      <c r="BC203" t="s">
        <v>74</v>
      </c>
      <c r="BD203">
        <v>2186</v>
      </c>
      <c r="BE203" t="s">
        <v>74</v>
      </c>
      <c r="BF203" t="s">
        <v>74</v>
      </c>
      <c r="BG203" t="s">
        <v>74</v>
      </c>
      <c r="BH203" t="s">
        <v>74</v>
      </c>
      <c r="BI203">
        <v>9</v>
      </c>
      <c r="BJ203" t="s">
        <v>4079</v>
      </c>
      <c r="BK203" t="s">
        <v>2843</v>
      </c>
      <c r="BL203" t="s">
        <v>4079</v>
      </c>
      <c r="BM203" t="s">
        <v>4080</v>
      </c>
      <c r="BN203">
        <v>23157579</v>
      </c>
      <c r="BO203" t="s">
        <v>74</v>
      </c>
      <c r="BP203" t="s">
        <v>74</v>
      </c>
      <c r="BQ203" t="s">
        <v>74</v>
      </c>
      <c r="BR203" t="s">
        <v>101</v>
      </c>
      <c r="BS203" t="s">
        <v>4081</v>
      </c>
      <c r="BT203" t="str">
        <f>HYPERLINK("https%3A%2F%2Fwww.webofscience.com%2Fwos%2Fwoscc%2Ffull-record%2FWOS:000318413700028","View Full Record in Web of Science")</f>
        <v>View Full Record in Web of Science</v>
      </c>
    </row>
    <row r="204" spans="1:72" x14ac:dyDescent="0.15">
      <c r="A204" t="s">
        <v>72</v>
      </c>
      <c r="B204" t="s">
        <v>4082</v>
      </c>
      <c r="C204" t="s">
        <v>74</v>
      </c>
      <c r="D204" t="s">
        <v>74</v>
      </c>
      <c r="E204" t="s">
        <v>74</v>
      </c>
      <c r="F204" t="s">
        <v>4083</v>
      </c>
      <c r="G204" t="s">
        <v>74</v>
      </c>
      <c r="H204" t="s">
        <v>74</v>
      </c>
      <c r="I204" t="s">
        <v>4084</v>
      </c>
      <c r="J204" t="s">
        <v>4085</v>
      </c>
      <c r="K204" t="s">
        <v>74</v>
      </c>
      <c r="L204" t="s">
        <v>74</v>
      </c>
      <c r="M204" t="s">
        <v>78</v>
      </c>
      <c r="N204" t="s">
        <v>79</v>
      </c>
      <c r="O204" t="s">
        <v>74</v>
      </c>
      <c r="P204" t="s">
        <v>74</v>
      </c>
      <c r="Q204" t="s">
        <v>74</v>
      </c>
      <c r="R204" t="s">
        <v>74</v>
      </c>
      <c r="S204" t="s">
        <v>74</v>
      </c>
      <c r="T204" t="s">
        <v>4086</v>
      </c>
      <c r="U204" t="s">
        <v>74</v>
      </c>
      <c r="V204" t="s">
        <v>4087</v>
      </c>
      <c r="W204" t="s">
        <v>4088</v>
      </c>
      <c r="X204" t="s">
        <v>4089</v>
      </c>
      <c r="Y204" t="s">
        <v>4090</v>
      </c>
      <c r="Z204" t="s">
        <v>4091</v>
      </c>
      <c r="AA204" t="s">
        <v>4092</v>
      </c>
      <c r="AB204" t="s">
        <v>4093</v>
      </c>
      <c r="AC204" t="s">
        <v>4094</v>
      </c>
      <c r="AD204" t="s">
        <v>4095</v>
      </c>
      <c r="AE204" t="s">
        <v>4096</v>
      </c>
      <c r="AF204" t="s">
        <v>74</v>
      </c>
      <c r="AG204">
        <v>28</v>
      </c>
      <c r="AH204">
        <v>21</v>
      </c>
      <c r="AI204">
        <v>23</v>
      </c>
      <c r="AJ204">
        <v>0</v>
      </c>
      <c r="AK204">
        <v>4</v>
      </c>
      <c r="AL204" t="s">
        <v>4097</v>
      </c>
      <c r="AM204" t="s">
        <v>4098</v>
      </c>
      <c r="AN204" t="s">
        <v>4099</v>
      </c>
      <c r="AO204" t="s">
        <v>4100</v>
      </c>
      <c r="AP204" t="s">
        <v>74</v>
      </c>
      <c r="AQ204" t="s">
        <v>74</v>
      </c>
      <c r="AR204" t="s">
        <v>4085</v>
      </c>
      <c r="AS204" t="s">
        <v>4101</v>
      </c>
      <c r="AT204" t="s">
        <v>4078</v>
      </c>
      <c r="AU204">
        <v>2012</v>
      </c>
      <c r="AV204">
        <v>122</v>
      </c>
      <c r="AW204" t="s">
        <v>74</v>
      </c>
      <c r="AX204" t="s">
        <v>74</v>
      </c>
      <c r="AY204" t="s">
        <v>74</v>
      </c>
      <c r="AZ204" t="s">
        <v>74</v>
      </c>
      <c r="BA204" t="s">
        <v>74</v>
      </c>
      <c r="BB204">
        <v>449</v>
      </c>
      <c r="BC204">
        <v>460</v>
      </c>
      <c r="BD204" t="s">
        <v>74</v>
      </c>
      <c r="BE204" t="s">
        <v>4102</v>
      </c>
      <c r="BF204" t="str">
        <f>HYPERLINK("http://dx.doi.org/10.5248/122.449","http://dx.doi.org/10.5248/122.449")</f>
        <v>http://dx.doi.org/10.5248/122.449</v>
      </c>
      <c r="BG204" t="s">
        <v>74</v>
      </c>
      <c r="BH204" t="s">
        <v>74</v>
      </c>
      <c r="BI204">
        <v>12</v>
      </c>
      <c r="BJ204" t="s">
        <v>4103</v>
      </c>
      <c r="BK204" t="s">
        <v>98</v>
      </c>
      <c r="BL204" t="s">
        <v>4103</v>
      </c>
      <c r="BM204" t="s">
        <v>4104</v>
      </c>
      <c r="BN204" t="s">
        <v>74</v>
      </c>
      <c r="BO204" t="s">
        <v>380</v>
      </c>
      <c r="BP204" t="s">
        <v>74</v>
      </c>
      <c r="BQ204" t="s">
        <v>74</v>
      </c>
      <c r="BR204" t="s">
        <v>101</v>
      </c>
      <c r="BS204" t="s">
        <v>4105</v>
      </c>
      <c r="BT204" t="str">
        <f>HYPERLINK("https%3A%2F%2Fwww.webofscience.com%2Fwos%2Fwoscc%2Ffull-record%2FWOS:000316998000050","View Full Record in Web of Science")</f>
        <v>View Full Record in Web of Science</v>
      </c>
    </row>
    <row r="205" spans="1:72" x14ac:dyDescent="0.15">
      <c r="A205" t="s">
        <v>72</v>
      </c>
      <c r="B205" t="s">
        <v>4106</v>
      </c>
      <c r="C205" t="s">
        <v>74</v>
      </c>
      <c r="D205" t="s">
        <v>74</v>
      </c>
      <c r="E205" t="s">
        <v>74</v>
      </c>
      <c r="F205" t="s">
        <v>4107</v>
      </c>
      <c r="G205" t="s">
        <v>74</v>
      </c>
      <c r="H205" t="s">
        <v>74</v>
      </c>
      <c r="I205" t="s">
        <v>4108</v>
      </c>
      <c r="J205" t="s">
        <v>4109</v>
      </c>
      <c r="K205" t="s">
        <v>74</v>
      </c>
      <c r="L205" t="s">
        <v>74</v>
      </c>
      <c r="M205" t="s">
        <v>78</v>
      </c>
      <c r="N205" t="s">
        <v>79</v>
      </c>
      <c r="O205" t="s">
        <v>74</v>
      </c>
      <c r="P205" t="s">
        <v>74</v>
      </c>
      <c r="Q205" t="s">
        <v>74</v>
      </c>
      <c r="R205" t="s">
        <v>74</v>
      </c>
      <c r="S205" t="s">
        <v>74</v>
      </c>
      <c r="T205" t="s">
        <v>4110</v>
      </c>
      <c r="U205" t="s">
        <v>4111</v>
      </c>
      <c r="V205" t="s">
        <v>4112</v>
      </c>
      <c r="W205" t="s">
        <v>4113</v>
      </c>
      <c r="X205" t="s">
        <v>4114</v>
      </c>
      <c r="Y205" t="s">
        <v>4115</v>
      </c>
      <c r="Z205" t="s">
        <v>4116</v>
      </c>
      <c r="AA205" t="s">
        <v>4117</v>
      </c>
      <c r="AB205" t="s">
        <v>4118</v>
      </c>
      <c r="AC205" t="s">
        <v>4119</v>
      </c>
      <c r="AD205" t="s">
        <v>4120</v>
      </c>
      <c r="AE205" t="s">
        <v>4121</v>
      </c>
      <c r="AF205" t="s">
        <v>74</v>
      </c>
      <c r="AG205">
        <v>40</v>
      </c>
      <c r="AH205">
        <v>23</v>
      </c>
      <c r="AI205">
        <v>25</v>
      </c>
      <c r="AJ205">
        <v>0</v>
      </c>
      <c r="AK205">
        <v>31</v>
      </c>
      <c r="AL205" t="s">
        <v>4122</v>
      </c>
      <c r="AM205" t="s">
        <v>4123</v>
      </c>
      <c r="AN205" t="s">
        <v>4124</v>
      </c>
      <c r="AO205" t="s">
        <v>4125</v>
      </c>
      <c r="AP205" t="s">
        <v>74</v>
      </c>
      <c r="AQ205" t="s">
        <v>74</v>
      </c>
      <c r="AR205" t="s">
        <v>4126</v>
      </c>
      <c r="AS205" t="s">
        <v>4127</v>
      </c>
      <c r="AT205" t="s">
        <v>4078</v>
      </c>
      <c r="AU205">
        <v>2012</v>
      </c>
      <c r="AV205">
        <v>7</v>
      </c>
      <c r="AW205">
        <v>4</v>
      </c>
      <c r="AX205" t="s">
        <v>74</v>
      </c>
      <c r="AY205" t="s">
        <v>74</v>
      </c>
      <c r="AZ205" t="s">
        <v>74</v>
      </c>
      <c r="BA205" t="s">
        <v>74</v>
      </c>
      <c r="BB205" t="s">
        <v>74</v>
      </c>
      <c r="BC205" t="s">
        <v>74</v>
      </c>
      <c r="BD205">
        <v>45401</v>
      </c>
      <c r="BE205" t="s">
        <v>4128</v>
      </c>
      <c r="BF205" t="str">
        <f>HYPERLINK("http://dx.doi.org/10.1088/1748-9326/7/4/045401","http://dx.doi.org/10.1088/1748-9326/7/4/045401")</f>
        <v>http://dx.doi.org/10.1088/1748-9326/7/4/045401</v>
      </c>
      <c r="BG205" t="s">
        <v>74</v>
      </c>
      <c r="BH205" t="s">
        <v>74</v>
      </c>
      <c r="BI205">
        <v>9</v>
      </c>
      <c r="BJ205" t="s">
        <v>4129</v>
      </c>
      <c r="BK205" t="s">
        <v>98</v>
      </c>
      <c r="BL205" t="s">
        <v>2844</v>
      </c>
      <c r="BM205" t="s">
        <v>4130</v>
      </c>
      <c r="BN205" t="s">
        <v>74</v>
      </c>
      <c r="BO205" t="s">
        <v>3409</v>
      </c>
      <c r="BP205" t="s">
        <v>74</v>
      </c>
      <c r="BQ205" t="s">
        <v>74</v>
      </c>
      <c r="BR205" t="s">
        <v>101</v>
      </c>
      <c r="BS205" t="s">
        <v>4131</v>
      </c>
      <c r="BT205" t="str">
        <f>HYPERLINK("https%3A%2F%2Fwww.webofscience.com%2Fwos%2Fwoscc%2Ffull-record%2FWOS:000312696400054","View Full Record in Web of Science")</f>
        <v>View Full Record in Web of Science</v>
      </c>
    </row>
    <row r="206" spans="1:72" x14ac:dyDescent="0.15">
      <c r="A206" t="s">
        <v>72</v>
      </c>
      <c r="B206" t="s">
        <v>4132</v>
      </c>
      <c r="C206" t="s">
        <v>74</v>
      </c>
      <c r="D206" t="s">
        <v>74</v>
      </c>
      <c r="E206" t="s">
        <v>74</v>
      </c>
      <c r="F206" t="s">
        <v>4133</v>
      </c>
      <c r="G206" t="s">
        <v>74</v>
      </c>
      <c r="H206" t="s">
        <v>74</v>
      </c>
      <c r="I206" t="s">
        <v>4134</v>
      </c>
      <c r="J206" t="s">
        <v>4135</v>
      </c>
      <c r="K206" t="s">
        <v>74</v>
      </c>
      <c r="L206" t="s">
        <v>74</v>
      </c>
      <c r="M206" t="s">
        <v>78</v>
      </c>
      <c r="N206" t="s">
        <v>79</v>
      </c>
      <c r="O206" t="s">
        <v>74</v>
      </c>
      <c r="P206" t="s">
        <v>74</v>
      </c>
      <c r="Q206" t="s">
        <v>74</v>
      </c>
      <c r="R206" t="s">
        <v>74</v>
      </c>
      <c r="S206" t="s">
        <v>74</v>
      </c>
      <c r="T206" t="s">
        <v>4136</v>
      </c>
      <c r="U206" t="s">
        <v>4137</v>
      </c>
      <c r="V206" t="s">
        <v>4138</v>
      </c>
      <c r="W206" t="s">
        <v>4139</v>
      </c>
      <c r="X206" t="s">
        <v>4140</v>
      </c>
      <c r="Y206" t="s">
        <v>4141</v>
      </c>
      <c r="Z206" t="s">
        <v>4142</v>
      </c>
      <c r="AA206" t="s">
        <v>4143</v>
      </c>
      <c r="AB206" t="s">
        <v>4144</v>
      </c>
      <c r="AC206" t="s">
        <v>4145</v>
      </c>
      <c r="AD206" t="s">
        <v>4145</v>
      </c>
      <c r="AE206" t="s">
        <v>4146</v>
      </c>
      <c r="AF206" t="s">
        <v>74</v>
      </c>
      <c r="AG206">
        <v>91</v>
      </c>
      <c r="AH206">
        <v>18</v>
      </c>
      <c r="AI206">
        <v>18</v>
      </c>
      <c r="AJ206">
        <v>0</v>
      </c>
      <c r="AK206">
        <v>36</v>
      </c>
      <c r="AL206" t="s">
        <v>4147</v>
      </c>
      <c r="AM206" t="s">
        <v>4148</v>
      </c>
      <c r="AN206" t="s">
        <v>4149</v>
      </c>
      <c r="AO206" t="s">
        <v>4150</v>
      </c>
      <c r="AP206" t="s">
        <v>4151</v>
      </c>
      <c r="AQ206" t="s">
        <v>74</v>
      </c>
      <c r="AR206" t="s">
        <v>4152</v>
      </c>
      <c r="AS206" t="s">
        <v>4153</v>
      </c>
      <c r="AT206" t="s">
        <v>4154</v>
      </c>
      <c r="AU206">
        <v>2012</v>
      </c>
      <c r="AV206">
        <v>25</v>
      </c>
      <c r="AW206">
        <v>4</v>
      </c>
      <c r="AX206" t="s">
        <v>74</v>
      </c>
      <c r="AY206" t="s">
        <v>74</v>
      </c>
      <c r="AZ206" t="s">
        <v>74</v>
      </c>
      <c r="BA206" t="s">
        <v>74</v>
      </c>
      <c r="BB206">
        <v>281</v>
      </c>
      <c r="BC206">
        <v>295</v>
      </c>
      <c r="BD206" t="s">
        <v>74</v>
      </c>
      <c r="BE206" t="s">
        <v>4155</v>
      </c>
      <c r="BF206" t="str">
        <f>HYPERLINK("http://dx.doi.org/10.1051/alr/2012026","http://dx.doi.org/10.1051/alr/2012026")</f>
        <v>http://dx.doi.org/10.1051/alr/2012026</v>
      </c>
      <c r="BG206" t="s">
        <v>74</v>
      </c>
      <c r="BH206" t="s">
        <v>74</v>
      </c>
      <c r="BI206">
        <v>15</v>
      </c>
      <c r="BJ206" t="s">
        <v>4156</v>
      </c>
      <c r="BK206" t="s">
        <v>98</v>
      </c>
      <c r="BL206" t="s">
        <v>4156</v>
      </c>
      <c r="BM206" t="s">
        <v>4157</v>
      </c>
      <c r="BN206" t="s">
        <v>74</v>
      </c>
      <c r="BO206" t="s">
        <v>1287</v>
      </c>
      <c r="BP206" t="s">
        <v>74</v>
      </c>
      <c r="BQ206" t="s">
        <v>74</v>
      </c>
      <c r="BR206" t="s">
        <v>101</v>
      </c>
      <c r="BS206" t="s">
        <v>4158</v>
      </c>
      <c r="BT206" t="str">
        <f>HYPERLINK("https%3A%2F%2Fwww.webofscience.com%2Fwos%2Fwoscc%2Ffull-record%2FWOS:000312631600001","View Full Record in Web of Science")</f>
        <v>View Full Record in Web of Science</v>
      </c>
    </row>
    <row r="207" spans="1:72" x14ac:dyDescent="0.15">
      <c r="A207" t="s">
        <v>72</v>
      </c>
      <c r="B207" t="s">
        <v>4159</v>
      </c>
      <c r="C207" t="s">
        <v>74</v>
      </c>
      <c r="D207" t="s">
        <v>74</v>
      </c>
      <c r="E207" t="s">
        <v>74</v>
      </c>
      <c r="F207" t="s">
        <v>4160</v>
      </c>
      <c r="G207" t="s">
        <v>74</v>
      </c>
      <c r="H207" t="s">
        <v>74</v>
      </c>
      <c r="I207" t="s">
        <v>4161</v>
      </c>
      <c r="J207" t="s">
        <v>947</v>
      </c>
      <c r="K207" t="s">
        <v>74</v>
      </c>
      <c r="L207" t="s">
        <v>74</v>
      </c>
      <c r="M207" t="s">
        <v>78</v>
      </c>
      <c r="N207" t="s">
        <v>79</v>
      </c>
      <c r="O207" t="s">
        <v>74</v>
      </c>
      <c r="P207" t="s">
        <v>74</v>
      </c>
      <c r="Q207" t="s">
        <v>74</v>
      </c>
      <c r="R207" t="s">
        <v>74</v>
      </c>
      <c r="S207" t="s">
        <v>74</v>
      </c>
      <c r="T207" t="s">
        <v>4162</v>
      </c>
      <c r="U207" t="s">
        <v>4163</v>
      </c>
      <c r="V207" t="s">
        <v>4164</v>
      </c>
      <c r="W207" t="s">
        <v>4165</v>
      </c>
      <c r="X207" t="s">
        <v>4166</v>
      </c>
      <c r="Y207" t="s">
        <v>4167</v>
      </c>
      <c r="Z207" t="s">
        <v>4168</v>
      </c>
      <c r="AA207" t="s">
        <v>4169</v>
      </c>
      <c r="AB207" t="s">
        <v>4170</v>
      </c>
      <c r="AC207" t="s">
        <v>4171</v>
      </c>
      <c r="AD207" t="s">
        <v>4172</v>
      </c>
      <c r="AE207" t="s">
        <v>4173</v>
      </c>
      <c r="AF207" t="s">
        <v>74</v>
      </c>
      <c r="AG207">
        <v>79</v>
      </c>
      <c r="AH207">
        <v>21</v>
      </c>
      <c r="AI207">
        <v>23</v>
      </c>
      <c r="AJ207">
        <v>0</v>
      </c>
      <c r="AK207">
        <v>40</v>
      </c>
      <c r="AL207" t="s">
        <v>188</v>
      </c>
      <c r="AM207" t="s">
        <v>189</v>
      </c>
      <c r="AN207" t="s">
        <v>190</v>
      </c>
      <c r="AO207" t="s">
        <v>960</v>
      </c>
      <c r="AP207" t="s">
        <v>961</v>
      </c>
      <c r="AQ207" t="s">
        <v>74</v>
      </c>
      <c r="AR207" t="s">
        <v>962</v>
      </c>
      <c r="AS207" t="s">
        <v>963</v>
      </c>
      <c r="AT207" t="s">
        <v>4174</v>
      </c>
      <c r="AU207">
        <v>2012</v>
      </c>
      <c r="AV207">
        <v>326</v>
      </c>
      <c r="AW207" t="s">
        <v>74</v>
      </c>
      <c r="AX207" t="s">
        <v>74</v>
      </c>
      <c r="AY207" t="s">
        <v>74</v>
      </c>
      <c r="AZ207" t="s">
        <v>74</v>
      </c>
      <c r="BA207" t="s">
        <v>74</v>
      </c>
      <c r="BB207">
        <v>67</v>
      </c>
      <c r="BC207">
        <v>79</v>
      </c>
      <c r="BD207" t="s">
        <v>74</v>
      </c>
      <c r="BE207" t="s">
        <v>4175</v>
      </c>
      <c r="BF207" t="str">
        <f>HYPERLINK("http://dx.doi.org/10.1016/j.margeo.2012.08.009","http://dx.doi.org/10.1016/j.margeo.2012.08.009")</f>
        <v>http://dx.doi.org/10.1016/j.margeo.2012.08.009</v>
      </c>
      <c r="BG207" t="s">
        <v>74</v>
      </c>
      <c r="BH207" t="s">
        <v>74</v>
      </c>
      <c r="BI207">
        <v>13</v>
      </c>
      <c r="BJ207" t="s">
        <v>966</v>
      </c>
      <c r="BK207" t="s">
        <v>98</v>
      </c>
      <c r="BL207" t="s">
        <v>967</v>
      </c>
      <c r="BM207" t="s">
        <v>4176</v>
      </c>
      <c r="BN207" t="s">
        <v>74</v>
      </c>
      <c r="BO207" t="s">
        <v>74</v>
      </c>
      <c r="BP207" t="s">
        <v>74</v>
      </c>
      <c r="BQ207" t="s">
        <v>74</v>
      </c>
      <c r="BR207" t="s">
        <v>101</v>
      </c>
      <c r="BS207" t="s">
        <v>4177</v>
      </c>
      <c r="BT207" t="str">
        <f>HYPERLINK("https%3A%2F%2Fwww.webofscience.com%2Fwos%2Fwoscc%2Ffull-record%2FWOS:000311663100006","View Full Record in Web of Science")</f>
        <v>View Full Record in Web of Science</v>
      </c>
    </row>
    <row r="208" spans="1:72" x14ac:dyDescent="0.15">
      <c r="A208" t="s">
        <v>72</v>
      </c>
      <c r="B208" t="s">
        <v>4178</v>
      </c>
      <c r="C208" t="s">
        <v>74</v>
      </c>
      <c r="D208" t="s">
        <v>74</v>
      </c>
      <c r="E208" t="s">
        <v>74</v>
      </c>
      <c r="F208" t="s">
        <v>4179</v>
      </c>
      <c r="G208" t="s">
        <v>74</v>
      </c>
      <c r="H208" t="s">
        <v>74</v>
      </c>
      <c r="I208" t="s">
        <v>4180</v>
      </c>
      <c r="J208" t="s">
        <v>4181</v>
      </c>
      <c r="K208" t="s">
        <v>74</v>
      </c>
      <c r="L208" t="s">
        <v>74</v>
      </c>
      <c r="M208" t="s">
        <v>78</v>
      </c>
      <c r="N208" t="s">
        <v>79</v>
      </c>
      <c r="O208" t="s">
        <v>74</v>
      </c>
      <c r="P208" t="s">
        <v>74</v>
      </c>
      <c r="Q208" t="s">
        <v>74</v>
      </c>
      <c r="R208" t="s">
        <v>74</v>
      </c>
      <c r="S208" t="s">
        <v>74</v>
      </c>
      <c r="T208" t="s">
        <v>74</v>
      </c>
      <c r="U208" t="s">
        <v>4182</v>
      </c>
      <c r="V208" t="s">
        <v>4183</v>
      </c>
      <c r="W208" t="s">
        <v>4184</v>
      </c>
      <c r="X208" t="s">
        <v>4185</v>
      </c>
      <c r="Y208" t="s">
        <v>4186</v>
      </c>
      <c r="Z208" t="s">
        <v>4187</v>
      </c>
      <c r="AA208" t="s">
        <v>4188</v>
      </c>
      <c r="AB208" t="s">
        <v>4189</v>
      </c>
      <c r="AC208" t="s">
        <v>4190</v>
      </c>
      <c r="AD208" t="s">
        <v>4191</v>
      </c>
      <c r="AE208" t="s">
        <v>4192</v>
      </c>
      <c r="AF208" t="s">
        <v>74</v>
      </c>
      <c r="AG208">
        <v>181</v>
      </c>
      <c r="AH208">
        <v>14</v>
      </c>
      <c r="AI208">
        <v>14</v>
      </c>
      <c r="AJ208">
        <v>0</v>
      </c>
      <c r="AK208">
        <v>7</v>
      </c>
      <c r="AL208" t="s">
        <v>4193</v>
      </c>
      <c r="AM208" t="s">
        <v>4194</v>
      </c>
      <c r="AN208" t="s">
        <v>4195</v>
      </c>
      <c r="AO208" t="s">
        <v>4196</v>
      </c>
      <c r="AP208" t="s">
        <v>74</v>
      </c>
      <c r="AQ208" t="s">
        <v>74</v>
      </c>
      <c r="AR208" t="s">
        <v>4197</v>
      </c>
      <c r="AS208" t="s">
        <v>4198</v>
      </c>
      <c r="AT208" t="s">
        <v>4154</v>
      </c>
      <c r="AU208">
        <v>2012</v>
      </c>
      <c r="AV208">
        <v>42</v>
      </c>
      <c r="AW208">
        <v>4</v>
      </c>
      <c r="AX208" t="s">
        <v>74</v>
      </c>
      <c r="AY208" t="s">
        <v>74</v>
      </c>
      <c r="AZ208" t="s">
        <v>74</v>
      </c>
      <c r="BA208" t="s">
        <v>74</v>
      </c>
      <c r="BB208">
        <v>286</v>
      </c>
      <c r="BC208">
        <v>304</v>
      </c>
      <c r="BD208" t="s">
        <v>74</v>
      </c>
      <c r="BE208" t="s">
        <v>4199</v>
      </c>
      <c r="BF208" t="str">
        <f>HYPERLINK("http://dx.doi.org/10.2113/gsjfr.42.4.286","http://dx.doi.org/10.2113/gsjfr.42.4.286")</f>
        <v>http://dx.doi.org/10.2113/gsjfr.42.4.286</v>
      </c>
      <c r="BG208" t="s">
        <v>74</v>
      </c>
      <c r="BH208" t="s">
        <v>74</v>
      </c>
      <c r="BI208">
        <v>19</v>
      </c>
      <c r="BJ208" t="s">
        <v>4200</v>
      </c>
      <c r="BK208" t="s">
        <v>98</v>
      </c>
      <c r="BL208" t="s">
        <v>4200</v>
      </c>
      <c r="BM208" t="s">
        <v>4201</v>
      </c>
      <c r="BN208" t="s">
        <v>74</v>
      </c>
      <c r="BO208" t="s">
        <v>74</v>
      </c>
      <c r="BP208" t="s">
        <v>74</v>
      </c>
      <c r="BQ208" t="s">
        <v>74</v>
      </c>
      <c r="BR208" t="s">
        <v>101</v>
      </c>
      <c r="BS208" t="s">
        <v>4202</v>
      </c>
      <c r="BT208" t="str">
        <f>HYPERLINK("https%3A%2F%2Fwww.webofscience.com%2Fwos%2Fwoscc%2Ffull-record%2FWOS:000311013400002","View Full Record in Web of Science")</f>
        <v>View Full Record in Web of Science</v>
      </c>
    </row>
    <row r="209" spans="1:72" x14ac:dyDescent="0.15">
      <c r="A209" t="s">
        <v>72</v>
      </c>
      <c r="B209" t="s">
        <v>4203</v>
      </c>
      <c r="C209" t="s">
        <v>74</v>
      </c>
      <c r="D209" t="s">
        <v>74</v>
      </c>
      <c r="E209" t="s">
        <v>74</v>
      </c>
      <c r="F209" t="s">
        <v>4204</v>
      </c>
      <c r="G209" t="s">
        <v>74</v>
      </c>
      <c r="H209" t="s">
        <v>74</v>
      </c>
      <c r="I209" t="s">
        <v>4205</v>
      </c>
      <c r="J209" t="s">
        <v>4181</v>
      </c>
      <c r="K209" t="s">
        <v>74</v>
      </c>
      <c r="L209" t="s">
        <v>74</v>
      </c>
      <c r="M209" t="s">
        <v>78</v>
      </c>
      <c r="N209" t="s">
        <v>79</v>
      </c>
      <c r="O209" t="s">
        <v>74</v>
      </c>
      <c r="P209" t="s">
        <v>74</v>
      </c>
      <c r="Q209" t="s">
        <v>74</v>
      </c>
      <c r="R209" t="s">
        <v>74</v>
      </c>
      <c r="S209" t="s">
        <v>74</v>
      </c>
      <c r="T209" t="s">
        <v>74</v>
      </c>
      <c r="U209" t="s">
        <v>4206</v>
      </c>
      <c r="V209" t="s">
        <v>4207</v>
      </c>
      <c r="W209" t="s">
        <v>4208</v>
      </c>
      <c r="X209" t="s">
        <v>4209</v>
      </c>
      <c r="Y209" t="s">
        <v>4210</v>
      </c>
      <c r="Z209" t="s">
        <v>4211</v>
      </c>
      <c r="AA209" t="s">
        <v>4212</v>
      </c>
      <c r="AB209" t="s">
        <v>4213</v>
      </c>
      <c r="AC209" t="s">
        <v>4214</v>
      </c>
      <c r="AD209" t="s">
        <v>4215</v>
      </c>
      <c r="AE209" t="s">
        <v>4216</v>
      </c>
      <c r="AF209" t="s">
        <v>74</v>
      </c>
      <c r="AG209">
        <v>121</v>
      </c>
      <c r="AH209">
        <v>8</v>
      </c>
      <c r="AI209">
        <v>8</v>
      </c>
      <c r="AJ209">
        <v>0</v>
      </c>
      <c r="AK209">
        <v>16</v>
      </c>
      <c r="AL209" t="s">
        <v>4193</v>
      </c>
      <c r="AM209" t="s">
        <v>4194</v>
      </c>
      <c r="AN209" t="s">
        <v>4195</v>
      </c>
      <c r="AO209" t="s">
        <v>4196</v>
      </c>
      <c r="AP209" t="s">
        <v>74</v>
      </c>
      <c r="AQ209" t="s">
        <v>74</v>
      </c>
      <c r="AR209" t="s">
        <v>4197</v>
      </c>
      <c r="AS209" t="s">
        <v>4198</v>
      </c>
      <c r="AT209" t="s">
        <v>4154</v>
      </c>
      <c r="AU209">
        <v>2012</v>
      </c>
      <c r="AV209">
        <v>42</v>
      </c>
      <c r="AW209">
        <v>4</v>
      </c>
      <c r="AX209" t="s">
        <v>74</v>
      </c>
      <c r="AY209" t="s">
        <v>74</v>
      </c>
      <c r="AZ209" t="s">
        <v>74</v>
      </c>
      <c r="BA209" t="s">
        <v>74</v>
      </c>
      <c r="BB209">
        <v>345</v>
      </c>
      <c r="BC209">
        <v>368</v>
      </c>
      <c r="BD209" t="s">
        <v>74</v>
      </c>
      <c r="BE209" t="s">
        <v>4217</v>
      </c>
      <c r="BF209" t="str">
        <f>HYPERLINK("http://dx.doi.org/10.2113/gsjfr.42.4.345","http://dx.doi.org/10.2113/gsjfr.42.4.345")</f>
        <v>http://dx.doi.org/10.2113/gsjfr.42.4.345</v>
      </c>
      <c r="BG209" t="s">
        <v>74</v>
      </c>
      <c r="BH209" t="s">
        <v>74</v>
      </c>
      <c r="BI209">
        <v>24</v>
      </c>
      <c r="BJ209" t="s">
        <v>4200</v>
      </c>
      <c r="BK209" t="s">
        <v>98</v>
      </c>
      <c r="BL209" t="s">
        <v>4200</v>
      </c>
      <c r="BM209" t="s">
        <v>4201</v>
      </c>
      <c r="BN209" t="s">
        <v>74</v>
      </c>
      <c r="BO209" t="s">
        <v>74</v>
      </c>
      <c r="BP209" t="s">
        <v>74</v>
      </c>
      <c r="BQ209" t="s">
        <v>74</v>
      </c>
      <c r="BR209" t="s">
        <v>101</v>
      </c>
      <c r="BS209" t="s">
        <v>4218</v>
      </c>
      <c r="BT209" t="str">
        <f>HYPERLINK("https%3A%2F%2Fwww.webofscience.com%2Fwos%2Fwoscc%2Ffull-record%2FWOS:000311013400006","View Full Record in Web of Science")</f>
        <v>View Full Record in Web of Science</v>
      </c>
    </row>
    <row r="210" spans="1:72" x14ac:dyDescent="0.15">
      <c r="A210" t="s">
        <v>72</v>
      </c>
      <c r="B210" t="s">
        <v>4219</v>
      </c>
      <c r="C210" t="s">
        <v>74</v>
      </c>
      <c r="D210" t="s">
        <v>74</v>
      </c>
      <c r="E210" t="s">
        <v>74</v>
      </c>
      <c r="F210" t="s">
        <v>4220</v>
      </c>
      <c r="G210" t="s">
        <v>74</v>
      </c>
      <c r="H210" t="s">
        <v>74</v>
      </c>
      <c r="I210" t="s">
        <v>4221</v>
      </c>
      <c r="J210" t="s">
        <v>2580</v>
      </c>
      <c r="K210" t="s">
        <v>74</v>
      </c>
      <c r="L210" t="s">
        <v>74</v>
      </c>
      <c r="M210" t="s">
        <v>78</v>
      </c>
      <c r="N210" t="s">
        <v>79</v>
      </c>
      <c r="O210" t="s">
        <v>74</v>
      </c>
      <c r="P210" t="s">
        <v>74</v>
      </c>
      <c r="Q210" t="s">
        <v>74</v>
      </c>
      <c r="R210" t="s">
        <v>74</v>
      </c>
      <c r="S210" t="s">
        <v>74</v>
      </c>
      <c r="T210" t="s">
        <v>74</v>
      </c>
      <c r="U210" t="s">
        <v>4222</v>
      </c>
      <c r="V210" t="s">
        <v>4223</v>
      </c>
      <c r="W210" t="s">
        <v>4224</v>
      </c>
      <c r="X210" t="s">
        <v>4225</v>
      </c>
      <c r="Y210" t="s">
        <v>4226</v>
      </c>
      <c r="Z210" t="s">
        <v>4227</v>
      </c>
      <c r="AA210" t="s">
        <v>4228</v>
      </c>
      <c r="AB210" t="s">
        <v>4229</v>
      </c>
      <c r="AC210" t="s">
        <v>4230</v>
      </c>
      <c r="AD210" t="s">
        <v>4231</v>
      </c>
      <c r="AE210" t="s">
        <v>4232</v>
      </c>
      <c r="AF210" t="s">
        <v>74</v>
      </c>
      <c r="AG210">
        <v>81</v>
      </c>
      <c r="AH210">
        <v>43</v>
      </c>
      <c r="AI210">
        <v>49</v>
      </c>
      <c r="AJ210">
        <v>2</v>
      </c>
      <c r="AK210">
        <v>61</v>
      </c>
      <c r="AL210" t="s">
        <v>89</v>
      </c>
      <c r="AM210" t="s">
        <v>90</v>
      </c>
      <c r="AN210" t="s">
        <v>91</v>
      </c>
      <c r="AO210" t="s">
        <v>2592</v>
      </c>
      <c r="AP210" t="s">
        <v>2593</v>
      </c>
      <c r="AQ210" t="s">
        <v>74</v>
      </c>
      <c r="AR210" t="s">
        <v>2594</v>
      </c>
      <c r="AS210" t="s">
        <v>2595</v>
      </c>
      <c r="AT210" t="s">
        <v>4174</v>
      </c>
      <c r="AU210">
        <v>2012</v>
      </c>
      <c r="AV210">
        <v>94</v>
      </c>
      <c r="AW210" t="s">
        <v>74</v>
      </c>
      <c r="AX210" t="s">
        <v>74</v>
      </c>
      <c r="AY210" t="s">
        <v>74</v>
      </c>
      <c r="AZ210" t="s">
        <v>74</v>
      </c>
      <c r="BA210" t="s">
        <v>74</v>
      </c>
      <c r="BB210">
        <v>22</v>
      </c>
      <c r="BC210">
        <v>37</v>
      </c>
      <c r="BD210" t="s">
        <v>74</v>
      </c>
      <c r="BE210" t="s">
        <v>4233</v>
      </c>
      <c r="BF210" t="str">
        <f>HYPERLINK("http://dx.doi.org/10.1016/j.gca.2012.07.005","http://dx.doi.org/10.1016/j.gca.2012.07.005")</f>
        <v>http://dx.doi.org/10.1016/j.gca.2012.07.005</v>
      </c>
      <c r="BG210" t="s">
        <v>74</v>
      </c>
      <c r="BH210" t="s">
        <v>74</v>
      </c>
      <c r="BI210">
        <v>16</v>
      </c>
      <c r="BJ210" t="s">
        <v>241</v>
      </c>
      <c r="BK210" t="s">
        <v>98</v>
      </c>
      <c r="BL210" t="s">
        <v>241</v>
      </c>
      <c r="BM210" t="s">
        <v>4234</v>
      </c>
      <c r="BN210" t="s">
        <v>74</v>
      </c>
      <c r="BO210" t="s">
        <v>1254</v>
      </c>
      <c r="BP210" t="s">
        <v>74</v>
      </c>
      <c r="BQ210" t="s">
        <v>74</v>
      </c>
      <c r="BR210" t="s">
        <v>101</v>
      </c>
      <c r="BS210" t="s">
        <v>4235</v>
      </c>
      <c r="BT210" t="str">
        <f>HYPERLINK("https%3A%2F%2Fwww.webofscience.com%2Fwos%2Fwoscc%2Ffull-record%2FWOS:000309509400003","View Full Record in Web of Science")</f>
        <v>View Full Record in Web of Science</v>
      </c>
    </row>
    <row r="211" spans="1:72" x14ac:dyDescent="0.15">
      <c r="A211" t="s">
        <v>72</v>
      </c>
      <c r="B211" t="s">
        <v>4236</v>
      </c>
      <c r="C211" t="s">
        <v>74</v>
      </c>
      <c r="D211" t="s">
        <v>74</v>
      </c>
      <c r="E211" t="s">
        <v>74</v>
      </c>
      <c r="F211" t="s">
        <v>4237</v>
      </c>
      <c r="G211" t="s">
        <v>74</v>
      </c>
      <c r="H211" t="s">
        <v>74</v>
      </c>
      <c r="I211" t="s">
        <v>4238</v>
      </c>
      <c r="J211" t="s">
        <v>4239</v>
      </c>
      <c r="K211" t="s">
        <v>74</v>
      </c>
      <c r="L211" t="s">
        <v>74</v>
      </c>
      <c r="M211" t="s">
        <v>78</v>
      </c>
      <c r="N211" t="s">
        <v>974</v>
      </c>
      <c r="O211" t="s">
        <v>74</v>
      </c>
      <c r="P211" t="s">
        <v>74</v>
      </c>
      <c r="Q211" t="s">
        <v>74</v>
      </c>
      <c r="R211" t="s">
        <v>74</v>
      </c>
      <c r="S211" t="s">
        <v>74</v>
      </c>
      <c r="T211" t="s">
        <v>4240</v>
      </c>
      <c r="U211" t="s">
        <v>4241</v>
      </c>
      <c r="V211" t="s">
        <v>4242</v>
      </c>
      <c r="W211" t="s">
        <v>4243</v>
      </c>
      <c r="X211" t="s">
        <v>4244</v>
      </c>
      <c r="Y211" t="s">
        <v>4245</v>
      </c>
      <c r="Z211" t="s">
        <v>4246</v>
      </c>
      <c r="AA211" t="s">
        <v>4247</v>
      </c>
      <c r="AB211" t="s">
        <v>4248</v>
      </c>
      <c r="AC211" t="s">
        <v>74</v>
      </c>
      <c r="AD211" t="s">
        <v>74</v>
      </c>
      <c r="AE211" t="s">
        <v>74</v>
      </c>
      <c r="AF211" t="s">
        <v>74</v>
      </c>
      <c r="AG211">
        <v>40</v>
      </c>
      <c r="AH211">
        <v>25</v>
      </c>
      <c r="AI211">
        <v>25</v>
      </c>
      <c r="AJ211">
        <v>5</v>
      </c>
      <c r="AK211">
        <v>107</v>
      </c>
      <c r="AL211" t="s">
        <v>4249</v>
      </c>
      <c r="AM211" t="s">
        <v>4250</v>
      </c>
      <c r="AN211" t="s">
        <v>4251</v>
      </c>
      <c r="AO211" t="s">
        <v>4252</v>
      </c>
      <c r="AP211" t="s">
        <v>74</v>
      </c>
      <c r="AQ211" t="s">
        <v>74</v>
      </c>
      <c r="AR211" t="s">
        <v>4253</v>
      </c>
      <c r="AS211" t="s">
        <v>4254</v>
      </c>
      <c r="AT211" t="s">
        <v>4154</v>
      </c>
      <c r="AU211">
        <v>2012</v>
      </c>
      <c r="AV211">
        <v>3</v>
      </c>
      <c r="AW211">
        <v>4</v>
      </c>
      <c r="AX211" t="s">
        <v>74</v>
      </c>
      <c r="AY211" t="s">
        <v>74</v>
      </c>
      <c r="AZ211" t="s">
        <v>1019</v>
      </c>
      <c r="BA211" t="s">
        <v>74</v>
      </c>
      <c r="BB211">
        <v>485</v>
      </c>
      <c r="BC211">
        <v>493</v>
      </c>
      <c r="BD211" t="s">
        <v>74</v>
      </c>
      <c r="BE211" t="s">
        <v>4255</v>
      </c>
      <c r="BF211" t="str">
        <f>HYPERLINK("http://dx.doi.org/10.5094/APR.2012.056","http://dx.doi.org/10.5094/APR.2012.056")</f>
        <v>http://dx.doi.org/10.5094/APR.2012.056</v>
      </c>
      <c r="BG211" t="s">
        <v>74</v>
      </c>
      <c r="BH211" t="s">
        <v>74</v>
      </c>
      <c r="BI211">
        <v>9</v>
      </c>
      <c r="BJ211" t="s">
        <v>332</v>
      </c>
      <c r="BK211" t="s">
        <v>98</v>
      </c>
      <c r="BL211" t="s">
        <v>333</v>
      </c>
      <c r="BM211" t="s">
        <v>4256</v>
      </c>
      <c r="BN211" t="s">
        <v>74</v>
      </c>
      <c r="BO211" t="s">
        <v>380</v>
      </c>
      <c r="BP211" t="s">
        <v>74</v>
      </c>
      <c r="BQ211" t="s">
        <v>74</v>
      </c>
      <c r="BR211" t="s">
        <v>101</v>
      </c>
      <c r="BS211" t="s">
        <v>4257</v>
      </c>
      <c r="BT211" t="str">
        <f>HYPERLINK("https%3A%2F%2Fwww.webofscience.com%2Fwos%2Fwoscc%2Ffull-record%2FWOS:000310516300018","View Full Record in Web of Science")</f>
        <v>View Full Record in Web of Science</v>
      </c>
    </row>
    <row r="212" spans="1:72" x14ac:dyDescent="0.15">
      <c r="A212" t="s">
        <v>72</v>
      </c>
      <c r="B212" t="s">
        <v>4258</v>
      </c>
      <c r="C212" t="s">
        <v>74</v>
      </c>
      <c r="D212" t="s">
        <v>74</v>
      </c>
      <c r="E212" t="s">
        <v>74</v>
      </c>
      <c r="F212" t="s">
        <v>4259</v>
      </c>
      <c r="G212" t="s">
        <v>74</v>
      </c>
      <c r="H212" t="s">
        <v>74</v>
      </c>
      <c r="I212" t="s">
        <v>4260</v>
      </c>
      <c r="J212" t="s">
        <v>4261</v>
      </c>
      <c r="K212" t="s">
        <v>74</v>
      </c>
      <c r="L212" t="s">
        <v>74</v>
      </c>
      <c r="M212" t="s">
        <v>78</v>
      </c>
      <c r="N212" t="s">
        <v>79</v>
      </c>
      <c r="O212" t="s">
        <v>74</v>
      </c>
      <c r="P212" t="s">
        <v>74</v>
      </c>
      <c r="Q212" t="s">
        <v>74</v>
      </c>
      <c r="R212" t="s">
        <v>74</v>
      </c>
      <c r="S212" t="s">
        <v>74</v>
      </c>
      <c r="T212" t="s">
        <v>74</v>
      </c>
      <c r="U212" t="s">
        <v>74</v>
      </c>
      <c r="V212" t="s">
        <v>74</v>
      </c>
      <c r="W212" t="s">
        <v>4262</v>
      </c>
      <c r="X212" t="s">
        <v>4263</v>
      </c>
      <c r="Y212" t="s">
        <v>4264</v>
      </c>
      <c r="Z212" t="s">
        <v>4265</v>
      </c>
      <c r="AA212" t="s">
        <v>4266</v>
      </c>
      <c r="AB212" t="s">
        <v>4267</v>
      </c>
      <c r="AC212" t="s">
        <v>4268</v>
      </c>
      <c r="AD212" t="s">
        <v>4269</v>
      </c>
      <c r="AE212" t="s">
        <v>4270</v>
      </c>
      <c r="AF212" t="s">
        <v>74</v>
      </c>
      <c r="AG212">
        <v>5</v>
      </c>
      <c r="AH212">
        <v>5</v>
      </c>
      <c r="AI212">
        <v>5</v>
      </c>
      <c r="AJ212">
        <v>0</v>
      </c>
      <c r="AK212">
        <v>6</v>
      </c>
      <c r="AL212" t="s">
        <v>1130</v>
      </c>
      <c r="AM212" t="s">
        <v>371</v>
      </c>
      <c r="AN212" t="s">
        <v>1131</v>
      </c>
      <c r="AO212" t="s">
        <v>4271</v>
      </c>
      <c r="AP212" t="s">
        <v>74</v>
      </c>
      <c r="AQ212" t="s">
        <v>74</v>
      </c>
      <c r="AR212" t="s">
        <v>4272</v>
      </c>
      <c r="AS212" t="s">
        <v>4273</v>
      </c>
      <c r="AT212" t="s">
        <v>4154</v>
      </c>
      <c r="AU212">
        <v>2012</v>
      </c>
      <c r="AV212">
        <v>446</v>
      </c>
      <c r="AW212">
        <v>2</v>
      </c>
      <c r="AX212" t="s">
        <v>74</v>
      </c>
      <c r="AY212" t="s">
        <v>74</v>
      </c>
      <c r="AZ212" t="s">
        <v>74</v>
      </c>
      <c r="BA212" t="s">
        <v>74</v>
      </c>
      <c r="BB212">
        <v>1190</v>
      </c>
      <c r="BC212">
        <v>1192</v>
      </c>
      <c r="BD212" t="s">
        <v>74</v>
      </c>
      <c r="BE212" t="s">
        <v>4274</v>
      </c>
      <c r="BF212" t="str">
        <f>HYPERLINK("http://dx.doi.org/10.1134/S1028334X12080223","http://dx.doi.org/10.1134/S1028334X12080223")</f>
        <v>http://dx.doi.org/10.1134/S1028334X12080223</v>
      </c>
      <c r="BG212" t="s">
        <v>74</v>
      </c>
      <c r="BH212" t="s">
        <v>74</v>
      </c>
      <c r="BI212">
        <v>3</v>
      </c>
      <c r="BJ212" t="s">
        <v>461</v>
      </c>
      <c r="BK212" t="s">
        <v>98</v>
      </c>
      <c r="BL212" t="s">
        <v>462</v>
      </c>
      <c r="BM212" t="s">
        <v>4275</v>
      </c>
      <c r="BN212" t="s">
        <v>74</v>
      </c>
      <c r="BO212" t="s">
        <v>74</v>
      </c>
      <c r="BP212" t="s">
        <v>74</v>
      </c>
      <c r="BQ212" t="s">
        <v>74</v>
      </c>
      <c r="BR212" t="s">
        <v>101</v>
      </c>
      <c r="BS212" t="s">
        <v>4276</v>
      </c>
      <c r="BT212" t="str">
        <f>HYPERLINK("https%3A%2F%2Fwww.webofscience.com%2Fwos%2Fwoscc%2Ffull-record%2FWOS:000310809400012","View Full Record in Web of Science")</f>
        <v>View Full Record in Web of Science</v>
      </c>
    </row>
    <row r="213" spans="1:72" x14ac:dyDescent="0.15">
      <c r="A213" t="s">
        <v>72</v>
      </c>
      <c r="B213" t="s">
        <v>4277</v>
      </c>
      <c r="C213" t="s">
        <v>74</v>
      </c>
      <c r="D213" t="s">
        <v>74</v>
      </c>
      <c r="E213" t="s">
        <v>74</v>
      </c>
      <c r="F213" t="s">
        <v>4278</v>
      </c>
      <c r="G213" t="s">
        <v>74</v>
      </c>
      <c r="H213" t="s">
        <v>74</v>
      </c>
      <c r="I213" t="s">
        <v>4279</v>
      </c>
      <c r="J213" t="s">
        <v>4280</v>
      </c>
      <c r="K213" t="s">
        <v>74</v>
      </c>
      <c r="L213" t="s">
        <v>74</v>
      </c>
      <c r="M213" t="s">
        <v>78</v>
      </c>
      <c r="N213" t="s">
        <v>79</v>
      </c>
      <c r="O213" t="s">
        <v>74</v>
      </c>
      <c r="P213" t="s">
        <v>74</v>
      </c>
      <c r="Q213" t="s">
        <v>74</v>
      </c>
      <c r="R213" t="s">
        <v>74</v>
      </c>
      <c r="S213" t="s">
        <v>74</v>
      </c>
      <c r="T213" t="s">
        <v>4281</v>
      </c>
      <c r="U213" t="s">
        <v>4282</v>
      </c>
      <c r="V213" t="s">
        <v>4283</v>
      </c>
      <c r="W213" t="s">
        <v>4284</v>
      </c>
      <c r="X213" t="s">
        <v>4285</v>
      </c>
      <c r="Y213" t="s">
        <v>4286</v>
      </c>
      <c r="Z213" t="s">
        <v>4287</v>
      </c>
      <c r="AA213" t="s">
        <v>4288</v>
      </c>
      <c r="AB213" t="s">
        <v>4289</v>
      </c>
      <c r="AC213" t="s">
        <v>4290</v>
      </c>
      <c r="AD213" t="s">
        <v>4291</v>
      </c>
      <c r="AE213" t="s">
        <v>4292</v>
      </c>
      <c r="AF213" t="s">
        <v>74</v>
      </c>
      <c r="AG213">
        <v>81</v>
      </c>
      <c r="AH213">
        <v>0</v>
      </c>
      <c r="AI213">
        <v>3</v>
      </c>
      <c r="AJ213">
        <v>0</v>
      </c>
      <c r="AK213">
        <v>5</v>
      </c>
      <c r="AL213" t="s">
        <v>259</v>
      </c>
      <c r="AM213" t="s">
        <v>189</v>
      </c>
      <c r="AN213" t="s">
        <v>260</v>
      </c>
      <c r="AO213" t="s">
        <v>4293</v>
      </c>
      <c r="AP213" t="s">
        <v>4294</v>
      </c>
      <c r="AQ213" t="s">
        <v>74</v>
      </c>
      <c r="AR213" t="s">
        <v>4295</v>
      </c>
      <c r="AS213" t="s">
        <v>4296</v>
      </c>
      <c r="AT213" t="s">
        <v>4297</v>
      </c>
      <c r="AU213">
        <v>2012</v>
      </c>
      <c r="AV213" t="s">
        <v>4298</v>
      </c>
      <c r="AW213" t="s">
        <v>74</v>
      </c>
      <c r="AX213" t="s">
        <v>74</v>
      </c>
      <c r="AY213" t="s">
        <v>74</v>
      </c>
      <c r="AZ213" t="s">
        <v>1019</v>
      </c>
      <c r="BA213" t="s">
        <v>74</v>
      </c>
      <c r="BB213">
        <v>9</v>
      </c>
      <c r="BC213">
        <v>22</v>
      </c>
      <c r="BD213" t="s">
        <v>74</v>
      </c>
      <c r="BE213" t="s">
        <v>4299</v>
      </c>
      <c r="BF213" t="str">
        <f>HYPERLINK("http://dx.doi.org/10.1016/j.gloplacha.2012.02.004","http://dx.doi.org/10.1016/j.gloplacha.2012.02.004")</f>
        <v>http://dx.doi.org/10.1016/j.gloplacha.2012.02.004</v>
      </c>
      <c r="BG213" t="s">
        <v>74</v>
      </c>
      <c r="BH213" t="s">
        <v>74</v>
      </c>
      <c r="BI213">
        <v>14</v>
      </c>
      <c r="BJ213" t="s">
        <v>97</v>
      </c>
      <c r="BK213" t="s">
        <v>98</v>
      </c>
      <c r="BL213" t="s">
        <v>99</v>
      </c>
      <c r="BM213" t="s">
        <v>4300</v>
      </c>
      <c r="BN213" t="s">
        <v>74</v>
      </c>
      <c r="BO213" t="s">
        <v>74</v>
      </c>
      <c r="BP213" t="s">
        <v>74</v>
      </c>
      <c r="BQ213" t="s">
        <v>74</v>
      </c>
      <c r="BR213" t="s">
        <v>101</v>
      </c>
      <c r="BS213" t="s">
        <v>4301</v>
      </c>
      <c r="BT213" t="str">
        <f>HYPERLINK("https%3A%2F%2Fwww.webofscience.com%2Fwos%2Fwoscc%2Ffull-record%2FWOS:000309896800002","View Full Record in Web of Science")</f>
        <v>View Full Record in Web of Science</v>
      </c>
    </row>
    <row r="214" spans="1:72" x14ac:dyDescent="0.15">
      <c r="A214" t="s">
        <v>72</v>
      </c>
      <c r="B214" t="s">
        <v>4302</v>
      </c>
      <c r="C214" t="s">
        <v>74</v>
      </c>
      <c r="D214" t="s">
        <v>74</v>
      </c>
      <c r="E214" t="s">
        <v>74</v>
      </c>
      <c r="F214" t="s">
        <v>4303</v>
      </c>
      <c r="G214" t="s">
        <v>74</v>
      </c>
      <c r="H214" t="s">
        <v>74</v>
      </c>
      <c r="I214" t="s">
        <v>4304</v>
      </c>
      <c r="J214" t="s">
        <v>4280</v>
      </c>
      <c r="K214" t="s">
        <v>74</v>
      </c>
      <c r="L214" t="s">
        <v>74</v>
      </c>
      <c r="M214" t="s">
        <v>78</v>
      </c>
      <c r="N214" t="s">
        <v>79</v>
      </c>
      <c r="O214" t="s">
        <v>74</v>
      </c>
      <c r="P214" t="s">
        <v>74</v>
      </c>
      <c r="Q214" t="s">
        <v>74</v>
      </c>
      <c r="R214" t="s">
        <v>74</v>
      </c>
      <c r="S214" t="s">
        <v>74</v>
      </c>
      <c r="T214" t="s">
        <v>4305</v>
      </c>
      <c r="U214" t="s">
        <v>4306</v>
      </c>
      <c r="V214" t="s">
        <v>4307</v>
      </c>
      <c r="W214" t="s">
        <v>4308</v>
      </c>
      <c r="X214" t="s">
        <v>4309</v>
      </c>
      <c r="Y214" t="s">
        <v>4310</v>
      </c>
      <c r="Z214" t="s">
        <v>4311</v>
      </c>
      <c r="AA214" t="s">
        <v>4312</v>
      </c>
      <c r="AB214" t="s">
        <v>4313</v>
      </c>
      <c r="AC214" t="s">
        <v>4314</v>
      </c>
      <c r="AD214" t="s">
        <v>4315</v>
      </c>
      <c r="AE214" t="s">
        <v>4316</v>
      </c>
      <c r="AF214" t="s">
        <v>74</v>
      </c>
      <c r="AG214">
        <v>84</v>
      </c>
      <c r="AH214">
        <v>25</v>
      </c>
      <c r="AI214">
        <v>32</v>
      </c>
      <c r="AJ214">
        <v>1</v>
      </c>
      <c r="AK214">
        <v>26</v>
      </c>
      <c r="AL214" t="s">
        <v>188</v>
      </c>
      <c r="AM214" t="s">
        <v>189</v>
      </c>
      <c r="AN214" t="s">
        <v>190</v>
      </c>
      <c r="AO214" t="s">
        <v>4293</v>
      </c>
      <c r="AP214" t="s">
        <v>4294</v>
      </c>
      <c r="AQ214" t="s">
        <v>74</v>
      </c>
      <c r="AR214" t="s">
        <v>4295</v>
      </c>
      <c r="AS214" t="s">
        <v>4296</v>
      </c>
      <c r="AT214" t="s">
        <v>4297</v>
      </c>
      <c r="AU214">
        <v>2012</v>
      </c>
      <c r="AV214" t="s">
        <v>4298</v>
      </c>
      <c r="AW214" t="s">
        <v>74</v>
      </c>
      <c r="AX214" t="s">
        <v>74</v>
      </c>
      <c r="AY214" t="s">
        <v>74</v>
      </c>
      <c r="AZ214" t="s">
        <v>1019</v>
      </c>
      <c r="BA214" t="s">
        <v>74</v>
      </c>
      <c r="BB214">
        <v>23</v>
      </c>
      <c r="BC214">
        <v>40</v>
      </c>
      <c r="BD214" t="s">
        <v>74</v>
      </c>
      <c r="BE214" t="s">
        <v>4317</v>
      </c>
      <c r="BF214" t="str">
        <f>HYPERLINK("http://dx.doi.org/10.1016/j.gloplacha.2009.12.002","http://dx.doi.org/10.1016/j.gloplacha.2009.12.002")</f>
        <v>http://dx.doi.org/10.1016/j.gloplacha.2009.12.002</v>
      </c>
      <c r="BG214" t="s">
        <v>74</v>
      </c>
      <c r="BH214" t="s">
        <v>74</v>
      </c>
      <c r="BI214">
        <v>18</v>
      </c>
      <c r="BJ214" t="s">
        <v>97</v>
      </c>
      <c r="BK214" t="s">
        <v>98</v>
      </c>
      <c r="BL214" t="s">
        <v>99</v>
      </c>
      <c r="BM214" t="s">
        <v>4300</v>
      </c>
      <c r="BN214" t="s">
        <v>74</v>
      </c>
      <c r="BO214" t="s">
        <v>1499</v>
      </c>
      <c r="BP214" t="s">
        <v>74</v>
      </c>
      <c r="BQ214" t="s">
        <v>74</v>
      </c>
      <c r="BR214" t="s">
        <v>101</v>
      </c>
      <c r="BS214" t="s">
        <v>4318</v>
      </c>
      <c r="BT214" t="str">
        <f>HYPERLINK("https%3A%2F%2Fwww.webofscience.com%2Fwos%2Fwoscc%2Ffull-record%2FWOS:000309896800003","View Full Record in Web of Science")</f>
        <v>View Full Record in Web of Science</v>
      </c>
    </row>
    <row r="215" spans="1:72" x14ac:dyDescent="0.15">
      <c r="A215" t="s">
        <v>72</v>
      </c>
      <c r="B215" t="s">
        <v>4319</v>
      </c>
      <c r="C215" t="s">
        <v>74</v>
      </c>
      <c r="D215" t="s">
        <v>74</v>
      </c>
      <c r="E215" t="s">
        <v>74</v>
      </c>
      <c r="F215" t="s">
        <v>4320</v>
      </c>
      <c r="G215" t="s">
        <v>74</v>
      </c>
      <c r="H215" t="s">
        <v>74</v>
      </c>
      <c r="I215" t="s">
        <v>4321</v>
      </c>
      <c r="J215" t="s">
        <v>4280</v>
      </c>
      <c r="K215" t="s">
        <v>74</v>
      </c>
      <c r="L215" t="s">
        <v>74</v>
      </c>
      <c r="M215" t="s">
        <v>78</v>
      </c>
      <c r="N215" t="s">
        <v>79</v>
      </c>
      <c r="O215" t="s">
        <v>74</v>
      </c>
      <c r="P215" t="s">
        <v>74</v>
      </c>
      <c r="Q215" t="s">
        <v>74</v>
      </c>
      <c r="R215" t="s">
        <v>74</v>
      </c>
      <c r="S215" t="s">
        <v>74</v>
      </c>
      <c r="T215" t="s">
        <v>4322</v>
      </c>
      <c r="U215" t="s">
        <v>4323</v>
      </c>
      <c r="V215" t="s">
        <v>4324</v>
      </c>
      <c r="W215" t="s">
        <v>4325</v>
      </c>
      <c r="X215" t="s">
        <v>4326</v>
      </c>
      <c r="Y215" t="s">
        <v>4327</v>
      </c>
      <c r="Z215" t="s">
        <v>4328</v>
      </c>
      <c r="AA215" t="s">
        <v>4329</v>
      </c>
      <c r="AB215" t="s">
        <v>4330</v>
      </c>
      <c r="AC215" t="s">
        <v>4331</v>
      </c>
      <c r="AD215" t="s">
        <v>4332</v>
      </c>
      <c r="AE215" t="s">
        <v>4333</v>
      </c>
      <c r="AF215" t="s">
        <v>74</v>
      </c>
      <c r="AG215">
        <v>94</v>
      </c>
      <c r="AH215">
        <v>26</v>
      </c>
      <c r="AI215">
        <v>29</v>
      </c>
      <c r="AJ215">
        <v>0</v>
      </c>
      <c r="AK215">
        <v>54</v>
      </c>
      <c r="AL215" t="s">
        <v>188</v>
      </c>
      <c r="AM215" t="s">
        <v>189</v>
      </c>
      <c r="AN215" t="s">
        <v>190</v>
      </c>
      <c r="AO215" t="s">
        <v>4293</v>
      </c>
      <c r="AP215" t="s">
        <v>4294</v>
      </c>
      <c r="AQ215" t="s">
        <v>74</v>
      </c>
      <c r="AR215" t="s">
        <v>4295</v>
      </c>
      <c r="AS215" t="s">
        <v>4296</v>
      </c>
      <c r="AT215" t="s">
        <v>4297</v>
      </c>
      <c r="AU215">
        <v>2012</v>
      </c>
      <c r="AV215" t="s">
        <v>4298</v>
      </c>
      <c r="AW215" t="s">
        <v>74</v>
      </c>
      <c r="AX215" t="s">
        <v>74</v>
      </c>
      <c r="AY215" t="s">
        <v>74</v>
      </c>
      <c r="AZ215" t="s">
        <v>1019</v>
      </c>
      <c r="BA215" t="s">
        <v>74</v>
      </c>
      <c r="BB215">
        <v>41</v>
      </c>
      <c r="BC215">
        <v>58</v>
      </c>
      <c r="BD215" t="s">
        <v>74</v>
      </c>
      <c r="BE215" t="s">
        <v>4334</v>
      </c>
      <c r="BF215" t="str">
        <f>HYPERLINK("http://dx.doi.org/10.1016/j.gloplacha.2010.05.001","http://dx.doi.org/10.1016/j.gloplacha.2010.05.001")</f>
        <v>http://dx.doi.org/10.1016/j.gloplacha.2010.05.001</v>
      </c>
      <c r="BG215" t="s">
        <v>74</v>
      </c>
      <c r="BH215" t="s">
        <v>74</v>
      </c>
      <c r="BI215">
        <v>18</v>
      </c>
      <c r="BJ215" t="s">
        <v>97</v>
      </c>
      <c r="BK215" t="s">
        <v>98</v>
      </c>
      <c r="BL215" t="s">
        <v>99</v>
      </c>
      <c r="BM215" t="s">
        <v>4300</v>
      </c>
      <c r="BN215" t="s">
        <v>74</v>
      </c>
      <c r="BO215" t="s">
        <v>74</v>
      </c>
      <c r="BP215" t="s">
        <v>74</v>
      </c>
      <c r="BQ215" t="s">
        <v>74</v>
      </c>
      <c r="BR215" t="s">
        <v>101</v>
      </c>
      <c r="BS215" t="s">
        <v>4335</v>
      </c>
      <c r="BT215" t="str">
        <f>HYPERLINK("https%3A%2F%2Fwww.webofscience.com%2Fwos%2Fwoscc%2Ffull-record%2FWOS:000309896800004","View Full Record in Web of Science")</f>
        <v>View Full Record in Web of Science</v>
      </c>
    </row>
    <row r="216" spans="1:72" x14ac:dyDescent="0.15">
      <c r="A216" t="s">
        <v>72</v>
      </c>
      <c r="B216" t="s">
        <v>4336</v>
      </c>
      <c r="C216" t="s">
        <v>74</v>
      </c>
      <c r="D216" t="s">
        <v>74</v>
      </c>
      <c r="E216" t="s">
        <v>74</v>
      </c>
      <c r="F216" t="s">
        <v>4337</v>
      </c>
      <c r="G216" t="s">
        <v>74</v>
      </c>
      <c r="H216" t="s">
        <v>74</v>
      </c>
      <c r="I216" t="s">
        <v>4338</v>
      </c>
      <c r="J216" t="s">
        <v>4280</v>
      </c>
      <c r="K216" t="s">
        <v>74</v>
      </c>
      <c r="L216" t="s">
        <v>74</v>
      </c>
      <c r="M216" t="s">
        <v>78</v>
      </c>
      <c r="N216" t="s">
        <v>79</v>
      </c>
      <c r="O216" t="s">
        <v>74</v>
      </c>
      <c r="P216" t="s">
        <v>74</v>
      </c>
      <c r="Q216" t="s">
        <v>74</v>
      </c>
      <c r="R216" t="s">
        <v>74</v>
      </c>
      <c r="S216" t="s">
        <v>74</v>
      </c>
      <c r="T216" t="s">
        <v>4339</v>
      </c>
      <c r="U216" t="s">
        <v>4340</v>
      </c>
      <c r="V216" t="s">
        <v>4341</v>
      </c>
      <c r="W216" t="s">
        <v>4342</v>
      </c>
      <c r="X216" t="s">
        <v>4343</v>
      </c>
      <c r="Y216" t="s">
        <v>4344</v>
      </c>
      <c r="Z216" t="s">
        <v>4345</v>
      </c>
      <c r="AA216" t="s">
        <v>4346</v>
      </c>
      <c r="AB216" t="s">
        <v>4347</v>
      </c>
      <c r="AC216" t="s">
        <v>4348</v>
      </c>
      <c r="AD216" t="s">
        <v>4349</v>
      </c>
      <c r="AE216" t="s">
        <v>4350</v>
      </c>
      <c r="AF216" t="s">
        <v>74</v>
      </c>
      <c r="AG216">
        <v>66</v>
      </c>
      <c r="AH216">
        <v>16</v>
      </c>
      <c r="AI216">
        <v>20</v>
      </c>
      <c r="AJ216">
        <v>2</v>
      </c>
      <c r="AK216">
        <v>22</v>
      </c>
      <c r="AL216" t="s">
        <v>188</v>
      </c>
      <c r="AM216" t="s">
        <v>189</v>
      </c>
      <c r="AN216" t="s">
        <v>190</v>
      </c>
      <c r="AO216" t="s">
        <v>4293</v>
      </c>
      <c r="AP216" t="s">
        <v>4294</v>
      </c>
      <c r="AQ216" t="s">
        <v>74</v>
      </c>
      <c r="AR216" t="s">
        <v>4295</v>
      </c>
      <c r="AS216" t="s">
        <v>4296</v>
      </c>
      <c r="AT216" t="s">
        <v>4297</v>
      </c>
      <c r="AU216">
        <v>2012</v>
      </c>
      <c r="AV216" t="s">
        <v>4298</v>
      </c>
      <c r="AW216" t="s">
        <v>74</v>
      </c>
      <c r="AX216" t="s">
        <v>74</v>
      </c>
      <c r="AY216" t="s">
        <v>74</v>
      </c>
      <c r="AZ216" t="s">
        <v>1019</v>
      </c>
      <c r="BA216" t="s">
        <v>74</v>
      </c>
      <c r="BB216">
        <v>59</v>
      </c>
      <c r="BC216">
        <v>74</v>
      </c>
      <c r="BD216" t="s">
        <v>74</v>
      </c>
      <c r="BE216" t="s">
        <v>4351</v>
      </c>
      <c r="BF216" t="str">
        <f>HYPERLINK("http://dx.doi.org/10.1016/j.gloplacha.2010.04.004","http://dx.doi.org/10.1016/j.gloplacha.2010.04.004")</f>
        <v>http://dx.doi.org/10.1016/j.gloplacha.2010.04.004</v>
      </c>
      <c r="BG216" t="s">
        <v>74</v>
      </c>
      <c r="BH216" t="s">
        <v>74</v>
      </c>
      <c r="BI216">
        <v>16</v>
      </c>
      <c r="BJ216" t="s">
        <v>97</v>
      </c>
      <c r="BK216" t="s">
        <v>98</v>
      </c>
      <c r="BL216" t="s">
        <v>99</v>
      </c>
      <c r="BM216" t="s">
        <v>4300</v>
      </c>
      <c r="BN216" t="s">
        <v>74</v>
      </c>
      <c r="BO216" t="s">
        <v>74</v>
      </c>
      <c r="BP216" t="s">
        <v>74</v>
      </c>
      <c r="BQ216" t="s">
        <v>74</v>
      </c>
      <c r="BR216" t="s">
        <v>101</v>
      </c>
      <c r="BS216" t="s">
        <v>4352</v>
      </c>
      <c r="BT216" t="str">
        <f>HYPERLINK("https%3A%2F%2Fwww.webofscience.com%2Fwos%2Fwoscc%2Ffull-record%2FWOS:000309896800005","View Full Record in Web of Science")</f>
        <v>View Full Record in Web of Science</v>
      </c>
    </row>
    <row r="217" spans="1:72" x14ac:dyDescent="0.15">
      <c r="A217" t="s">
        <v>72</v>
      </c>
      <c r="B217" t="s">
        <v>4353</v>
      </c>
      <c r="C217" t="s">
        <v>74</v>
      </c>
      <c r="D217" t="s">
        <v>74</v>
      </c>
      <c r="E217" t="s">
        <v>74</v>
      </c>
      <c r="F217" t="s">
        <v>4354</v>
      </c>
      <c r="G217" t="s">
        <v>74</v>
      </c>
      <c r="H217" t="s">
        <v>74</v>
      </c>
      <c r="I217" t="s">
        <v>4355</v>
      </c>
      <c r="J217" t="s">
        <v>4280</v>
      </c>
      <c r="K217" t="s">
        <v>74</v>
      </c>
      <c r="L217" t="s">
        <v>74</v>
      </c>
      <c r="M217" t="s">
        <v>78</v>
      </c>
      <c r="N217" t="s">
        <v>79</v>
      </c>
      <c r="O217" t="s">
        <v>74</v>
      </c>
      <c r="P217" t="s">
        <v>74</v>
      </c>
      <c r="Q217" t="s">
        <v>74</v>
      </c>
      <c r="R217" t="s">
        <v>74</v>
      </c>
      <c r="S217" t="s">
        <v>74</v>
      </c>
      <c r="T217" t="s">
        <v>4356</v>
      </c>
      <c r="U217" t="s">
        <v>4357</v>
      </c>
      <c r="V217" t="s">
        <v>4358</v>
      </c>
      <c r="W217" t="s">
        <v>4359</v>
      </c>
      <c r="X217" t="s">
        <v>4360</v>
      </c>
      <c r="Y217" t="s">
        <v>4361</v>
      </c>
      <c r="Z217" t="s">
        <v>4362</v>
      </c>
      <c r="AA217" t="s">
        <v>74</v>
      </c>
      <c r="AB217" t="s">
        <v>4363</v>
      </c>
      <c r="AC217" t="s">
        <v>4364</v>
      </c>
      <c r="AD217" t="s">
        <v>4365</v>
      </c>
      <c r="AE217" t="s">
        <v>4366</v>
      </c>
      <c r="AF217" t="s">
        <v>74</v>
      </c>
      <c r="AG217">
        <v>64</v>
      </c>
      <c r="AH217">
        <v>15</v>
      </c>
      <c r="AI217">
        <v>17</v>
      </c>
      <c r="AJ217">
        <v>2</v>
      </c>
      <c r="AK217">
        <v>24</v>
      </c>
      <c r="AL217" t="s">
        <v>188</v>
      </c>
      <c r="AM217" t="s">
        <v>189</v>
      </c>
      <c r="AN217" t="s">
        <v>190</v>
      </c>
      <c r="AO217" t="s">
        <v>4293</v>
      </c>
      <c r="AP217" t="s">
        <v>4294</v>
      </c>
      <c r="AQ217" t="s">
        <v>74</v>
      </c>
      <c r="AR217" t="s">
        <v>4295</v>
      </c>
      <c r="AS217" t="s">
        <v>4296</v>
      </c>
      <c r="AT217" t="s">
        <v>4297</v>
      </c>
      <c r="AU217">
        <v>2012</v>
      </c>
      <c r="AV217" t="s">
        <v>4298</v>
      </c>
      <c r="AW217" t="s">
        <v>74</v>
      </c>
      <c r="AX217" t="s">
        <v>74</v>
      </c>
      <c r="AY217" t="s">
        <v>74</v>
      </c>
      <c r="AZ217" t="s">
        <v>1019</v>
      </c>
      <c r="BA217" t="s">
        <v>74</v>
      </c>
      <c r="BB217">
        <v>75</v>
      </c>
      <c r="BC217">
        <v>86</v>
      </c>
      <c r="BD217" t="s">
        <v>74</v>
      </c>
      <c r="BE217" t="s">
        <v>4367</v>
      </c>
      <c r="BF217" t="str">
        <f>HYPERLINK("http://dx.doi.org/10.1016/j.gloplacha.2009.12.003","http://dx.doi.org/10.1016/j.gloplacha.2009.12.003")</f>
        <v>http://dx.doi.org/10.1016/j.gloplacha.2009.12.003</v>
      </c>
      <c r="BG217" t="s">
        <v>74</v>
      </c>
      <c r="BH217" t="s">
        <v>74</v>
      </c>
      <c r="BI217">
        <v>12</v>
      </c>
      <c r="BJ217" t="s">
        <v>97</v>
      </c>
      <c r="BK217" t="s">
        <v>98</v>
      </c>
      <c r="BL217" t="s">
        <v>99</v>
      </c>
      <c r="BM217" t="s">
        <v>4300</v>
      </c>
      <c r="BN217" t="s">
        <v>74</v>
      </c>
      <c r="BO217" t="s">
        <v>74</v>
      </c>
      <c r="BP217" t="s">
        <v>74</v>
      </c>
      <c r="BQ217" t="s">
        <v>74</v>
      </c>
      <c r="BR217" t="s">
        <v>101</v>
      </c>
      <c r="BS217" t="s">
        <v>4368</v>
      </c>
      <c r="BT217" t="str">
        <f>HYPERLINK("https%3A%2F%2Fwww.webofscience.com%2Fwos%2Fwoscc%2Ffull-record%2FWOS:000309896800006","View Full Record in Web of Science")</f>
        <v>View Full Record in Web of Science</v>
      </c>
    </row>
    <row r="218" spans="1:72" x14ac:dyDescent="0.15">
      <c r="A218" t="s">
        <v>72</v>
      </c>
      <c r="B218" t="s">
        <v>4369</v>
      </c>
      <c r="C218" t="s">
        <v>74</v>
      </c>
      <c r="D218" t="s">
        <v>74</v>
      </c>
      <c r="E218" t="s">
        <v>74</v>
      </c>
      <c r="F218" t="s">
        <v>4370</v>
      </c>
      <c r="G218" t="s">
        <v>74</v>
      </c>
      <c r="H218" t="s">
        <v>74</v>
      </c>
      <c r="I218" t="s">
        <v>4371</v>
      </c>
      <c r="J218" t="s">
        <v>4280</v>
      </c>
      <c r="K218" t="s">
        <v>74</v>
      </c>
      <c r="L218" t="s">
        <v>74</v>
      </c>
      <c r="M218" t="s">
        <v>78</v>
      </c>
      <c r="N218" t="s">
        <v>79</v>
      </c>
      <c r="O218" t="s">
        <v>74</v>
      </c>
      <c r="P218" t="s">
        <v>74</v>
      </c>
      <c r="Q218" t="s">
        <v>74</v>
      </c>
      <c r="R218" t="s">
        <v>74</v>
      </c>
      <c r="S218" t="s">
        <v>74</v>
      </c>
      <c r="T218" t="s">
        <v>4372</v>
      </c>
      <c r="U218" t="s">
        <v>4373</v>
      </c>
      <c r="V218" t="s">
        <v>4374</v>
      </c>
      <c r="W218" t="s">
        <v>4375</v>
      </c>
      <c r="X218" t="s">
        <v>4376</v>
      </c>
      <c r="Y218" t="s">
        <v>4377</v>
      </c>
      <c r="Z218" t="s">
        <v>4378</v>
      </c>
      <c r="AA218" t="s">
        <v>74</v>
      </c>
      <c r="AB218" t="s">
        <v>74</v>
      </c>
      <c r="AC218" t="s">
        <v>4379</v>
      </c>
      <c r="AD218" t="s">
        <v>4380</v>
      </c>
      <c r="AE218" t="s">
        <v>4381</v>
      </c>
      <c r="AF218" t="s">
        <v>74</v>
      </c>
      <c r="AG218">
        <v>55</v>
      </c>
      <c r="AH218">
        <v>12</v>
      </c>
      <c r="AI218">
        <v>17</v>
      </c>
      <c r="AJ218">
        <v>0</v>
      </c>
      <c r="AK218">
        <v>20</v>
      </c>
      <c r="AL218" t="s">
        <v>188</v>
      </c>
      <c r="AM218" t="s">
        <v>189</v>
      </c>
      <c r="AN218" t="s">
        <v>190</v>
      </c>
      <c r="AO218" t="s">
        <v>4293</v>
      </c>
      <c r="AP218" t="s">
        <v>4294</v>
      </c>
      <c r="AQ218" t="s">
        <v>74</v>
      </c>
      <c r="AR218" t="s">
        <v>4295</v>
      </c>
      <c r="AS218" t="s">
        <v>4296</v>
      </c>
      <c r="AT218" t="s">
        <v>4297</v>
      </c>
      <c r="AU218">
        <v>2012</v>
      </c>
      <c r="AV218" t="s">
        <v>4298</v>
      </c>
      <c r="AW218" t="s">
        <v>74</v>
      </c>
      <c r="AX218" t="s">
        <v>74</v>
      </c>
      <c r="AY218" t="s">
        <v>74</v>
      </c>
      <c r="AZ218" t="s">
        <v>1019</v>
      </c>
      <c r="BA218" t="s">
        <v>74</v>
      </c>
      <c r="BB218">
        <v>87</v>
      </c>
      <c r="BC218">
        <v>96</v>
      </c>
      <c r="BD218" t="s">
        <v>74</v>
      </c>
      <c r="BE218" t="s">
        <v>4382</v>
      </c>
      <c r="BF218" t="str">
        <f>HYPERLINK("http://dx.doi.org/10.1016/j.gloplacha.2012.01.013","http://dx.doi.org/10.1016/j.gloplacha.2012.01.013")</f>
        <v>http://dx.doi.org/10.1016/j.gloplacha.2012.01.013</v>
      </c>
      <c r="BG218" t="s">
        <v>74</v>
      </c>
      <c r="BH218" t="s">
        <v>74</v>
      </c>
      <c r="BI218">
        <v>10</v>
      </c>
      <c r="BJ218" t="s">
        <v>97</v>
      </c>
      <c r="BK218" t="s">
        <v>98</v>
      </c>
      <c r="BL218" t="s">
        <v>99</v>
      </c>
      <c r="BM218" t="s">
        <v>4300</v>
      </c>
      <c r="BN218" t="s">
        <v>74</v>
      </c>
      <c r="BO218" t="s">
        <v>1499</v>
      </c>
      <c r="BP218" t="s">
        <v>74</v>
      </c>
      <c r="BQ218" t="s">
        <v>74</v>
      </c>
      <c r="BR218" t="s">
        <v>101</v>
      </c>
      <c r="BS218" t="s">
        <v>4383</v>
      </c>
      <c r="BT218" t="str">
        <f>HYPERLINK("https%3A%2F%2Fwww.webofscience.com%2Fwos%2Fwoscc%2Ffull-record%2FWOS:000309896800007","View Full Record in Web of Science")</f>
        <v>View Full Record in Web of Science</v>
      </c>
    </row>
    <row r="219" spans="1:72" x14ac:dyDescent="0.15">
      <c r="A219" t="s">
        <v>72</v>
      </c>
      <c r="B219" t="s">
        <v>4384</v>
      </c>
      <c r="C219" t="s">
        <v>74</v>
      </c>
      <c r="D219" t="s">
        <v>74</v>
      </c>
      <c r="E219" t="s">
        <v>74</v>
      </c>
      <c r="F219" t="s">
        <v>4385</v>
      </c>
      <c r="G219" t="s">
        <v>74</v>
      </c>
      <c r="H219" t="s">
        <v>74</v>
      </c>
      <c r="I219" t="s">
        <v>4386</v>
      </c>
      <c r="J219" t="s">
        <v>4280</v>
      </c>
      <c r="K219" t="s">
        <v>74</v>
      </c>
      <c r="L219" t="s">
        <v>74</v>
      </c>
      <c r="M219" t="s">
        <v>78</v>
      </c>
      <c r="N219" t="s">
        <v>79</v>
      </c>
      <c r="O219" t="s">
        <v>74</v>
      </c>
      <c r="P219" t="s">
        <v>74</v>
      </c>
      <c r="Q219" t="s">
        <v>74</v>
      </c>
      <c r="R219" t="s">
        <v>74</v>
      </c>
      <c r="S219" t="s">
        <v>74</v>
      </c>
      <c r="T219" t="s">
        <v>4387</v>
      </c>
      <c r="U219" t="s">
        <v>4388</v>
      </c>
      <c r="V219" t="s">
        <v>4389</v>
      </c>
      <c r="W219" t="s">
        <v>4390</v>
      </c>
      <c r="X219" t="s">
        <v>4391</v>
      </c>
      <c r="Y219" t="s">
        <v>4392</v>
      </c>
      <c r="Z219" t="s">
        <v>4393</v>
      </c>
      <c r="AA219" t="s">
        <v>4394</v>
      </c>
      <c r="AB219" t="s">
        <v>4395</v>
      </c>
      <c r="AC219" t="s">
        <v>4396</v>
      </c>
      <c r="AD219" t="s">
        <v>4397</v>
      </c>
      <c r="AE219" t="s">
        <v>4398</v>
      </c>
      <c r="AF219" t="s">
        <v>74</v>
      </c>
      <c r="AG219">
        <v>62</v>
      </c>
      <c r="AH219">
        <v>0</v>
      </c>
      <c r="AI219">
        <v>0</v>
      </c>
      <c r="AJ219">
        <v>0</v>
      </c>
      <c r="AK219">
        <v>9</v>
      </c>
      <c r="AL219" t="s">
        <v>188</v>
      </c>
      <c r="AM219" t="s">
        <v>189</v>
      </c>
      <c r="AN219" t="s">
        <v>190</v>
      </c>
      <c r="AO219" t="s">
        <v>4293</v>
      </c>
      <c r="AP219" t="s">
        <v>4294</v>
      </c>
      <c r="AQ219" t="s">
        <v>74</v>
      </c>
      <c r="AR219" t="s">
        <v>4295</v>
      </c>
      <c r="AS219" t="s">
        <v>4296</v>
      </c>
      <c r="AT219" t="s">
        <v>4297</v>
      </c>
      <c r="AU219">
        <v>2012</v>
      </c>
      <c r="AV219" t="s">
        <v>4298</v>
      </c>
      <c r="AW219" t="s">
        <v>74</v>
      </c>
      <c r="AX219" t="s">
        <v>74</v>
      </c>
      <c r="AY219" t="s">
        <v>74</v>
      </c>
      <c r="AZ219" t="s">
        <v>1019</v>
      </c>
      <c r="BA219" t="s">
        <v>74</v>
      </c>
      <c r="BB219">
        <v>105</v>
      </c>
      <c r="BC219">
        <v>117</v>
      </c>
      <c r="BD219" t="s">
        <v>74</v>
      </c>
      <c r="BE219" t="s">
        <v>4399</v>
      </c>
      <c r="BF219" t="str">
        <f>HYPERLINK("http://dx.doi.org/10.1016/j.gloplacha.2011.11.011","http://dx.doi.org/10.1016/j.gloplacha.2011.11.011")</f>
        <v>http://dx.doi.org/10.1016/j.gloplacha.2011.11.011</v>
      </c>
      <c r="BG219" t="s">
        <v>74</v>
      </c>
      <c r="BH219" t="s">
        <v>74</v>
      </c>
      <c r="BI219">
        <v>13</v>
      </c>
      <c r="BJ219" t="s">
        <v>97</v>
      </c>
      <c r="BK219" t="s">
        <v>98</v>
      </c>
      <c r="BL219" t="s">
        <v>99</v>
      </c>
      <c r="BM219" t="s">
        <v>4300</v>
      </c>
      <c r="BN219" t="s">
        <v>74</v>
      </c>
      <c r="BO219" t="s">
        <v>74</v>
      </c>
      <c r="BP219" t="s">
        <v>74</v>
      </c>
      <c r="BQ219" t="s">
        <v>74</v>
      </c>
      <c r="BR219" t="s">
        <v>101</v>
      </c>
      <c r="BS219" t="s">
        <v>4400</v>
      </c>
      <c r="BT219" t="str">
        <f>HYPERLINK("https%3A%2F%2Fwww.webofscience.com%2Fwos%2Fwoscc%2Ffull-record%2FWOS:000309896800009","View Full Record in Web of Science")</f>
        <v>View Full Record in Web of Science</v>
      </c>
    </row>
    <row r="220" spans="1:72" x14ac:dyDescent="0.15">
      <c r="A220" t="s">
        <v>72</v>
      </c>
      <c r="B220" t="s">
        <v>4401</v>
      </c>
      <c r="C220" t="s">
        <v>74</v>
      </c>
      <c r="D220" t="s">
        <v>74</v>
      </c>
      <c r="E220" t="s">
        <v>74</v>
      </c>
      <c r="F220" t="s">
        <v>4402</v>
      </c>
      <c r="G220" t="s">
        <v>74</v>
      </c>
      <c r="H220" t="s">
        <v>74</v>
      </c>
      <c r="I220" t="s">
        <v>4403</v>
      </c>
      <c r="J220" t="s">
        <v>4280</v>
      </c>
      <c r="K220" t="s">
        <v>74</v>
      </c>
      <c r="L220" t="s">
        <v>74</v>
      </c>
      <c r="M220" t="s">
        <v>78</v>
      </c>
      <c r="N220" t="s">
        <v>79</v>
      </c>
      <c r="O220" t="s">
        <v>74</v>
      </c>
      <c r="P220" t="s">
        <v>74</v>
      </c>
      <c r="Q220" t="s">
        <v>74</v>
      </c>
      <c r="R220" t="s">
        <v>74</v>
      </c>
      <c r="S220" t="s">
        <v>74</v>
      </c>
      <c r="T220" t="s">
        <v>4404</v>
      </c>
      <c r="U220" t="s">
        <v>4405</v>
      </c>
      <c r="V220" t="s">
        <v>4406</v>
      </c>
      <c r="W220" t="s">
        <v>4407</v>
      </c>
      <c r="X220" t="s">
        <v>4408</v>
      </c>
      <c r="Y220" t="s">
        <v>4409</v>
      </c>
      <c r="Z220" t="s">
        <v>4410</v>
      </c>
      <c r="AA220" t="s">
        <v>4411</v>
      </c>
      <c r="AB220" t="s">
        <v>4412</v>
      </c>
      <c r="AC220" t="s">
        <v>4413</v>
      </c>
      <c r="AD220" t="s">
        <v>4414</v>
      </c>
      <c r="AE220" t="s">
        <v>4415</v>
      </c>
      <c r="AF220" t="s">
        <v>74</v>
      </c>
      <c r="AG220">
        <v>34</v>
      </c>
      <c r="AH220">
        <v>9</v>
      </c>
      <c r="AI220">
        <v>15</v>
      </c>
      <c r="AJ220">
        <v>1</v>
      </c>
      <c r="AK220">
        <v>12</v>
      </c>
      <c r="AL220" t="s">
        <v>188</v>
      </c>
      <c r="AM220" t="s">
        <v>189</v>
      </c>
      <c r="AN220" t="s">
        <v>190</v>
      </c>
      <c r="AO220" t="s">
        <v>4293</v>
      </c>
      <c r="AP220" t="s">
        <v>4294</v>
      </c>
      <c r="AQ220" t="s">
        <v>74</v>
      </c>
      <c r="AR220" t="s">
        <v>4295</v>
      </c>
      <c r="AS220" t="s">
        <v>4296</v>
      </c>
      <c r="AT220" t="s">
        <v>4297</v>
      </c>
      <c r="AU220">
        <v>2012</v>
      </c>
      <c r="AV220" t="s">
        <v>4298</v>
      </c>
      <c r="AW220" t="s">
        <v>74</v>
      </c>
      <c r="AX220" t="s">
        <v>74</v>
      </c>
      <c r="AY220" t="s">
        <v>74</v>
      </c>
      <c r="AZ220" t="s">
        <v>1019</v>
      </c>
      <c r="BA220" t="s">
        <v>74</v>
      </c>
      <c r="BB220">
        <v>118</v>
      </c>
      <c r="BC220">
        <v>130</v>
      </c>
      <c r="BD220" t="s">
        <v>74</v>
      </c>
      <c r="BE220" t="s">
        <v>4416</v>
      </c>
      <c r="BF220" t="str">
        <f>HYPERLINK("http://dx.doi.org/10.1016/j.gloplacha.2012.05.005","http://dx.doi.org/10.1016/j.gloplacha.2012.05.005")</f>
        <v>http://dx.doi.org/10.1016/j.gloplacha.2012.05.005</v>
      </c>
      <c r="BG220" t="s">
        <v>74</v>
      </c>
      <c r="BH220" t="s">
        <v>74</v>
      </c>
      <c r="BI220">
        <v>13</v>
      </c>
      <c r="BJ220" t="s">
        <v>97</v>
      </c>
      <c r="BK220" t="s">
        <v>98</v>
      </c>
      <c r="BL220" t="s">
        <v>99</v>
      </c>
      <c r="BM220" t="s">
        <v>4300</v>
      </c>
      <c r="BN220" t="s">
        <v>74</v>
      </c>
      <c r="BO220" t="s">
        <v>74</v>
      </c>
      <c r="BP220" t="s">
        <v>74</v>
      </c>
      <c r="BQ220" t="s">
        <v>74</v>
      </c>
      <c r="BR220" t="s">
        <v>101</v>
      </c>
      <c r="BS220" t="s">
        <v>4417</v>
      </c>
      <c r="BT220" t="str">
        <f>HYPERLINK("https%3A%2F%2Fwww.webofscience.com%2Fwos%2Fwoscc%2Ffull-record%2FWOS:000309896800010","View Full Record in Web of Science")</f>
        <v>View Full Record in Web of Science</v>
      </c>
    </row>
    <row r="221" spans="1:72" x14ac:dyDescent="0.15">
      <c r="A221" t="s">
        <v>72</v>
      </c>
      <c r="B221" t="s">
        <v>4418</v>
      </c>
      <c r="C221" t="s">
        <v>74</v>
      </c>
      <c r="D221" t="s">
        <v>74</v>
      </c>
      <c r="E221" t="s">
        <v>74</v>
      </c>
      <c r="F221" t="s">
        <v>4419</v>
      </c>
      <c r="G221" t="s">
        <v>74</v>
      </c>
      <c r="H221" t="s">
        <v>74</v>
      </c>
      <c r="I221" t="s">
        <v>4420</v>
      </c>
      <c r="J221" t="s">
        <v>4280</v>
      </c>
      <c r="K221" t="s">
        <v>74</v>
      </c>
      <c r="L221" t="s">
        <v>74</v>
      </c>
      <c r="M221" t="s">
        <v>78</v>
      </c>
      <c r="N221" t="s">
        <v>79</v>
      </c>
      <c r="O221" t="s">
        <v>74</v>
      </c>
      <c r="P221" t="s">
        <v>74</v>
      </c>
      <c r="Q221" t="s">
        <v>74</v>
      </c>
      <c r="R221" t="s">
        <v>74</v>
      </c>
      <c r="S221" t="s">
        <v>74</v>
      </c>
      <c r="T221" t="s">
        <v>4421</v>
      </c>
      <c r="U221" t="s">
        <v>4422</v>
      </c>
      <c r="V221" t="s">
        <v>4423</v>
      </c>
      <c r="W221" t="s">
        <v>4424</v>
      </c>
      <c r="X221" t="s">
        <v>4425</v>
      </c>
      <c r="Y221" t="s">
        <v>4344</v>
      </c>
      <c r="Z221" t="s">
        <v>4345</v>
      </c>
      <c r="AA221" t="s">
        <v>74</v>
      </c>
      <c r="AB221" t="s">
        <v>74</v>
      </c>
      <c r="AC221" t="s">
        <v>4426</v>
      </c>
      <c r="AD221" t="s">
        <v>4427</v>
      </c>
      <c r="AE221" t="s">
        <v>4428</v>
      </c>
      <c r="AF221" t="s">
        <v>74</v>
      </c>
      <c r="AG221">
        <v>79</v>
      </c>
      <c r="AH221">
        <v>10</v>
      </c>
      <c r="AI221">
        <v>14</v>
      </c>
      <c r="AJ221">
        <v>3</v>
      </c>
      <c r="AK221">
        <v>37</v>
      </c>
      <c r="AL221" t="s">
        <v>188</v>
      </c>
      <c r="AM221" t="s">
        <v>189</v>
      </c>
      <c r="AN221" t="s">
        <v>190</v>
      </c>
      <c r="AO221" t="s">
        <v>4293</v>
      </c>
      <c r="AP221" t="s">
        <v>4294</v>
      </c>
      <c r="AQ221" t="s">
        <v>74</v>
      </c>
      <c r="AR221" t="s">
        <v>4295</v>
      </c>
      <c r="AS221" t="s">
        <v>4296</v>
      </c>
      <c r="AT221" t="s">
        <v>4297</v>
      </c>
      <c r="AU221">
        <v>2012</v>
      </c>
      <c r="AV221" t="s">
        <v>4298</v>
      </c>
      <c r="AW221" t="s">
        <v>74</v>
      </c>
      <c r="AX221" t="s">
        <v>74</v>
      </c>
      <c r="AY221" t="s">
        <v>74</v>
      </c>
      <c r="AZ221" t="s">
        <v>1019</v>
      </c>
      <c r="BA221" t="s">
        <v>74</v>
      </c>
      <c r="BB221">
        <v>131</v>
      </c>
      <c r="BC221">
        <v>142</v>
      </c>
      <c r="BD221" t="s">
        <v>74</v>
      </c>
      <c r="BE221" t="s">
        <v>4429</v>
      </c>
      <c r="BF221" t="str">
        <f>HYPERLINK("http://dx.doi.org/10.1016/j.gloplacha.2009.12.004","http://dx.doi.org/10.1016/j.gloplacha.2009.12.004")</f>
        <v>http://dx.doi.org/10.1016/j.gloplacha.2009.12.004</v>
      </c>
      <c r="BG221" t="s">
        <v>74</v>
      </c>
      <c r="BH221" t="s">
        <v>74</v>
      </c>
      <c r="BI221">
        <v>12</v>
      </c>
      <c r="BJ221" t="s">
        <v>97</v>
      </c>
      <c r="BK221" t="s">
        <v>98</v>
      </c>
      <c r="BL221" t="s">
        <v>99</v>
      </c>
      <c r="BM221" t="s">
        <v>4300</v>
      </c>
      <c r="BN221" t="s">
        <v>74</v>
      </c>
      <c r="BO221" t="s">
        <v>74</v>
      </c>
      <c r="BP221" t="s">
        <v>74</v>
      </c>
      <c r="BQ221" t="s">
        <v>74</v>
      </c>
      <c r="BR221" t="s">
        <v>101</v>
      </c>
      <c r="BS221" t="s">
        <v>4430</v>
      </c>
      <c r="BT221" t="str">
        <f>HYPERLINK("https%3A%2F%2Fwww.webofscience.com%2Fwos%2Fwoscc%2Ffull-record%2FWOS:000309896800011","View Full Record in Web of Science")</f>
        <v>View Full Record in Web of Science</v>
      </c>
    </row>
    <row r="222" spans="1:72" x14ac:dyDescent="0.15">
      <c r="A222" t="s">
        <v>72</v>
      </c>
      <c r="B222" t="s">
        <v>4431</v>
      </c>
      <c r="C222" t="s">
        <v>74</v>
      </c>
      <c r="D222" t="s">
        <v>74</v>
      </c>
      <c r="E222" t="s">
        <v>74</v>
      </c>
      <c r="F222" t="s">
        <v>4432</v>
      </c>
      <c r="G222" t="s">
        <v>74</v>
      </c>
      <c r="H222" t="s">
        <v>74</v>
      </c>
      <c r="I222" t="s">
        <v>4433</v>
      </c>
      <c r="J222" t="s">
        <v>4280</v>
      </c>
      <c r="K222" t="s">
        <v>74</v>
      </c>
      <c r="L222" t="s">
        <v>74</v>
      </c>
      <c r="M222" t="s">
        <v>78</v>
      </c>
      <c r="N222" t="s">
        <v>79</v>
      </c>
      <c r="O222" t="s">
        <v>74</v>
      </c>
      <c r="P222" t="s">
        <v>74</v>
      </c>
      <c r="Q222" t="s">
        <v>74</v>
      </c>
      <c r="R222" t="s">
        <v>74</v>
      </c>
      <c r="S222" t="s">
        <v>74</v>
      </c>
      <c r="T222" t="s">
        <v>4434</v>
      </c>
      <c r="U222" t="s">
        <v>4435</v>
      </c>
      <c r="V222" t="s">
        <v>4436</v>
      </c>
      <c r="W222" t="s">
        <v>4437</v>
      </c>
      <c r="X222" t="s">
        <v>4438</v>
      </c>
      <c r="Y222" t="s">
        <v>4439</v>
      </c>
      <c r="Z222" t="s">
        <v>4440</v>
      </c>
      <c r="AA222" t="s">
        <v>4441</v>
      </c>
      <c r="AB222" t="s">
        <v>4442</v>
      </c>
      <c r="AC222" t="s">
        <v>4443</v>
      </c>
      <c r="AD222" t="s">
        <v>4444</v>
      </c>
      <c r="AE222" t="s">
        <v>4445</v>
      </c>
      <c r="AF222" t="s">
        <v>74</v>
      </c>
      <c r="AG222">
        <v>18</v>
      </c>
      <c r="AH222">
        <v>10</v>
      </c>
      <c r="AI222">
        <v>14</v>
      </c>
      <c r="AJ222">
        <v>0</v>
      </c>
      <c r="AK222">
        <v>13</v>
      </c>
      <c r="AL222" t="s">
        <v>188</v>
      </c>
      <c r="AM222" t="s">
        <v>189</v>
      </c>
      <c r="AN222" t="s">
        <v>190</v>
      </c>
      <c r="AO222" t="s">
        <v>4293</v>
      </c>
      <c r="AP222" t="s">
        <v>4294</v>
      </c>
      <c r="AQ222" t="s">
        <v>74</v>
      </c>
      <c r="AR222" t="s">
        <v>4295</v>
      </c>
      <c r="AS222" t="s">
        <v>4296</v>
      </c>
      <c r="AT222" t="s">
        <v>4297</v>
      </c>
      <c r="AU222">
        <v>2012</v>
      </c>
      <c r="AV222" t="s">
        <v>4298</v>
      </c>
      <c r="AW222" t="s">
        <v>74</v>
      </c>
      <c r="AX222" t="s">
        <v>74</v>
      </c>
      <c r="AY222" t="s">
        <v>74</v>
      </c>
      <c r="AZ222" t="s">
        <v>1019</v>
      </c>
      <c r="BA222" t="s">
        <v>74</v>
      </c>
      <c r="BB222">
        <v>143</v>
      </c>
      <c r="BC222">
        <v>156</v>
      </c>
      <c r="BD222" t="s">
        <v>74</v>
      </c>
      <c r="BE222" t="s">
        <v>4446</v>
      </c>
      <c r="BF222" t="str">
        <f>HYPERLINK("http://dx.doi.org/10.1016/j.gloplacha.2012.05.017","http://dx.doi.org/10.1016/j.gloplacha.2012.05.017")</f>
        <v>http://dx.doi.org/10.1016/j.gloplacha.2012.05.017</v>
      </c>
      <c r="BG222" t="s">
        <v>74</v>
      </c>
      <c r="BH222" t="s">
        <v>74</v>
      </c>
      <c r="BI222">
        <v>14</v>
      </c>
      <c r="BJ222" t="s">
        <v>97</v>
      </c>
      <c r="BK222" t="s">
        <v>98</v>
      </c>
      <c r="BL222" t="s">
        <v>99</v>
      </c>
      <c r="BM222" t="s">
        <v>4300</v>
      </c>
      <c r="BN222" t="s">
        <v>74</v>
      </c>
      <c r="BO222" t="s">
        <v>74</v>
      </c>
      <c r="BP222" t="s">
        <v>74</v>
      </c>
      <c r="BQ222" t="s">
        <v>74</v>
      </c>
      <c r="BR222" t="s">
        <v>101</v>
      </c>
      <c r="BS222" t="s">
        <v>4447</v>
      </c>
      <c r="BT222" t="str">
        <f>HYPERLINK("https%3A%2F%2Fwww.webofscience.com%2Fwos%2Fwoscc%2Ffull-record%2FWOS:000309896800012","View Full Record in Web of Science")</f>
        <v>View Full Record in Web of Science</v>
      </c>
    </row>
    <row r="223" spans="1:72" x14ac:dyDescent="0.15">
      <c r="A223" t="s">
        <v>72</v>
      </c>
      <c r="B223" t="s">
        <v>4448</v>
      </c>
      <c r="C223" t="s">
        <v>74</v>
      </c>
      <c r="D223" t="s">
        <v>74</v>
      </c>
      <c r="E223" t="s">
        <v>74</v>
      </c>
      <c r="F223" t="s">
        <v>4449</v>
      </c>
      <c r="G223" t="s">
        <v>74</v>
      </c>
      <c r="H223" t="s">
        <v>74</v>
      </c>
      <c r="I223" t="s">
        <v>4450</v>
      </c>
      <c r="J223" t="s">
        <v>4280</v>
      </c>
      <c r="K223" t="s">
        <v>74</v>
      </c>
      <c r="L223" t="s">
        <v>74</v>
      </c>
      <c r="M223" t="s">
        <v>78</v>
      </c>
      <c r="N223" t="s">
        <v>79</v>
      </c>
      <c r="O223" t="s">
        <v>74</v>
      </c>
      <c r="P223" t="s">
        <v>74</v>
      </c>
      <c r="Q223" t="s">
        <v>74</v>
      </c>
      <c r="R223" t="s">
        <v>74</v>
      </c>
      <c r="S223" t="s">
        <v>74</v>
      </c>
      <c r="T223" t="s">
        <v>4451</v>
      </c>
      <c r="U223" t="s">
        <v>4452</v>
      </c>
      <c r="V223" t="s">
        <v>4453</v>
      </c>
      <c r="W223" t="s">
        <v>4454</v>
      </c>
      <c r="X223" t="s">
        <v>4455</v>
      </c>
      <c r="Y223" t="s">
        <v>4456</v>
      </c>
      <c r="Z223" t="s">
        <v>4457</v>
      </c>
      <c r="AA223" t="s">
        <v>4458</v>
      </c>
      <c r="AB223" t="s">
        <v>4459</v>
      </c>
      <c r="AC223" t="s">
        <v>4460</v>
      </c>
      <c r="AD223" t="s">
        <v>4461</v>
      </c>
      <c r="AE223" t="s">
        <v>4462</v>
      </c>
      <c r="AF223" t="s">
        <v>74</v>
      </c>
      <c r="AG223">
        <v>135</v>
      </c>
      <c r="AH223">
        <v>6</v>
      </c>
      <c r="AI223">
        <v>6</v>
      </c>
      <c r="AJ223">
        <v>1</v>
      </c>
      <c r="AK223">
        <v>17</v>
      </c>
      <c r="AL223" t="s">
        <v>188</v>
      </c>
      <c r="AM223" t="s">
        <v>189</v>
      </c>
      <c r="AN223" t="s">
        <v>190</v>
      </c>
      <c r="AO223" t="s">
        <v>4293</v>
      </c>
      <c r="AP223" t="s">
        <v>4294</v>
      </c>
      <c r="AQ223" t="s">
        <v>74</v>
      </c>
      <c r="AR223" t="s">
        <v>4295</v>
      </c>
      <c r="AS223" t="s">
        <v>4296</v>
      </c>
      <c r="AT223" t="s">
        <v>4297</v>
      </c>
      <c r="AU223">
        <v>2012</v>
      </c>
      <c r="AV223" t="s">
        <v>4298</v>
      </c>
      <c r="AW223" t="s">
        <v>74</v>
      </c>
      <c r="AX223" t="s">
        <v>74</v>
      </c>
      <c r="AY223" t="s">
        <v>74</v>
      </c>
      <c r="AZ223" t="s">
        <v>1019</v>
      </c>
      <c r="BA223" t="s">
        <v>74</v>
      </c>
      <c r="BB223">
        <v>157</v>
      </c>
      <c r="BC223">
        <v>180</v>
      </c>
      <c r="BD223" t="s">
        <v>74</v>
      </c>
      <c r="BE223" t="s">
        <v>4463</v>
      </c>
      <c r="BF223" t="str">
        <f>HYPERLINK("http://dx.doi.org/10.1016/j.gloplacha.2012.02.005","http://dx.doi.org/10.1016/j.gloplacha.2012.02.005")</f>
        <v>http://dx.doi.org/10.1016/j.gloplacha.2012.02.005</v>
      </c>
      <c r="BG223" t="s">
        <v>74</v>
      </c>
      <c r="BH223" t="s">
        <v>74</v>
      </c>
      <c r="BI223">
        <v>24</v>
      </c>
      <c r="BJ223" t="s">
        <v>97</v>
      </c>
      <c r="BK223" t="s">
        <v>98</v>
      </c>
      <c r="BL223" t="s">
        <v>99</v>
      </c>
      <c r="BM223" t="s">
        <v>4300</v>
      </c>
      <c r="BN223" t="s">
        <v>74</v>
      </c>
      <c r="BO223" t="s">
        <v>74</v>
      </c>
      <c r="BP223" t="s">
        <v>74</v>
      </c>
      <c r="BQ223" t="s">
        <v>74</v>
      </c>
      <c r="BR223" t="s">
        <v>101</v>
      </c>
      <c r="BS223" t="s">
        <v>4464</v>
      </c>
      <c r="BT223" t="str">
        <f>HYPERLINK("https%3A%2F%2Fwww.webofscience.com%2Fwos%2Fwoscc%2Ffull-record%2FWOS:000309896800013","View Full Record in Web of Science")</f>
        <v>View Full Record in Web of Science</v>
      </c>
    </row>
    <row r="224" spans="1:72" x14ac:dyDescent="0.15">
      <c r="A224" t="s">
        <v>72</v>
      </c>
      <c r="B224" t="s">
        <v>4465</v>
      </c>
      <c r="C224" t="s">
        <v>74</v>
      </c>
      <c r="D224" t="s">
        <v>74</v>
      </c>
      <c r="E224" t="s">
        <v>74</v>
      </c>
      <c r="F224" t="s">
        <v>4466</v>
      </c>
      <c r="G224" t="s">
        <v>74</v>
      </c>
      <c r="H224" t="s">
        <v>74</v>
      </c>
      <c r="I224" t="s">
        <v>4467</v>
      </c>
      <c r="J224" t="s">
        <v>4280</v>
      </c>
      <c r="K224" t="s">
        <v>74</v>
      </c>
      <c r="L224" t="s">
        <v>74</v>
      </c>
      <c r="M224" t="s">
        <v>78</v>
      </c>
      <c r="N224" t="s">
        <v>79</v>
      </c>
      <c r="O224" t="s">
        <v>74</v>
      </c>
      <c r="P224" t="s">
        <v>74</v>
      </c>
      <c r="Q224" t="s">
        <v>74</v>
      </c>
      <c r="R224" t="s">
        <v>74</v>
      </c>
      <c r="S224" t="s">
        <v>74</v>
      </c>
      <c r="T224" t="s">
        <v>4468</v>
      </c>
      <c r="U224" t="s">
        <v>4469</v>
      </c>
      <c r="V224" t="s">
        <v>4470</v>
      </c>
      <c r="W224" t="s">
        <v>4471</v>
      </c>
      <c r="X224" t="s">
        <v>4472</v>
      </c>
      <c r="Y224" t="s">
        <v>4473</v>
      </c>
      <c r="Z224" t="s">
        <v>4474</v>
      </c>
      <c r="AA224" t="s">
        <v>74</v>
      </c>
      <c r="AB224" t="s">
        <v>4475</v>
      </c>
      <c r="AC224" t="s">
        <v>4476</v>
      </c>
      <c r="AD224" t="s">
        <v>4477</v>
      </c>
      <c r="AE224" t="s">
        <v>4478</v>
      </c>
      <c r="AF224" t="s">
        <v>74</v>
      </c>
      <c r="AG224">
        <v>66</v>
      </c>
      <c r="AH224">
        <v>8</v>
      </c>
      <c r="AI224">
        <v>8</v>
      </c>
      <c r="AJ224">
        <v>0</v>
      </c>
      <c r="AK224">
        <v>20</v>
      </c>
      <c r="AL224" t="s">
        <v>188</v>
      </c>
      <c r="AM224" t="s">
        <v>189</v>
      </c>
      <c r="AN224" t="s">
        <v>190</v>
      </c>
      <c r="AO224" t="s">
        <v>4293</v>
      </c>
      <c r="AP224" t="s">
        <v>4294</v>
      </c>
      <c r="AQ224" t="s">
        <v>74</v>
      </c>
      <c r="AR224" t="s">
        <v>4295</v>
      </c>
      <c r="AS224" t="s">
        <v>4296</v>
      </c>
      <c r="AT224" t="s">
        <v>4297</v>
      </c>
      <c r="AU224">
        <v>2012</v>
      </c>
      <c r="AV224" t="s">
        <v>4298</v>
      </c>
      <c r="AW224" t="s">
        <v>74</v>
      </c>
      <c r="AX224" t="s">
        <v>74</v>
      </c>
      <c r="AY224" t="s">
        <v>74</v>
      </c>
      <c r="AZ224" t="s">
        <v>1019</v>
      </c>
      <c r="BA224" t="s">
        <v>74</v>
      </c>
      <c r="BB224">
        <v>181</v>
      </c>
      <c r="BC224">
        <v>188</v>
      </c>
      <c r="BD224" t="s">
        <v>74</v>
      </c>
      <c r="BE224" t="s">
        <v>4479</v>
      </c>
      <c r="BF224" t="str">
        <f>HYPERLINK("http://dx.doi.org/10.1016/j.gloplacha.2012.05.018","http://dx.doi.org/10.1016/j.gloplacha.2012.05.018")</f>
        <v>http://dx.doi.org/10.1016/j.gloplacha.2012.05.018</v>
      </c>
      <c r="BG224" t="s">
        <v>74</v>
      </c>
      <c r="BH224" t="s">
        <v>74</v>
      </c>
      <c r="BI224">
        <v>8</v>
      </c>
      <c r="BJ224" t="s">
        <v>97</v>
      </c>
      <c r="BK224" t="s">
        <v>98</v>
      </c>
      <c r="BL224" t="s">
        <v>99</v>
      </c>
      <c r="BM224" t="s">
        <v>4300</v>
      </c>
      <c r="BN224" t="s">
        <v>74</v>
      </c>
      <c r="BO224" t="s">
        <v>74</v>
      </c>
      <c r="BP224" t="s">
        <v>74</v>
      </c>
      <c r="BQ224" t="s">
        <v>74</v>
      </c>
      <c r="BR224" t="s">
        <v>101</v>
      </c>
      <c r="BS224" t="s">
        <v>4480</v>
      </c>
      <c r="BT224" t="str">
        <f>HYPERLINK("https%3A%2F%2Fwww.webofscience.com%2Fwos%2Fwoscc%2Ffull-record%2FWOS:000309896800014","View Full Record in Web of Science")</f>
        <v>View Full Record in Web of Science</v>
      </c>
    </row>
    <row r="225" spans="1:72" x14ac:dyDescent="0.15">
      <c r="A225" t="s">
        <v>72</v>
      </c>
      <c r="B225" t="s">
        <v>4481</v>
      </c>
      <c r="C225" t="s">
        <v>74</v>
      </c>
      <c r="D225" t="s">
        <v>74</v>
      </c>
      <c r="E225" t="s">
        <v>74</v>
      </c>
      <c r="F225" t="s">
        <v>4482</v>
      </c>
      <c r="G225" t="s">
        <v>74</v>
      </c>
      <c r="H225" t="s">
        <v>74</v>
      </c>
      <c r="I225" t="s">
        <v>4483</v>
      </c>
      <c r="J225" t="s">
        <v>4280</v>
      </c>
      <c r="K225" t="s">
        <v>74</v>
      </c>
      <c r="L225" t="s">
        <v>74</v>
      </c>
      <c r="M225" t="s">
        <v>78</v>
      </c>
      <c r="N225" t="s">
        <v>79</v>
      </c>
      <c r="O225" t="s">
        <v>74</v>
      </c>
      <c r="P225" t="s">
        <v>74</v>
      </c>
      <c r="Q225" t="s">
        <v>74</v>
      </c>
      <c r="R225" t="s">
        <v>74</v>
      </c>
      <c r="S225" t="s">
        <v>74</v>
      </c>
      <c r="T225" t="s">
        <v>4484</v>
      </c>
      <c r="U225" t="s">
        <v>4485</v>
      </c>
      <c r="V225" t="s">
        <v>4486</v>
      </c>
      <c r="W225" t="s">
        <v>4487</v>
      </c>
      <c r="X225" t="s">
        <v>4488</v>
      </c>
      <c r="Y225" t="s">
        <v>4286</v>
      </c>
      <c r="Z225" t="s">
        <v>74</v>
      </c>
      <c r="AA225" t="s">
        <v>4489</v>
      </c>
      <c r="AB225" t="s">
        <v>4490</v>
      </c>
      <c r="AC225" t="s">
        <v>4491</v>
      </c>
      <c r="AD225" t="s">
        <v>4492</v>
      </c>
      <c r="AE225" t="s">
        <v>4493</v>
      </c>
      <c r="AF225" t="s">
        <v>74</v>
      </c>
      <c r="AG225">
        <v>69</v>
      </c>
      <c r="AH225">
        <v>25</v>
      </c>
      <c r="AI225">
        <v>28</v>
      </c>
      <c r="AJ225">
        <v>1</v>
      </c>
      <c r="AK225">
        <v>46</v>
      </c>
      <c r="AL225" t="s">
        <v>188</v>
      </c>
      <c r="AM225" t="s">
        <v>189</v>
      </c>
      <c r="AN225" t="s">
        <v>190</v>
      </c>
      <c r="AO225" t="s">
        <v>4293</v>
      </c>
      <c r="AP225" t="s">
        <v>4294</v>
      </c>
      <c r="AQ225" t="s">
        <v>74</v>
      </c>
      <c r="AR225" t="s">
        <v>4295</v>
      </c>
      <c r="AS225" t="s">
        <v>4296</v>
      </c>
      <c r="AT225" t="s">
        <v>4297</v>
      </c>
      <c r="AU225">
        <v>2012</v>
      </c>
      <c r="AV225" t="s">
        <v>4298</v>
      </c>
      <c r="AW225" t="s">
        <v>74</v>
      </c>
      <c r="AX225" t="s">
        <v>74</v>
      </c>
      <c r="AY225" t="s">
        <v>74</v>
      </c>
      <c r="AZ225" t="s">
        <v>1019</v>
      </c>
      <c r="BA225" t="s">
        <v>74</v>
      </c>
      <c r="BB225">
        <v>189</v>
      </c>
      <c r="BC225">
        <v>203</v>
      </c>
      <c r="BD225" t="s">
        <v>74</v>
      </c>
      <c r="BE225" t="s">
        <v>4494</v>
      </c>
      <c r="BF225" t="str">
        <f>HYPERLINK("http://dx.doi.org/10.1016/j.gloplacha.2012.05.019","http://dx.doi.org/10.1016/j.gloplacha.2012.05.019")</f>
        <v>http://dx.doi.org/10.1016/j.gloplacha.2012.05.019</v>
      </c>
      <c r="BG225" t="s">
        <v>74</v>
      </c>
      <c r="BH225" t="s">
        <v>74</v>
      </c>
      <c r="BI225">
        <v>15</v>
      </c>
      <c r="BJ225" t="s">
        <v>97</v>
      </c>
      <c r="BK225" t="s">
        <v>98</v>
      </c>
      <c r="BL225" t="s">
        <v>99</v>
      </c>
      <c r="BM225" t="s">
        <v>4300</v>
      </c>
      <c r="BN225" t="s">
        <v>74</v>
      </c>
      <c r="BO225" t="s">
        <v>74</v>
      </c>
      <c r="BP225" t="s">
        <v>74</v>
      </c>
      <c r="BQ225" t="s">
        <v>74</v>
      </c>
      <c r="BR225" t="s">
        <v>101</v>
      </c>
      <c r="BS225" t="s">
        <v>4495</v>
      </c>
      <c r="BT225" t="str">
        <f>HYPERLINK("https%3A%2F%2Fwww.webofscience.com%2Fwos%2Fwoscc%2Ffull-record%2FWOS:000309896800015","View Full Record in Web of Science")</f>
        <v>View Full Record in Web of Science</v>
      </c>
    </row>
    <row r="226" spans="1:72" x14ac:dyDescent="0.15">
      <c r="A226" t="s">
        <v>72</v>
      </c>
      <c r="B226" t="s">
        <v>4496</v>
      </c>
      <c r="C226" t="s">
        <v>74</v>
      </c>
      <c r="D226" t="s">
        <v>74</v>
      </c>
      <c r="E226" t="s">
        <v>74</v>
      </c>
      <c r="F226" t="s">
        <v>4497</v>
      </c>
      <c r="G226" t="s">
        <v>74</v>
      </c>
      <c r="H226" t="s">
        <v>74</v>
      </c>
      <c r="I226" t="s">
        <v>4498</v>
      </c>
      <c r="J226" t="s">
        <v>4499</v>
      </c>
      <c r="K226" t="s">
        <v>74</v>
      </c>
      <c r="L226" t="s">
        <v>74</v>
      </c>
      <c r="M226" t="s">
        <v>78</v>
      </c>
      <c r="N226" t="s">
        <v>79</v>
      </c>
      <c r="O226" t="s">
        <v>74</v>
      </c>
      <c r="P226" t="s">
        <v>74</v>
      </c>
      <c r="Q226" t="s">
        <v>74</v>
      </c>
      <c r="R226" t="s">
        <v>74</v>
      </c>
      <c r="S226" t="s">
        <v>74</v>
      </c>
      <c r="T226" t="s">
        <v>4500</v>
      </c>
      <c r="U226" t="s">
        <v>4501</v>
      </c>
      <c r="V226" t="s">
        <v>4502</v>
      </c>
      <c r="W226" t="s">
        <v>4503</v>
      </c>
      <c r="X226" t="s">
        <v>4504</v>
      </c>
      <c r="Y226" t="s">
        <v>4505</v>
      </c>
      <c r="Z226" t="s">
        <v>4506</v>
      </c>
      <c r="AA226" t="s">
        <v>4507</v>
      </c>
      <c r="AB226" t="s">
        <v>4508</v>
      </c>
      <c r="AC226" t="s">
        <v>4509</v>
      </c>
      <c r="AD226" t="s">
        <v>4510</v>
      </c>
      <c r="AE226" t="s">
        <v>4511</v>
      </c>
      <c r="AF226" t="s">
        <v>74</v>
      </c>
      <c r="AG226">
        <v>41</v>
      </c>
      <c r="AH226">
        <v>24</v>
      </c>
      <c r="AI226">
        <v>29</v>
      </c>
      <c r="AJ226">
        <v>1</v>
      </c>
      <c r="AK226">
        <v>61</v>
      </c>
      <c r="AL226" t="s">
        <v>188</v>
      </c>
      <c r="AM226" t="s">
        <v>189</v>
      </c>
      <c r="AN226" t="s">
        <v>190</v>
      </c>
      <c r="AO226" t="s">
        <v>4512</v>
      </c>
      <c r="AP226" t="s">
        <v>4513</v>
      </c>
      <c r="AQ226" t="s">
        <v>74</v>
      </c>
      <c r="AR226" t="s">
        <v>4514</v>
      </c>
      <c r="AS226" t="s">
        <v>4515</v>
      </c>
      <c r="AT226" t="s">
        <v>4154</v>
      </c>
      <c r="AU226">
        <v>2012</v>
      </c>
      <c r="AV226">
        <v>61</v>
      </c>
      <c r="AW226" t="s">
        <v>74</v>
      </c>
      <c r="AX226" t="s">
        <v>74</v>
      </c>
      <c r="AY226" t="s">
        <v>74</v>
      </c>
      <c r="AZ226" t="s">
        <v>1019</v>
      </c>
      <c r="BA226" t="s">
        <v>74</v>
      </c>
      <c r="BB226">
        <v>7</v>
      </c>
      <c r="BC226">
        <v>15</v>
      </c>
      <c r="BD226" t="s">
        <v>74</v>
      </c>
      <c r="BE226" t="s">
        <v>4516</v>
      </c>
      <c r="BF226" t="str">
        <f>HYPERLINK("http://dx.doi.org/10.1016/j.apsoil.2012.04.009","http://dx.doi.org/10.1016/j.apsoil.2012.04.009")</f>
        <v>http://dx.doi.org/10.1016/j.apsoil.2012.04.009</v>
      </c>
      <c r="BG226" t="s">
        <v>74</v>
      </c>
      <c r="BH226" t="s">
        <v>74</v>
      </c>
      <c r="BI226">
        <v>9</v>
      </c>
      <c r="BJ226" t="s">
        <v>2619</v>
      </c>
      <c r="BK226" t="s">
        <v>98</v>
      </c>
      <c r="BL226" t="s">
        <v>2620</v>
      </c>
      <c r="BM226" t="s">
        <v>4517</v>
      </c>
      <c r="BN226" t="s">
        <v>74</v>
      </c>
      <c r="BO226" t="s">
        <v>74</v>
      </c>
      <c r="BP226" t="s">
        <v>74</v>
      </c>
      <c r="BQ226" t="s">
        <v>74</v>
      </c>
      <c r="BR226" t="s">
        <v>101</v>
      </c>
      <c r="BS226" t="s">
        <v>4518</v>
      </c>
      <c r="BT226" t="str">
        <f>HYPERLINK("https%3A%2F%2Fwww.webofscience.com%2Fwos%2Fwoscc%2Ffull-record%2FWOS:000309789700002","View Full Record in Web of Science")</f>
        <v>View Full Record in Web of Science</v>
      </c>
    </row>
    <row r="227" spans="1:72" x14ac:dyDescent="0.15">
      <c r="A227" t="s">
        <v>72</v>
      </c>
      <c r="B227" t="s">
        <v>4519</v>
      </c>
      <c r="C227" t="s">
        <v>74</v>
      </c>
      <c r="D227" t="s">
        <v>74</v>
      </c>
      <c r="E227" t="s">
        <v>74</v>
      </c>
      <c r="F227" t="s">
        <v>4520</v>
      </c>
      <c r="G227" t="s">
        <v>74</v>
      </c>
      <c r="H227" t="s">
        <v>74</v>
      </c>
      <c r="I227" t="s">
        <v>4521</v>
      </c>
      <c r="J227" t="s">
        <v>1442</v>
      </c>
      <c r="K227" t="s">
        <v>74</v>
      </c>
      <c r="L227" t="s">
        <v>74</v>
      </c>
      <c r="M227" t="s">
        <v>78</v>
      </c>
      <c r="N227" t="s">
        <v>79</v>
      </c>
      <c r="O227" t="s">
        <v>74</v>
      </c>
      <c r="P227" t="s">
        <v>74</v>
      </c>
      <c r="Q227" t="s">
        <v>74</v>
      </c>
      <c r="R227" t="s">
        <v>74</v>
      </c>
      <c r="S227" t="s">
        <v>74</v>
      </c>
      <c r="T227" t="s">
        <v>74</v>
      </c>
      <c r="U227" t="s">
        <v>4522</v>
      </c>
      <c r="V227" t="s">
        <v>4523</v>
      </c>
      <c r="W227" t="s">
        <v>4524</v>
      </c>
      <c r="X227" t="s">
        <v>4525</v>
      </c>
      <c r="Y227" t="s">
        <v>4526</v>
      </c>
      <c r="Z227" t="s">
        <v>364</v>
      </c>
      <c r="AA227" t="s">
        <v>4527</v>
      </c>
      <c r="AB227" t="s">
        <v>366</v>
      </c>
      <c r="AC227" t="s">
        <v>4528</v>
      </c>
      <c r="AD227" t="s">
        <v>4529</v>
      </c>
      <c r="AE227" t="s">
        <v>4530</v>
      </c>
      <c r="AF227" t="s">
        <v>74</v>
      </c>
      <c r="AG227">
        <v>40</v>
      </c>
      <c r="AH227">
        <v>120</v>
      </c>
      <c r="AI227">
        <v>140</v>
      </c>
      <c r="AJ227">
        <v>2</v>
      </c>
      <c r="AK227">
        <v>42</v>
      </c>
      <c r="AL227" t="s">
        <v>1429</v>
      </c>
      <c r="AM227" t="s">
        <v>1430</v>
      </c>
      <c r="AN227" t="s">
        <v>1431</v>
      </c>
      <c r="AO227" t="s">
        <v>1452</v>
      </c>
      <c r="AP227" t="s">
        <v>1453</v>
      </c>
      <c r="AQ227" t="s">
        <v>74</v>
      </c>
      <c r="AR227" t="s">
        <v>1454</v>
      </c>
      <c r="AS227" t="s">
        <v>1455</v>
      </c>
      <c r="AT227" t="s">
        <v>4154</v>
      </c>
      <c r="AU227">
        <v>2012</v>
      </c>
      <c r="AV227">
        <v>93</v>
      </c>
      <c r="AW227">
        <v>10</v>
      </c>
      <c r="AX227" t="s">
        <v>74</v>
      </c>
      <c r="AY227" t="s">
        <v>74</v>
      </c>
      <c r="AZ227" t="s">
        <v>74</v>
      </c>
      <c r="BA227" t="s">
        <v>74</v>
      </c>
      <c r="BB227">
        <v>1519</v>
      </c>
      <c r="BC227" t="s">
        <v>4531</v>
      </c>
      <c r="BD227" t="s">
        <v>74</v>
      </c>
      <c r="BE227" t="s">
        <v>4532</v>
      </c>
      <c r="BF227" t="str">
        <f>HYPERLINK("http://dx.doi.org/10.1175/BAMS-D-11-00015.1","http://dx.doi.org/10.1175/BAMS-D-11-00015.1")</f>
        <v>http://dx.doi.org/10.1175/BAMS-D-11-00015.1</v>
      </c>
      <c r="BG227" t="s">
        <v>74</v>
      </c>
      <c r="BH227" t="s">
        <v>74</v>
      </c>
      <c r="BI227">
        <v>20</v>
      </c>
      <c r="BJ227" t="s">
        <v>378</v>
      </c>
      <c r="BK227" t="s">
        <v>98</v>
      </c>
      <c r="BL227" t="s">
        <v>378</v>
      </c>
      <c r="BM227" t="s">
        <v>4533</v>
      </c>
      <c r="BN227" t="s">
        <v>74</v>
      </c>
      <c r="BO227" t="s">
        <v>380</v>
      </c>
      <c r="BP227" t="s">
        <v>74</v>
      </c>
      <c r="BQ227" t="s">
        <v>74</v>
      </c>
      <c r="BR227" t="s">
        <v>101</v>
      </c>
      <c r="BS227" t="s">
        <v>4534</v>
      </c>
      <c r="BT227" t="str">
        <f>HYPERLINK("https%3A%2F%2Fwww.webofscience.com%2Fwos%2Fwoscc%2Ffull-record%2FWOS:000310101100011","View Full Record in Web of Science")</f>
        <v>View Full Record in Web of Science</v>
      </c>
    </row>
    <row r="228" spans="1:72" x14ac:dyDescent="0.15">
      <c r="A228" t="s">
        <v>72</v>
      </c>
      <c r="B228" t="s">
        <v>4535</v>
      </c>
      <c r="C228" t="s">
        <v>74</v>
      </c>
      <c r="D228" t="s">
        <v>74</v>
      </c>
      <c r="E228" t="s">
        <v>74</v>
      </c>
      <c r="F228" t="s">
        <v>4536</v>
      </c>
      <c r="G228" t="s">
        <v>74</v>
      </c>
      <c r="H228" t="s">
        <v>74</v>
      </c>
      <c r="I228" t="s">
        <v>4537</v>
      </c>
      <c r="J228" t="s">
        <v>1945</v>
      </c>
      <c r="K228" t="s">
        <v>74</v>
      </c>
      <c r="L228" t="s">
        <v>74</v>
      </c>
      <c r="M228" t="s">
        <v>78</v>
      </c>
      <c r="N228" t="s">
        <v>79</v>
      </c>
      <c r="O228" t="s">
        <v>74</v>
      </c>
      <c r="P228" t="s">
        <v>74</v>
      </c>
      <c r="Q228" t="s">
        <v>74</v>
      </c>
      <c r="R228" t="s">
        <v>74</v>
      </c>
      <c r="S228" t="s">
        <v>74</v>
      </c>
      <c r="T228" t="s">
        <v>4538</v>
      </c>
      <c r="U228" t="s">
        <v>4539</v>
      </c>
      <c r="V228" t="s">
        <v>4540</v>
      </c>
      <c r="W228" t="s">
        <v>4541</v>
      </c>
      <c r="X228" t="s">
        <v>4542</v>
      </c>
      <c r="Y228" t="s">
        <v>4543</v>
      </c>
      <c r="Z228" t="s">
        <v>4544</v>
      </c>
      <c r="AA228" t="s">
        <v>74</v>
      </c>
      <c r="AB228" t="s">
        <v>74</v>
      </c>
      <c r="AC228" t="s">
        <v>4545</v>
      </c>
      <c r="AD228" t="s">
        <v>4477</v>
      </c>
      <c r="AE228" t="s">
        <v>4546</v>
      </c>
      <c r="AF228" t="s">
        <v>74</v>
      </c>
      <c r="AG228">
        <v>55</v>
      </c>
      <c r="AH228">
        <v>40</v>
      </c>
      <c r="AI228">
        <v>45</v>
      </c>
      <c r="AJ228">
        <v>1</v>
      </c>
      <c r="AK228">
        <v>52</v>
      </c>
      <c r="AL228" t="s">
        <v>1958</v>
      </c>
      <c r="AM228" t="s">
        <v>1959</v>
      </c>
      <c r="AN228" t="s">
        <v>1960</v>
      </c>
      <c r="AO228" t="s">
        <v>1961</v>
      </c>
      <c r="AP228" t="s">
        <v>1962</v>
      </c>
      <c r="AQ228" t="s">
        <v>74</v>
      </c>
      <c r="AR228" t="s">
        <v>1963</v>
      </c>
      <c r="AS228" t="s">
        <v>1964</v>
      </c>
      <c r="AT228" t="s">
        <v>4154</v>
      </c>
      <c r="AU228">
        <v>2012</v>
      </c>
      <c r="AV228">
        <v>215</v>
      </c>
      <c r="AW228">
        <v>20</v>
      </c>
      <c r="AX228" t="s">
        <v>74</v>
      </c>
      <c r="AY228" t="s">
        <v>74</v>
      </c>
      <c r="AZ228" t="s">
        <v>74</v>
      </c>
      <c r="BA228" t="s">
        <v>74</v>
      </c>
      <c r="BB228">
        <v>3655</v>
      </c>
      <c r="BC228">
        <v>3664</v>
      </c>
      <c r="BD228" t="s">
        <v>74</v>
      </c>
      <c r="BE228" t="s">
        <v>4547</v>
      </c>
      <c r="BF228" t="str">
        <f>HYPERLINK("http://dx.doi.org/10.1242/jeb.071811","http://dx.doi.org/10.1242/jeb.071811")</f>
        <v>http://dx.doi.org/10.1242/jeb.071811</v>
      </c>
      <c r="BG228" t="s">
        <v>74</v>
      </c>
      <c r="BH228" t="s">
        <v>74</v>
      </c>
      <c r="BI228">
        <v>10</v>
      </c>
      <c r="BJ228" t="s">
        <v>1966</v>
      </c>
      <c r="BK228" t="s">
        <v>98</v>
      </c>
      <c r="BL228" t="s">
        <v>1967</v>
      </c>
      <c r="BM228" t="s">
        <v>4548</v>
      </c>
      <c r="BN228">
        <v>22811244</v>
      </c>
      <c r="BO228" t="s">
        <v>607</v>
      </c>
      <c r="BP228" t="s">
        <v>74</v>
      </c>
      <c r="BQ228" t="s">
        <v>74</v>
      </c>
      <c r="BR228" t="s">
        <v>101</v>
      </c>
      <c r="BS228" t="s">
        <v>4549</v>
      </c>
      <c r="BT228" t="str">
        <f>HYPERLINK("https%3A%2F%2Fwww.webofscience.com%2Fwos%2Fwoscc%2Ffull-record%2FWOS:000309543600022","View Full Record in Web of Science")</f>
        <v>View Full Record in Web of Science</v>
      </c>
    </row>
    <row r="229" spans="1:72" x14ac:dyDescent="0.15">
      <c r="A229" t="s">
        <v>72</v>
      </c>
      <c r="B229" t="s">
        <v>4550</v>
      </c>
      <c r="C229" t="s">
        <v>74</v>
      </c>
      <c r="D229" t="s">
        <v>74</v>
      </c>
      <c r="E229" t="s">
        <v>74</v>
      </c>
      <c r="F229" t="s">
        <v>4551</v>
      </c>
      <c r="G229" t="s">
        <v>74</v>
      </c>
      <c r="H229" t="s">
        <v>74</v>
      </c>
      <c r="I229" t="s">
        <v>4552</v>
      </c>
      <c r="J229" t="s">
        <v>1567</v>
      </c>
      <c r="K229" t="s">
        <v>74</v>
      </c>
      <c r="L229" t="s">
        <v>74</v>
      </c>
      <c r="M229" t="s">
        <v>78</v>
      </c>
      <c r="N229" t="s">
        <v>79</v>
      </c>
      <c r="O229" t="s">
        <v>74</v>
      </c>
      <c r="P229" t="s">
        <v>74</v>
      </c>
      <c r="Q229" t="s">
        <v>74</v>
      </c>
      <c r="R229" t="s">
        <v>74</v>
      </c>
      <c r="S229" t="s">
        <v>74</v>
      </c>
      <c r="T229" t="s">
        <v>74</v>
      </c>
      <c r="U229" t="s">
        <v>4553</v>
      </c>
      <c r="V229" t="s">
        <v>4554</v>
      </c>
      <c r="W229" t="s">
        <v>4555</v>
      </c>
      <c r="X229" t="s">
        <v>4556</v>
      </c>
      <c r="Y229" t="s">
        <v>4557</v>
      </c>
      <c r="Z229" t="s">
        <v>4558</v>
      </c>
      <c r="AA229" t="s">
        <v>4559</v>
      </c>
      <c r="AB229" t="s">
        <v>4560</v>
      </c>
      <c r="AC229" t="s">
        <v>4561</v>
      </c>
      <c r="AD229" t="s">
        <v>4562</v>
      </c>
      <c r="AE229" t="s">
        <v>4563</v>
      </c>
      <c r="AF229" t="s">
        <v>74</v>
      </c>
      <c r="AG229">
        <v>37</v>
      </c>
      <c r="AH229">
        <v>116</v>
      </c>
      <c r="AI229">
        <v>133</v>
      </c>
      <c r="AJ229">
        <v>1</v>
      </c>
      <c r="AK229">
        <v>28</v>
      </c>
      <c r="AL229" t="s">
        <v>1429</v>
      </c>
      <c r="AM229" t="s">
        <v>1430</v>
      </c>
      <c r="AN229" t="s">
        <v>1431</v>
      </c>
      <c r="AO229" t="s">
        <v>1579</v>
      </c>
      <c r="AP229" t="s">
        <v>1580</v>
      </c>
      <c r="AQ229" t="s">
        <v>74</v>
      </c>
      <c r="AR229" t="s">
        <v>1581</v>
      </c>
      <c r="AS229" t="s">
        <v>1582</v>
      </c>
      <c r="AT229" t="s">
        <v>4154</v>
      </c>
      <c r="AU229">
        <v>2012</v>
      </c>
      <c r="AV229">
        <v>42</v>
      </c>
      <c r="AW229">
        <v>10</v>
      </c>
      <c r="AX229" t="s">
        <v>74</v>
      </c>
      <c r="AY229" t="s">
        <v>74</v>
      </c>
      <c r="AZ229" t="s">
        <v>74</v>
      </c>
      <c r="BA229" t="s">
        <v>74</v>
      </c>
      <c r="BB229">
        <v>1652</v>
      </c>
      <c r="BC229">
        <v>1667</v>
      </c>
      <c r="BD229" t="s">
        <v>74</v>
      </c>
      <c r="BE229" t="s">
        <v>4564</v>
      </c>
      <c r="BF229" t="str">
        <f>HYPERLINK("http://dx.doi.org/10.1175/JPO-D-11-0189.1","http://dx.doi.org/10.1175/JPO-D-11-0189.1")</f>
        <v>http://dx.doi.org/10.1175/JPO-D-11-0189.1</v>
      </c>
      <c r="BG229" t="s">
        <v>74</v>
      </c>
      <c r="BH229" t="s">
        <v>74</v>
      </c>
      <c r="BI229">
        <v>16</v>
      </c>
      <c r="BJ229" t="s">
        <v>941</v>
      </c>
      <c r="BK229" t="s">
        <v>98</v>
      </c>
      <c r="BL229" t="s">
        <v>941</v>
      </c>
      <c r="BM229" t="s">
        <v>4565</v>
      </c>
      <c r="BN229" t="s">
        <v>74</v>
      </c>
      <c r="BO229" t="s">
        <v>607</v>
      </c>
      <c r="BP229" t="s">
        <v>74</v>
      </c>
      <c r="BQ229" t="s">
        <v>74</v>
      </c>
      <c r="BR229" t="s">
        <v>101</v>
      </c>
      <c r="BS229" t="s">
        <v>4566</v>
      </c>
      <c r="BT229" t="str">
        <f>HYPERLINK("https%3A%2F%2Fwww.webofscience.com%2Fwos%2Fwoscc%2Ffull-record%2FWOS:000310183000003","View Full Record in Web of Science")</f>
        <v>View Full Record in Web of Science</v>
      </c>
    </row>
    <row r="230" spans="1:72" x14ac:dyDescent="0.15">
      <c r="A230" t="s">
        <v>72</v>
      </c>
      <c r="B230" t="s">
        <v>4567</v>
      </c>
      <c r="C230" t="s">
        <v>74</v>
      </c>
      <c r="D230" t="s">
        <v>74</v>
      </c>
      <c r="E230" t="s">
        <v>74</v>
      </c>
      <c r="F230" t="s">
        <v>4568</v>
      </c>
      <c r="G230" t="s">
        <v>74</v>
      </c>
      <c r="H230" t="s">
        <v>74</v>
      </c>
      <c r="I230" t="s">
        <v>4569</v>
      </c>
      <c r="J230" t="s">
        <v>4570</v>
      </c>
      <c r="K230" t="s">
        <v>74</v>
      </c>
      <c r="L230" t="s">
        <v>74</v>
      </c>
      <c r="M230" t="s">
        <v>78</v>
      </c>
      <c r="N230" t="s">
        <v>79</v>
      </c>
      <c r="O230" t="s">
        <v>74</v>
      </c>
      <c r="P230" t="s">
        <v>74</v>
      </c>
      <c r="Q230" t="s">
        <v>74</v>
      </c>
      <c r="R230" t="s">
        <v>74</v>
      </c>
      <c r="S230" t="s">
        <v>74</v>
      </c>
      <c r="T230" t="s">
        <v>4571</v>
      </c>
      <c r="U230" t="s">
        <v>4572</v>
      </c>
      <c r="V230" t="s">
        <v>4573</v>
      </c>
      <c r="W230" t="s">
        <v>4574</v>
      </c>
      <c r="X230" t="s">
        <v>4575</v>
      </c>
      <c r="Y230" t="s">
        <v>4576</v>
      </c>
      <c r="Z230" t="s">
        <v>4577</v>
      </c>
      <c r="AA230" t="s">
        <v>4578</v>
      </c>
      <c r="AB230" t="s">
        <v>4579</v>
      </c>
      <c r="AC230" t="s">
        <v>4580</v>
      </c>
      <c r="AD230" t="s">
        <v>4581</v>
      </c>
      <c r="AE230" t="s">
        <v>4582</v>
      </c>
      <c r="AF230" t="s">
        <v>74</v>
      </c>
      <c r="AG230">
        <v>47</v>
      </c>
      <c r="AH230">
        <v>15</v>
      </c>
      <c r="AI230">
        <v>15</v>
      </c>
      <c r="AJ230">
        <v>1</v>
      </c>
      <c r="AK230">
        <v>21</v>
      </c>
      <c r="AL230" t="s">
        <v>898</v>
      </c>
      <c r="AM230" t="s">
        <v>899</v>
      </c>
      <c r="AN230" t="s">
        <v>900</v>
      </c>
      <c r="AO230" t="s">
        <v>4583</v>
      </c>
      <c r="AP230" t="s">
        <v>4584</v>
      </c>
      <c r="AQ230" t="s">
        <v>74</v>
      </c>
      <c r="AR230" t="s">
        <v>4585</v>
      </c>
      <c r="AS230" t="s">
        <v>4586</v>
      </c>
      <c r="AT230" t="s">
        <v>4154</v>
      </c>
      <c r="AU230">
        <v>2012</v>
      </c>
      <c r="AV230">
        <v>27</v>
      </c>
      <c r="AW230">
        <v>7</v>
      </c>
      <c r="AX230" t="s">
        <v>74</v>
      </c>
      <c r="AY230" t="s">
        <v>74</v>
      </c>
      <c r="AZ230" t="s">
        <v>74</v>
      </c>
      <c r="BA230" t="s">
        <v>74</v>
      </c>
      <c r="BB230">
        <v>713</v>
      </c>
      <c r="BC230">
        <v>724</v>
      </c>
      <c r="BD230" t="s">
        <v>74</v>
      </c>
      <c r="BE230" t="s">
        <v>4587</v>
      </c>
      <c r="BF230" t="str">
        <f>HYPERLINK("http://dx.doi.org/10.1002/jqs.2558","http://dx.doi.org/10.1002/jqs.2558")</f>
        <v>http://dx.doi.org/10.1002/jqs.2558</v>
      </c>
      <c r="BG230" t="s">
        <v>74</v>
      </c>
      <c r="BH230" t="s">
        <v>74</v>
      </c>
      <c r="BI230">
        <v>12</v>
      </c>
      <c r="BJ230" t="s">
        <v>97</v>
      </c>
      <c r="BK230" t="s">
        <v>98</v>
      </c>
      <c r="BL230" t="s">
        <v>99</v>
      </c>
      <c r="BM230" t="s">
        <v>4588</v>
      </c>
      <c r="BN230" t="s">
        <v>74</v>
      </c>
      <c r="BO230" t="s">
        <v>74</v>
      </c>
      <c r="BP230" t="s">
        <v>74</v>
      </c>
      <c r="BQ230" t="s">
        <v>74</v>
      </c>
      <c r="BR230" t="s">
        <v>101</v>
      </c>
      <c r="BS230" t="s">
        <v>4589</v>
      </c>
      <c r="BT230" t="str">
        <f>HYPERLINK("https%3A%2F%2Fwww.webofscience.com%2Fwos%2Fwoscc%2Ffull-record%2FWOS:000309743800007","View Full Record in Web of Science")</f>
        <v>View Full Record in Web of Science</v>
      </c>
    </row>
    <row r="231" spans="1:72" x14ac:dyDescent="0.15">
      <c r="A231" t="s">
        <v>72</v>
      </c>
      <c r="B231" t="s">
        <v>4590</v>
      </c>
      <c r="C231" t="s">
        <v>74</v>
      </c>
      <c r="D231" t="s">
        <v>74</v>
      </c>
      <c r="E231" t="s">
        <v>74</v>
      </c>
      <c r="F231" t="s">
        <v>4591</v>
      </c>
      <c r="G231" t="s">
        <v>74</v>
      </c>
      <c r="H231" t="s">
        <v>74</v>
      </c>
      <c r="I231" t="s">
        <v>4592</v>
      </c>
      <c r="J231" t="s">
        <v>4593</v>
      </c>
      <c r="K231" t="s">
        <v>74</v>
      </c>
      <c r="L231" t="s">
        <v>74</v>
      </c>
      <c r="M231" t="s">
        <v>78</v>
      </c>
      <c r="N231" t="s">
        <v>79</v>
      </c>
      <c r="O231" t="s">
        <v>74</v>
      </c>
      <c r="P231" t="s">
        <v>74</v>
      </c>
      <c r="Q231" t="s">
        <v>74</v>
      </c>
      <c r="R231" t="s">
        <v>74</v>
      </c>
      <c r="S231" t="s">
        <v>74</v>
      </c>
      <c r="T231" t="s">
        <v>4594</v>
      </c>
      <c r="U231" t="s">
        <v>4595</v>
      </c>
      <c r="V231" t="s">
        <v>4596</v>
      </c>
      <c r="W231" t="s">
        <v>4597</v>
      </c>
      <c r="X231" t="s">
        <v>4598</v>
      </c>
      <c r="Y231" t="s">
        <v>4599</v>
      </c>
      <c r="Z231" t="s">
        <v>74</v>
      </c>
      <c r="AA231" t="s">
        <v>74</v>
      </c>
      <c r="AB231" t="s">
        <v>74</v>
      </c>
      <c r="AC231" t="s">
        <v>4600</v>
      </c>
      <c r="AD231" t="s">
        <v>4600</v>
      </c>
      <c r="AE231" t="s">
        <v>4601</v>
      </c>
      <c r="AF231" t="s">
        <v>74</v>
      </c>
      <c r="AG231">
        <v>58</v>
      </c>
      <c r="AH231">
        <v>19</v>
      </c>
      <c r="AI231">
        <v>23</v>
      </c>
      <c r="AJ231">
        <v>0</v>
      </c>
      <c r="AK231">
        <v>48</v>
      </c>
      <c r="AL231" t="s">
        <v>898</v>
      </c>
      <c r="AM231" t="s">
        <v>899</v>
      </c>
      <c r="AN231" t="s">
        <v>900</v>
      </c>
      <c r="AO231" t="s">
        <v>4602</v>
      </c>
      <c r="AP231" t="s">
        <v>4603</v>
      </c>
      <c r="AQ231" t="s">
        <v>74</v>
      </c>
      <c r="AR231" t="s">
        <v>4604</v>
      </c>
      <c r="AS231" t="s">
        <v>4605</v>
      </c>
      <c r="AT231" t="s">
        <v>4154</v>
      </c>
      <c r="AU231">
        <v>2012</v>
      </c>
      <c r="AV231">
        <v>28</v>
      </c>
      <c r="AW231">
        <v>4</v>
      </c>
      <c r="AX231" t="s">
        <v>74</v>
      </c>
      <c r="AY231" t="s">
        <v>74</v>
      </c>
      <c r="AZ231" t="s">
        <v>74</v>
      </c>
      <c r="BA231" t="s">
        <v>74</v>
      </c>
      <c r="BB231">
        <v>751</v>
      </c>
      <c r="BC231">
        <v>776</v>
      </c>
      <c r="BD231" t="s">
        <v>74</v>
      </c>
      <c r="BE231" t="s">
        <v>4606</v>
      </c>
      <c r="BF231" t="str">
        <f>HYPERLINK("http://dx.doi.org/10.1111/j.1748-7692.2011.00538.x","http://dx.doi.org/10.1111/j.1748-7692.2011.00538.x")</f>
        <v>http://dx.doi.org/10.1111/j.1748-7692.2011.00538.x</v>
      </c>
      <c r="BG231" t="s">
        <v>74</v>
      </c>
      <c r="BH231" t="s">
        <v>74</v>
      </c>
      <c r="BI231">
        <v>26</v>
      </c>
      <c r="BJ231" t="s">
        <v>1854</v>
      </c>
      <c r="BK231" t="s">
        <v>98</v>
      </c>
      <c r="BL231" t="s">
        <v>1854</v>
      </c>
      <c r="BM231" t="s">
        <v>4607</v>
      </c>
      <c r="BN231" t="s">
        <v>74</v>
      </c>
      <c r="BO231" t="s">
        <v>74</v>
      </c>
      <c r="BP231" t="s">
        <v>74</v>
      </c>
      <c r="BQ231" t="s">
        <v>74</v>
      </c>
      <c r="BR231" t="s">
        <v>101</v>
      </c>
      <c r="BS231" t="s">
        <v>4608</v>
      </c>
      <c r="BT231" t="str">
        <f>HYPERLINK("https%3A%2F%2Fwww.webofscience.com%2Fwos%2Fwoscc%2Ffull-record%2FWOS:000309612800018","View Full Record in Web of Science")</f>
        <v>View Full Record in Web of Science</v>
      </c>
    </row>
    <row r="232" spans="1:72" x14ac:dyDescent="0.15">
      <c r="A232" t="s">
        <v>72</v>
      </c>
      <c r="B232" t="s">
        <v>4609</v>
      </c>
      <c r="C232" t="s">
        <v>74</v>
      </c>
      <c r="D232" t="s">
        <v>74</v>
      </c>
      <c r="E232" t="s">
        <v>74</v>
      </c>
      <c r="F232" t="s">
        <v>4610</v>
      </c>
      <c r="G232" t="s">
        <v>74</v>
      </c>
      <c r="H232" t="s">
        <v>74</v>
      </c>
      <c r="I232" t="s">
        <v>4611</v>
      </c>
      <c r="J232" t="s">
        <v>4612</v>
      </c>
      <c r="K232" t="s">
        <v>74</v>
      </c>
      <c r="L232" t="s">
        <v>74</v>
      </c>
      <c r="M232" t="s">
        <v>78</v>
      </c>
      <c r="N232" t="s">
        <v>974</v>
      </c>
      <c r="O232" t="s">
        <v>74</v>
      </c>
      <c r="P232" t="s">
        <v>74</v>
      </c>
      <c r="Q232" t="s">
        <v>74</v>
      </c>
      <c r="R232" t="s">
        <v>74</v>
      </c>
      <c r="S232" t="s">
        <v>74</v>
      </c>
      <c r="T232" t="s">
        <v>74</v>
      </c>
      <c r="U232" t="s">
        <v>4613</v>
      </c>
      <c r="V232" t="s">
        <v>4614</v>
      </c>
      <c r="W232" t="s">
        <v>4615</v>
      </c>
      <c r="X232" t="s">
        <v>4616</v>
      </c>
      <c r="Y232" t="s">
        <v>4617</v>
      </c>
      <c r="Z232" t="s">
        <v>4618</v>
      </c>
      <c r="AA232" t="s">
        <v>74</v>
      </c>
      <c r="AB232" t="s">
        <v>74</v>
      </c>
      <c r="AC232" t="s">
        <v>4619</v>
      </c>
      <c r="AD232" t="s">
        <v>4620</v>
      </c>
      <c r="AE232" t="s">
        <v>4621</v>
      </c>
      <c r="AF232" t="s">
        <v>74</v>
      </c>
      <c r="AG232">
        <v>65</v>
      </c>
      <c r="AH232">
        <v>22</v>
      </c>
      <c r="AI232">
        <v>26</v>
      </c>
      <c r="AJ232">
        <v>1</v>
      </c>
      <c r="AK232">
        <v>33</v>
      </c>
      <c r="AL232" t="s">
        <v>89</v>
      </c>
      <c r="AM232" t="s">
        <v>90</v>
      </c>
      <c r="AN232" t="s">
        <v>91</v>
      </c>
      <c r="AO232" t="s">
        <v>4622</v>
      </c>
      <c r="AP232" t="s">
        <v>4623</v>
      </c>
      <c r="AQ232" t="s">
        <v>74</v>
      </c>
      <c r="AR232" t="s">
        <v>4624</v>
      </c>
      <c r="AS232" t="s">
        <v>4625</v>
      </c>
      <c r="AT232" t="s">
        <v>4154</v>
      </c>
      <c r="AU232">
        <v>2012</v>
      </c>
      <c r="AV232">
        <v>104</v>
      </c>
      <c r="AW232" t="s">
        <v>74</v>
      </c>
      <c r="AX232" t="s">
        <v>74</v>
      </c>
      <c r="AY232" t="s">
        <v>74</v>
      </c>
      <c r="AZ232" t="s">
        <v>74</v>
      </c>
      <c r="BA232" t="s">
        <v>74</v>
      </c>
      <c r="BB232">
        <v>99</v>
      </c>
      <c r="BC232">
        <v>109</v>
      </c>
      <c r="BD232" t="s">
        <v>74</v>
      </c>
      <c r="BE232" t="s">
        <v>4626</v>
      </c>
      <c r="BF232" t="str">
        <f>HYPERLINK("http://dx.doi.org/10.1016/j.pocean.2012.06.003","http://dx.doi.org/10.1016/j.pocean.2012.06.003")</f>
        <v>http://dx.doi.org/10.1016/j.pocean.2012.06.003</v>
      </c>
      <c r="BG232" t="s">
        <v>74</v>
      </c>
      <c r="BH232" t="s">
        <v>74</v>
      </c>
      <c r="BI232">
        <v>11</v>
      </c>
      <c r="BJ232" t="s">
        <v>941</v>
      </c>
      <c r="BK232" t="s">
        <v>98</v>
      </c>
      <c r="BL232" t="s">
        <v>941</v>
      </c>
      <c r="BM232" t="s">
        <v>4627</v>
      </c>
      <c r="BN232" t="s">
        <v>74</v>
      </c>
      <c r="BO232" t="s">
        <v>74</v>
      </c>
      <c r="BP232" t="s">
        <v>74</v>
      </c>
      <c r="BQ232" t="s">
        <v>74</v>
      </c>
      <c r="BR232" t="s">
        <v>101</v>
      </c>
      <c r="BS232" t="s">
        <v>4628</v>
      </c>
      <c r="BT232" t="str">
        <f>HYPERLINK("https%3A%2F%2Fwww.webofscience.com%2Fwos%2Fwoscc%2Ffull-record%2FWOS:000309693500007","View Full Record in Web of Science")</f>
        <v>View Full Record in Web of Science</v>
      </c>
    </row>
    <row r="233" spans="1:72" x14ac:dyDescent="0.15">
      <c r="A233" t="s">
        <v>72</v>
      </c>
      <c r="B233" t="s">
        <v>4629</v>
      </c>
      <c r="C233" t="s">
        <v>74</v>
      </c>
      <c r="D233" t="s">
        <v>74</v>
      </c>
      <c r="E233" t="s">
        <v>74</v>
      </c>
      <c r="F233" t="s">
        <v>4630</v>
      </c>
      <c r="G233" t="s">
        <v>74</v>
      </c>
      <c r="H233" t="s">
        <v>74</v>
      </c>
      <c r="I233" t="s">
        <v>4631</v>
      </c>
      <c r="J233" t="s">
        <v>4632</v>
      </c>
      <c r="K233" t="s">
        <v>74</v>
      </c>
      <c r="L233" t="s">
        <v>74</v>
      </c>
      <c r="M233" t="s">
        <v>78</v>
      </c>
      <c r="N233" t="s">
        <v>79</v>
      </c>
      <c r="O233" t="s">
        <v>74</v>
      </c>
      <c r="P233" t="s">
        <v>74</v>
      </c>
      <c r="Q233" t="s">
        <v>74</v>
      </c>
      <c r="R233" t="s">
        <v>74</v>
      </c>
      <c r="S233" t="s">
        <v>74</v>
      </c>
      <c r="T233" t="s">
        <v>4633</v>
      </c>
      <c r="U233" t="s">
        <v>4634</v>
      </c>
      <c r="V233" t="s">
        <v>4635</v>
      </c>
      <c r="W233" t="s">
        <v>4636</v>
      </c>
      <c r="X233" t="s">
        <v>4637</v>
      </c>
      <c r="Y233" t="s">
        <v>4638</v>
      </c>
      <c r="Z233" t="s">
        <v>4639</v>
      </c>
      <c r="AA233" t="s">
        <v>4640</v>
      </c>
      <c r="AB233" t="s">
        <v>4641</v>
      </c>
      <c r="AC233" t="s">
        <v>4642</v>
      </c>
      <c r="AD233" t="s">
        <v>4643</v>
      </c>
      <c r="AE233" t="s">
        <v>4644</v>
      </c>
      <c r="AF233" t="s">
        <v>74</v>
      </c>
      <c r="AG233">
        <v>80</v>
      </c>
      <c r="AH233">
        <v>21</v>
      </c>
      <c r="AI233">
        <v>21</v>
      </c>
      <c r="AJ233">
        <v>0</v>
      </c>
      <c r="AK233">
        <v>27</v>
      </c>
      <c r="AL233" t="s">
        <v>1517</v>
      </c>
      <c r="AM233" t="s">
        <v>434</v>
      </c>
      <c r="AN233" t="s">
        <v>1518</v>
      </c>
      <c r="AO233" t="s">
        <v>4645</v>
      </c>
      <c r="AP233" t="s">
        <v>4646</v>
      </c>
      <c r="AQ233" t="s">
        <v>74</v>
      </c>
      <c r="AR233" t="s">
        <v>4647</v>
      </c>
      <c r="AS233" t="s">
        <v>4648</v>
      </c>
      <c r="AT233" t="s">
        <v>4174</v>
      </c>
      <c r="AU233">
        <v>2012</v>
      </c>
      <c r="AV233">
        <v>111</v>
      </c>
      <c r="AW233" t="s">
        <v>74</v>
      </c>
      <c r="AX233" t="s">
        <v>74</v>
      </c>
      <c r="AY233" t="s">
        <v>74</v>
      </c>
      <c r="AZ233" t="s">
        <v>74</v>
      </c>
      <c r="BA233" t="s">
        <v>74</v>
      </c>
      <c r="BB233">
        <v>48</v>
      </c>
      <c r="BC233">
        <v>59</v>
      </c>
      <c r="BD233" t="s">
        <v>74</v>
      </c>
      <c r="BE233" t="s">
        <v>4649</v>
      </c>
      <c r="BF233" t="str">
        <f>HYPERLINK("http://dx.doi.org/10.1016/j.ecss.2012.06.003","http://dx.doi.org/10.1016/j.ecss.2012.06.003")</f>
        <v>http://dx.doi.org/10.1016/j.ecss.2012.06.003</v>
      </c>
      <c r="BG233" t="s">
        <v>74</v>
      </c>
      <c r="BH233" t="s">
        <v>74</v>
      </c>
      <c r="BI233">
        <v>12</v>
      </c>
      <c r="BJ233" t="s">
        <v>1161</v>
      </c>
      <c r="BK233" t="s">
        <v>98</v>
      </c>
      <c r="BL233" t="s">
        <v>1161</v>
      </c>
      <c r="BM233" t="s">
        <v>4650</v>
      </c>
      <c r="BN233" t="s">
        <v>74</v>
      </c>
      <c r="BO233" t="s">
        <v>74</v>
      </c>
      <c r="BP233" t="s">
        <v>74</v>
      </c>
      <c r="BQ233" t="s">
        <v>74</v>
      </c>
      <c r="BR233" t="s">
        <v>101</v>
      </c>
      <c r="BS233" t="s">
        <v>4651</v>
      </c>
      <c r="BT233" t="str">
        <f>HYPERLINK("https%3A%2F%2Fwww.webofscience.com%2Fwos%2Fwoscc%2Ffull-record%2FWOS:000309435900005","View Full Record in Web of Science")</f>
        <v>View Full Record in Web of Science</v>
      </c>
    </row>
    <row r="234" spans="1:72" x14ac:dyDescent="0.15">
      <c r="A234" t="s">
        <v>72</v>
      </c>
      <c r="B234" t="s">
        <v>4652</v>
      </c>
      <c r="C234" t="s">
        <v>74</v>
      </c>
      <c r="D234" t="s">
        <v>74</v>
      </c>
      <c r="E234" t="s">
        <v>74</v>
      </c>
      <c r="F234" t="s">
        <v>4653</v>
      </c>
      <c r="G234" t="s">
        <v>74</v>
      </c>
      <c r="H234" t="s">
        <v>74</v>
      </c>
      <c r="I234" t="s">
        <v>4654</v>
      </c>
      <c r="J234" t="s">
        <v>4655</v>
      </c>
      <c r="K234" t="s">
        <v>74</v>
      </c>
      <c r="L234" t="s">
        <v>74</v>
      </c>
      <c r="M234" t="s">
        <v>78</v>
      </c>
      <c r="N234" t="s">
        <v>79</v>
      </c>
      <c r="O234" t="s">
        <v>74</v>
      </c>
      <c r="P234" t="s">
        <v>74</v>
      </c>
      <c r="Q234" t="s">
        <v>74</v>
      </c>
      <c r="R234" t="s">
        <v>74</v>
      </c>
      <c r="S234" t="s">
        <v>74</v>
      </c>
      <c r="T234" t="s">
        <v>74</v>
      </c>
      <c r="U234" t="s">
        <v>4656</v>
      </c>
      <c r="V234" t="s">
        <v>4657</v>
      </c>
      <c r="W234" t="s">
        <v>4658</v>
      </c>
      <c r="X234" t="s">
        <v>4659</v>
      </c>
      <c r="Y234" t="s">
        <v>4660</v>
      </c>
      <c r="Z234" t="s">
        <v>4661</v>
      </c>
      <c r="AA234" t="s">
        <v>4662</v>
      </c>
      <c r="AB234" t="s">
        <v>4663</v>
      </c>
      <c r="AC234" t="s">
        <v>4664</v>
      </c>
      <c r="AD234" t="s">
        <v>4665</v>
      </c>
      <c r="AE234" t="s">
        <v>4666</v>
      </c>
      <c r="AF234" t="s">
        <v>74</v>
      </c>
      <c r="AG234">
        <v>52</v>
      </c>
      <c r="AH234">
        <v>37</v>
      </c>
      <c r="AI234">
        <v>43</v>
      </c>
      <c r="AJ234">
        <v>0</v>
      </c>
      <c r="AK234">
        <v>26</v>
      </c>
      <c r="AL234" t="s">
        <v>860</v>
      </c>
      <c r="AM234" t="s">
        <v>861</v>
      </c>
      <c r="AN234" t="s">
        <v>862</v>
      </c>
      <c r="AO234" t="s">
        <v>4667</v>
      </c>
      <c r="AP234" t="s">
        <v>4668</v>
      </c>
      <c r="AQ234" t="s">
        <v>74</v>
      </c>
      <c r="AR234" t="s">
        <v>4669</v>
      </c>
      <c r="AS234" t="s">
        <v>4670</v>
      </c>
      <c r="AT234" t="s">
        <v>4154</v>
      </c>
      <c r="AU234">
        <v>2012</v>
      </c>
      <c r="AV234">
        <v>45</v>
      </c>
      <c r="AW234">
        <v>10</v>
      </c>
      <c r="AX234" t="s">
        <v>74</v>
      </c>
      <c r="AY234" t="s">
        <v>74</v>
      </c>
      <c r="AZ234" t="s">
        <v>74</v>
      </c>
      <c r="BA234" t="s">
        <v>74</v>
      </c>
      <c r="BB234">
        <v>901</v>
      </c>
      <c r="BC234">
        <v>917</v>
      </c>
      <c r="BD234" t="s">
        <v>74</v>
      </c>
      <c r="BE234" t="s">
        <v>4671</v>
      </c>
      <c r="BF234" t="str">
        <f>HYPERLINK("http://dx.doi.org/10.1134/S1064229312100067","http://dx.doi.org/10.1134/S1064229312100067")</f>
        <v>http://dx.doi.org/10.1134/S1064229312100067</v>
      </c>
      <c r="BG234" t="s">
        <v>74</v>
      </c>
      <c r="BH234" t="s">
        <v>74</v>
      </c>
      <c r="BI234">
        <v>17</v>
      </c>
      <c r="BJ234" t="s">
        <v>2619</v>
      </c>
      <c r="BK234" t="s">
        <v>98</v>
      </c>
      <c r="BL234" t="s">
        <v>2620</v>
      </c>
      <c r="BM234" t="s">
        <v>4672</v>
      </c>
      <c r="BN234" t="s">
        <v>74</v>
      </c>
      <c r="BO234" t="s">
        <v>74</v>
      </c>
      <c r="BP234" t="s">
        <v>74</v>
      </c>
      <c r="BQ234" t="s">
        <v>74</v>
      </c>
      <c r="BR234" t="s">
        <v>101</v>
      </c>
      <c r="BS234" t="s">
        <v>4673</v>
      </c>
      <c r="BT234" t="str">
        <f>HYPERLINK("https%3A%2F%2Fwww.webofscience.com%2Fwos%2Fwoscc%2Ffull-record%2FWOS:000309675200001","View Full Record in Web of Science")</f>
        <v>View Full Record in Web of Science</v>
      </c>
    </row>
    <row r="235" spans="1:72" x14ac:dyDescent="0.15">
      <c r="A235" t="s">
        <v>72</v>
      </c>
      <c r="B235" t="s">
        <v>4674</v>
      </c>
      <c r="C235" t="s">
        <v>74</v>
      </c>
      <c r="D235" t="s">
        <v>74</v>
      </c>
      <c r="E235" t="s">
        <v>74</v>
      </c>
      <c r="F235" t="s">
        <v>4675</v>
      </c>
      <c r="G235" t="s">
        <v>74</v>
      </c>
      <c r="H235" t="s">
        <v>74</v>
      </c>
      <c r="I235" t="s">
        <v>4676</v>
      </c>
      <c r="J235" t="s">
        <v>4677</v>
      </c>
      <c r="K235" t="s">
        <v>74</v>
      </c>
      <c r="L235" t="s">
        <v>74</v>
      </c>
      <c r="M235" t="s">
        <v>78</v>
      </c>
      <c r="N235" t="s">
        <v>79</v>
      </c>
      <c r="O235" t="s">
        <v>74</v>
      </c>
      <c r="P235" t="s">
        <v>74</v>
      </c>
      <c r="Q235" t="s">
        <v>74</v>
      </c>
      <c r="R235" t="s">
        <v>74</v>
      </c>
      <c r="S235" t="s">
        <v>74</v>
      </c>
      <c r="T235" t="s">
        <v>4678</v>
      </c>
      <c r="U235" t="s">
        <v>4679</v>
      </c>
      <c r="V235" t="s">
        <v>4680</v>
      </c>
      <c r="W235" t="s">
        <v>4681</v>
      </c>
      <c r="X235" t="s">
        <v>4682</v>
      </c>
      <c r="Y235" t="s">
        <v>4683</v>
      </c>
      <c r="Z235" t="s">
        <v>4684</v>
      </c>
      <c r="AA235" t="s">
        <v>4685</v>
      </c>
      <c r="AB235" t="s">
        <v>4686</v>
      </c>
      <c r="AC235" t="s">
        <v>4687</v>
      </c>
      <c r="AD235" t="s">
        <v>4688</v>
      </c>
      <c r="AE235" t="s">
        <v>4689</v>
      </c>
      <c r="AF235" t="s">
        <v>74</v>
      </c>
      <c r="AG235">
        <v>138</v>
      </c>
      <c r="AH235">
        <v>4</v>
      </c>
      <c r="AI235">
        <v>4</v>
      </c>
      <c r="AJ235">
        <v>3</v>
      </c>
      <c r="AK235">
        <v>26</v>
      </c>
      <c r="AL235" t="s">
        <v>2780</v>
      </c>
      <c r="AM235" t="s">
        <v>371</v>
      </c>
      <c r="AN235" t="s">
        <v>2781</v>
      </c>
      <c r="AO235" t="s">
        <v>4690</v>
      </c>
      <c r="AP235" t="s">
        <v>4691</v>
      </c>
      <c r="AQ235" t="s">
        <v>74</v>
      </c>
      <c r="AR235" t="s">
        <v>4692</v>
      </c>
      <c r="AS235" t="s">
        <v>4693</v>
      </c>
      <c r="AT235" t="s">
        <v>4154</v>
      </c>
      <c r="AU235">
        <v>2012</v>
      </c>
      <c r="AV235">
        <v>11</v>
      </c>
      <c r="AW235">
        <v>4</v>
      </c>
      <c r="AX235" t="s">
        <v>74</v>
      </c>
      <c r="AY235" t="s">
        <v>74</v>
      </c>
      <c r="AZ235" t="s">
        <v>1019</v>
      </c>
      <c r="BA235" t="s">
        <v>74</v>
      </c>
      <c r="BB235">
        <v>189</v>
      </c>
      <c r="BC235">
        <v>202</v>
      </c>
      <c r="BD235" t="s">
        <v>74</v>
      </c>
      <c r="BE235" t="s">
        <v>4694</v>
      </c>
      <c r="BF235" t="str">
        <f>HYPERLINK("http://dx.doi.org/10.1017/S1473550412000250","http://dx.doi.org/10.1017/S1473550412000250")</f>
        <v>http://dx.doi.org/10.1017/S1473550412000250</v>
      </c>
      <c r="BG235" t="s">
        <v>74</v>
      </c>
      <c r="BH235" t="s">
        <v>74</v>
      </c>
      <c r="BI235">
        <v>14</v>
      </c>
      <c r="BJ235" t="s">
        <v>4695</v>
      </c>
      <c r="BK235" t="s">
        <v>98</v>
      </c>
      <c r="BL235" t="s">
        <v>4696</v>
      </c>
      <c r="BM235" t="s">
        <v>4697</v>
      </c>
      <c r="BN235" t="s">
        <v>74</v>
      </c>
      <c r="BO235" t="s">
        <v>74</v>
      </c>
      <c r="BP235" t="s">
        <v>74</v>
      </c>
      <c r="BQ235" t="s">
        <v>74</v>
      </c>
      <c r="BR235" t="s">
        <v>101</v>
      </c>
      <c r="BS235" t="s">
        <v>4698</v>
      </c>
      <c r="BT235" t="str">
        <f>HYPERLINK("https%3A%2F%2Fwww.webofscience.com%2Fwos%2Fwoscc%2Ffull-record%2FWOS:000309724800002","View Full Record in Web of Science")</f>
        <v>View Full Record in Web of Science</v>
      </c>
    </row>
    <row r="236" spans="1:72" x14ac:dyDescent="0.15">
      <c r="A236" t="s">
        <v>72</v>
      </c>
      <c r="B236" t="s">
        <v>4699</v>
      </c>
      <c r="C236" t="s">
        <v>74</v>
      </c>
      <c r="D236" t="s">
        <v>74</v>
      </c>
      <c r="E236" t="s">
        <v>74</v>
      </c>
      <c r="F236" t="s">
        <v>4700</v>
      </c>
      <c r="G236" t="s">
        <v>74</v>
      </c>
      <c r="H236" t="s">
        <v>74</v>
      </c>
      <c r="I236" t="s">
        <v>4701</v>
      </c>
      <c r="J236" t="s">
        <v>4702</v>
      </c>
      <c r="K236" t="s">
        <v>74</v>
      </c>
      <c r="L236" t="s">
        <v>74</v>
      </c>
      <c r="M236" t="s">
        <v>78</v>
      </c>
      <c r="N236" t="s">
        <v>79</v>
      </c>
      <c r="O236" t="s">
        <v>74</v>
      </c>
      <c r="P236" t="s">
        <v>74</v>
      </c>
      <c r="Q236" t="s">
        <v>74</v>
      </c>
      <c r="R236" t="s">
        <v>74</v>
      </c>
      <c r="S236" t="s">
        <v>74</v>
      </c>
      <c r="T236" t="s">
        <v>4703</v>
      </c>
      <c r="U236" t="s">
        <v>4704</v>
      </c>
      <c r="V236" t="s">
        <v>4705</v>
      </c>
      <c r="W236" t="s">
        <v>4706</v>
      </c>
      <c r="X236" t="s">
        <v>4707</v>
      </c>
      <c r="Y236" t="s">
        <v>4708</v>
      </c>
      <c r="Z236" t="s">
        <v>4709</v>
      </c>
      <c r="AA236" t="s">
        <v>4710</v>
      </c>
      <c r="AB236" t="s">
        <v>4711</v>
      </c>
      <c r="AC236" t="s">
        <v>4712</v>
      </c>
      <c r="AD236" t="s">
        <v>4713</v>
      </c>
      <c r="AE236" t="s">
        <v>4714</v>
      </c>
      <c r="AF236" t="s">
        <v>74</v>
      </c>
      <c r="AG236">
        <v>42</v>
      </c>
      <c r="AH236">
        <v>15</v>
      </c>
      <c r="AI236">
        <v>16</v>
      </c>
      <c r="AJ236">
        <v>0</v>
      </c>
      <c r="AK236">
        <v>52</v>
      </c>
      <c r="AL236" t="s">
        <v>4715</v>
      </c>
      <c r="AM236" t="s">
        <v>4716</v>
      </c>
      <c r="AN236" t="s">
        <v>4717</v>
      </c>
      <c r="AO236" t="s">
        <v>4718</v>
      </c>
      <c r="AP236" t="s">
        <v>74</v>
      </c>
      <c r="AQ236" t="s">
        <v>74</v>
      </c>
      <c r="AR236" t="s">
        <v>4719</v>
      </c>
      <c r="AS236" t="s">
        <v>4720</v>
      </c>
      <c r="AT236" t="s">
        <v>4174</v>
      </c>
      <c r="AU236">
        <v>2012</v>
      </c>
      <c r="AV236">
        <v>8</v>
      </c>
      <c r="AW236" t="s">
        <v>74</v>
      </c>
      <c r="AX236" t="s">
        <v>74</v>
      </c>
      <c r="AY236" t="s">
        <v>74</v>
      </c>
      <c r="AZ236" t="s">
        <v>74</v>
      </c>
      <c r="BA236" t="s">
        <v>74</v>
      </c>
      <c r="BB236">
        <v>1657</v>
      </c>
      <c r="BC236">
        <v>1667</v>
      </c>
      <c r="BD236" t="s">
        <v>74</v>
      </c>
      <c r="BE236" t="s">
        <v>4721</v>
      </c>
      <c r="BF236" t="str">
        <f>HYPERLINK("http://dx.doi.org/10.3762/bjoc.8.190","http://dx.doi.org/10.3762/bjoc.8.190")</f>
        <v>http://dx.doi.org/10.3762/bjoc.8.190</v>
      </c>
      <c r="BG236" t="s">
        <v>74</v>
      </c>
      <c r="BH236" t="s">
        <v>74</v>
      </c>
      <c r="BI236">
        <v>11</v>
      </c>
      <c r="BJ236" t="s">
        <v>799</v>
      </c>
      <c r="BK236" t="s">
        <v>98</v>
      </c>
      <c r="BL236" t="s">
        <v>801</v>
      </c>
      <c r="BM236" t="s">
        <v>4722</v>
      </c>
      <c r="BN236">
        <v>23209499</v>
      </c>
      <c r="BO236" t="s">
        <v>710</v>
      </c>
      <c r="BP236" t="s">
        <v>74</v>
      </c>
      <c r="BQ236" t="s">
        <v>74</v>
      </c>
      <c r="BR236" t="s">
        <v>101</v>
      </c>
      <c r="BS236" t="s">
        <v>4723</v>
      </c>
      <c r="BT236" t="str">
        <f>HYPERLINK("https%3A%2F%2Fwww.webofscience.com%2Fwos%2Fwoscc%2Ffull-record%2FWOS:000309592000002","View Full Record in Web of Science")</f>
        <v>View Full Record in Web of Science</v>
      </c>
    </row>
    <row r="237" spans="1:72" x14ac:dyDescent="0.15">
      <c r="A237" t="s">
        <v>72</v>
      </c>
      <c r="B237" t="s">
        <v>4724</v>
      </c>
      <c r="C237" t="s">
        <v>74</v>
      </c>
      <c r="D237" t="s">
        <v>74</v>
      </c>
      <c r="E237" t="s">
        <v>74</v>
      </c>
      <c r="F237" t="s">
        <v>4725</v>
      </c>
      <c r="G237" t="s">
        <v>74</v>
      </c>
      <c r="H237" t="s">
        <v>74</v>
      </c>
      <c r="I237" t="s">
        <v>4726</v>
      </c>
      <c r="J237" t="s">
        <v>4727</v>
      </c>
      <c r="K237" t="s">
        <v>74</v>
      </c>
      <c r="L237" t="s">
        <v>74</v>
      </c>
      <c r="M237" t="s">
        <v>78</v>
      </c>
      <c r="N237" t="s">
        <v>79</v>
      </c>
      <c r="O237" t="s">
        <v>74</v>
      </c>
      <c r="P237" t="s">
        <v>74</v>
      </c>
      <c r="Q237" t="s">
        <v>74</v>
      </c>
      <c r="R237" t="s">
        <v>74</v>
      </c>
      <c r="S237" t="s">
        <v>74</v>
      </c>
      <c r="T237" t="s">
        <v>4728</v>
      </c>
      <c r="U237" t="s">
        <v>4729</v>
      </c>
      <c r="V237" t="s">
        <v>4730</v>
      </c>
      <c r="W237" t="s">
        <v>4731</v>
      </c>
      <c r="X237" t="s">
        <v>4732</v>
      </c>
      <c r="Y237" t="s">
        <v>4733</v>
      </c>
      <c r="Z237" t="s">
        <v>4734</v>
      </c>
      <c r="AA237" t="s">
        <v>4735</v>
      </c>
      <c r="AB237" t="s">
        <v>4736</v>
      </c>
      <c r="AC237" t="s">
        <v>4737</v>
      </c>
      <c r="AD237" t="s">
        <v>4738</v>
      </c>
      <c r="AE237" t="s">
        <v>4739</v>
      </c>
      <c r="AF237" t="s">
        <v>74</v>
      </c>
      <c r="AG237">
        <v>59</v>
      </c>
      <c r="AH237">
        <v>23</v>
      </c>
      <c r="AI237">
        <v>25</v>
      </c>
      <c r="AJ237">
        <v>0</v>
      </c>
      <c r="AK237">
        <v>27</v>
      </c>
      <c r="AL237" t="s">
        <v>4740</v>
      </c>
      <c r="AM237" t="s">
        <v>4741</v>
      </c>
      <c r="AN237" t="s">
        <v>4742</v>
      </c>
      <c r="AO237" t="s">
        <v>4743</v>
      </c>
      <c r="AP237" t="s">
        <v>4744</v>
      </c>
      <c r="AQ237" t="s">
        <v>74</v>
      </c>
      <c r="AR237" t="s">
        <v>4745</v>
      </c>
      <c r="AS237" t="s">
        <v>4746</v>
      </c>
      <c r="AT237" t="s">
        <v>4154</v>
      </c>
      <c r="AU237">
        <v>2012</v>
      </c>
      <c r="AV237">
        <v>61</v>
      </c>
      <c r="AW237">
        <v>10</v>
      </c>
      <c r="AX237" t="s">
        <v>74</v>
      </c>
      <c r="AY237" t="s">
        <v>74</v>
      </c>
      <c r="AZ237" t="s">
        <v>74</v>
      </c>
      <c r="BA237" t="s">
        <v>74</v>
      </c>
      <c r="BB237">
        <v>1461</v>
      </c>
      <c r="BC237">
        <v>1472</v>
      </c>
      <c r="BD237" t="s">
        <v>74</v>
      </c>
      <c r="BE237" t="s">
        <v>4747</v>
      </c>
      <c r="BF237" t="str">
        <f>HYPERLINK("http://dx.doi.org/10.1016/j.metabol.2012.03.012","http://dx.doi.org/10.1016/j.metabol.2012.03.012")</f>
        <v>http://dx.doi.org/10.1016/j.metabol.2012.03.012</v>
      </c>
      <c r="BG237" t="s">
        <v>74</v>
      </c>
      <c r="BH237" t="s">
        <v>74</v>
      </c>
      <c r="BI237">
        <v>12</v>
      </c>
      <c r="BJ237" t="s">
        <v>4748</v>
      </c>
      <c r="BK237" t="s">
        <v>98</v>
      </c>
      <c r="BL237" t="s">
        <v>4748</v>
      </c>
      <c r="BM237" t="s">
        <v>4749</v>
      </c>
      <c r="BN237">
        <v>22538117</v>
      </c>
      <c r="BO237" t="s">
        <v>74</v>
      </c>
      <c r="BP237" t="s">
        <v>74</v>
      </c>
      <c r="BQ237" t="s">
        <v>74</v>
      </c>
      <c r="BR237" t="s">
        <v>101</v>
      </c>
      <c r="BS237" t="s">
        <v>4750</v>
      </c>
      <c r="BT237" t="str">
        <f>HYPERLINK("https%3A%2F%2Fwww.webofscience.com%2Fwos%2Fwoscc%2Ffull-record%2FWOS:000309625900016","View Full Record in Web of Science")</f>
        <v>View Full Record in Web of Science</v>
      </c>
    </row>
    <row r="238" spans="1:72" x14ac:dyDescent="0.15">
      <c r="A238" t="s">
        <v>72</v>
      </c>
      <c r="B238" t="s">
        <v>4751</v>
      </c>
      <c r="C238" t="s">
        <v>74</v>
      </c>
      <c r="D238" t="s">
        <v>74</v>
      </c>
      <c r="E238" t="s">
        <v>74</v>
      </c>
      <c r="F238" t="s">
        <v>4752</v>
      </c>
      <c r="G238" t="s">
        <v>74</v>
      </c>
      <c r="H238" t="s">
        <v>74</v>
      </c>
      <c r="I238" t="s">
        <v>4753</v>
      </c>
      <c r="J238" t="s">
        <v>4754</v>
      </c>
      <c r="K238" t="s">
        <v>74</v>
      </c>
      <c r="L238" t="s">
        <v>74</v>
      </c>
      <c r="M238" t="s">
        <v>78</v>
      </c>
      <c r="N238" t="s">
        <v>79</v>
      </c>
      <c r="O238" t="s">
        <v>74</v>
      </c>
      <c r="P238" t="s">
        <v>74</v>
      </c>
      <c r="Q238" t="s">
        <v>74</v>
      </c>
      <c r="R238" t="s">
        <v>74</v>
      </c>
      <c r="S238" t="s">
        <v>74</v>
      </c>
      <c r="T238" t="s">
        <v>4755</v>
      </c>
      <c r="U238" t="s">
        <v>4756</v>
      </c>
      <c r="V238" t="s">
        <v>4757</v>
      </c>
      <c r="W238" t="s">
        <v>4758</v>
      </c>
      <c r="X238" t="s">
        <v>4759</v>
      </c>
      <c r="Y238" t="s">
        <v>4760</v>
      </c>
      <c r="Z238" t="s">
        <v>4761</v>
      </c>
      <c r="AA238" t="s">
        <v>4762</v>
      </c>
      <c r="AB238" t="s">
        <v>4763</v>
      </c>
      <c r="AC238" t="s">
        <v>4764</v>
      </c>
      <c r="AD238" t="s">
        <v>4765</v>
      </c>
      <c r="AE238" t="s">
        <v>4766</v>
      </c>
      <c r="AF238" t="s">
        <v>74</v>
      </c>
      <c r="AG238">
        <v>45</v>
      </c>
      <c r="AH238">
        <v>2</v>
      </c>
      <c r="AI238">
        <v>2</v>
      </c>
      <c r="AJ238">
        <v>0</v>
      </c>
      <c r="AK238">
        <v>25</v>
      </c>
      <c r="AL238" t="s">
        <v>4767</v>
      </c>
      <c r="AM238" t="s">
        <v>4768</v>
      </c>
      <c r="AN238" t="s">
        <v>4769</v>
      </c>
      <c r="AO238" t="s">
        <v>4770</v>
      </c>
      <c r="AP238" t="s">
        <v>4771</v>
      </c>
      <c r="AQ238" t="s">
        <v>74</v>
      </c>
      <c r="AR238" t="s">
        <v>4772</v>
      </c>
      <c r="AS238" t="s">
        <v>4773</v>
      </c>
      <c r="AT238" t="s">
        <v>4154</v>
      </c>
      <c r="AU238">
        <v>2012</v>
      </c>
      <c r="AV238">
        <v>404</v>
      </c>
      <c r="AW238" t="s">
        <v>4774</v>
      </c>
      <c r="AX238" t="s">
        <v>74</v>
      </c>
      <c r="AY238" t="s">
        <v>74</v>
      </c>
      <c r="AZ238" t="s">
        <v>74</v>
      </c>
      <c r="BA238" t="s">
        <v>74</v>
      </c>
      <c r="BB238">
        <v>1897</v>
      </c>
      <c r="BC238">
        <v>1906</v>
      </c>
      <c r="BD238" t="s">
        <v>74</v>
      </c>
      <c r="BE238" t="s">
        <v>4775</v>
      </c>
      <c r="BF238" t="str">
        <f>HYPERLINK("http://dx.doi.org/10.1007/s00216-012-6268-0","http://dx.doi.org/10.1007/s00216-012-6268-0")</f>
        <v>http://dx.doi.org/10.1007/s00216-012-6268-0</v>
      </c>
      <c r="BG238" t="s">
        <v>74</v>
      </c>
      <c r="BH238" t="s">
        <v>74</v>
      </c>
      <c r="BI238">
        <v>10</v>
      </c>
      <c r="BJ238" t="s">
        <v>4776</v>
      </c>
      <c r="BK238" t="s">
        <v>98</v>
      </c>
      <c r="BL238" t="s">
        <v>4777</v>
      </c>
      <c r="BM238" t="s">
        <v>4778</v>
      </c>
      <c r="BN238">
        <v>22865007</v>
      </c>
      <c r="BO238" t="s">
        <v>1254</v>
      </c>
      <c r="BP238" t="s">
        <v>74</v>
      </c>
      <c r="BQ238" t="s">
        <v>74</v>
      </c>
      <c r="BR238" t="s">
        <v>101</v>
      </c>
      <c r="BS238" t="s">
        <v>4779</v>
      </c>
      <c r="BT238" t="str">
        <f>HYPERLINK("https%3A%2F%2Fwww.webofscience.com%2Fwos%2Fwoscc%2Ffull-record%2FWOS:000309348400028","View Full Record in Web of Science")</f>
        <v>View Full Record in Web of Science</v>
      </c>
    </row>
    <row r="239" spans="1:72" x14ac:dyDescent="0.15">
      <c r="A239" t="s">
        <v>72</v>
      </c>
      <c r="B239" t="s">
        <v>4780</v>
      </c>
      <c r="C239" t="s">
        <v>74</v>
      </c>
      <c r="D239" t="s">
        <v>74</v>
      </c>
      <c r="E239" t="s">
        <v>74</v>
      </c>
      <c r="F239" t="s">
        <v>4781</v>
      </c>
      <c r="G239" t="s">
        <v>74</v>
      </c>
      <c r="H239" t="s">
        <v>74</v>
      </c>
      <c r="I239" t="s">
        <v>4782</v>
      </c>
      <c r="J239" t="s">
        <v>4783</v>
      </c>
      <c r="K239" t="s">
        <v>74</v>
      </c>
      <c r="L239" t="s">
        <v>74</v>
      </c>
      <c r="M239" t="s">
        <v>78</v>
      </c>
      <c r="N239" t="s">
        <v>79</v>
      </c>
      <c r="O239" t="s">
        <v>74</v>
      </c>
      <c r="P239" t="s">
        <v>74</v>
      </c>
      <c r="Q239" t="s">
        <v>74</v>
      </c>
      <c r="R239" t="s">
        <v>74</v>
      </c>
      <c r="S239" t="s">
        <v>74</v>
      </c>
      <c r="T239" t="s">
        <v>74</v>
      </c>
      <c r="U239" t="s">
        <v>4784</v>
      </c>
      <c r="V239" t="s">
        <v>4785</v>
      </c>
      <c r="W239" t="s">
        <v>4786</v>
      </c>
      <c r="X239" t="s">
        <v>4787</v>
      </c>
      <c r="Y239" t="s">
        <v>4788</v>
      </c>
      <c r="Z239" t="s">
        <v>4789</v>
      </c>
      <c r="AA239" t="s">
        <v>74</v>
      </c>
      <c r="AB239" t="s">
        <v>4790</v>
      </c>
      <c r="AC239" t="s">
        <v>4791</v>
      </c>
      <c r="AD239" t="s">
        <v>4791</v>
      </c>
      <c r="AE239" t="s">
        <v>4792</v>
      </c>
      <c r="AF239" t="s">
        <v>74</v>
      </c>
      <c r="AG239">
        <v>63</v>
      </c>
      <c r="AH239">
        <v>5</v>
      </c>
      <c r="AI239">
        <v>6</v>
      </c>
      <c r="AJ239">
        <v>0</v>
      </c>
      <c r="AK239">
        <v>36</v>
      </c>
      <c r="AL239" t="s">
        <v>898</v>
      </c>
      <c r="AM239" t="s">
        <v>899</v>
      </c>
      <c r="AN239" t="s">
        <v>900</v>
      </c>
      <c r="AO239" t="s">
        <v>4793</v>
      </c>
      <c r="AP239" t="s">
        <v>4794</v>
      </c>
      <c r="AQ239" t="s">
        <v>74</v>
      </c>
      <c r="AR239" t="s">
        <v>4783</v>
      </c>
      <c r="AS239" t="s">
        <v>4795</v>
      </c>
      <c r="AT239" t="s">
        <v>4154</v>
      </c>
      <c r="AU239">
        <v>2012</v>
      </c>
      <c r="AV239">
        <v>41</v>
      </c>
      <c r="AW239">
        <v>4</v>
      </c>
      <c r="AX239" t="s">
        <v>74</v>
      </c>
      <c r="AY239" t="s">
        <v>74</v>
      </c>
      <c r="AZ239" t="s">
        <v>74</v>
      </c>
      <c r="BA239" t="s">
        <v>74</v>
      </c>
      <c r="BB239">
        <v>614</v>
      </c>
      <c r="BC239">
        <v>628</v>
      </c>
      <c r="BD239" t="s">
        <v>74</v>
      </c>
      <c r="BE239" t="s">
        <v>4796</v>
      </c>
      <c r="BF239" t="str">
        <f>HYPERLINK("http://dx.doi.org/10.1111/j.1502-3885.2012.00265.x","http://dx.doi.org/10.1111/j.1502-3885.2012.00265.x")</f>
        <v>http://dx.doi.org/10.1111/j.1502-3885.2012.00265.x</v>
      </c>
      <c r="BG239" t="s">
        <v>74</v>
      </c>
      <c r="BH239" t="s">
        <v>74</v>
      </c>
      <c r="BI239">
        <v>15</v>
      </c>
      <c r="BJ239" t="s">
        <v>97</v>
      </c>
      <c r="BK239" t="s">
        <v>98</v>
      </c>
      <c r="BL239" t="s">
        <v>99</v>
      </c>
      <c r="BM239" t="s">
        <v>4797</v>
      </c>
      <c r="BN239" t="s">
        <v>74</v>
      </c>
      <c r="BO239" t="s">
        <v>74</v>
      </c>
      <c r="BP239" t="s">
        <v>74</v>
      </c>
      <c r="BQ239" t="s">
        <v>74</v>
      </c>
      <c r="BR239" t="s">
        <v>101</v>
      </c>
      <c r="BS239" t="s">
        <v>4798</v>
      </c>
      <c r="BT239" t="str">
        <f>HYPERLINK("https%3A%2F%2Fwww.webofscience.com%2Fwos%2Fwoscc%2Ffull-record%2FWOS:000309394800007","View Full Record in Web of Science")</f>
        <v>View Full Record in Web of Science</v>
      </c>
    </row>
    <row r="240" spans="1:72" x14ac:dyDescent="0.15">
      <c r="A240" t="s">
        <v>72</v>
      </c>
      <c r="B240" t="s">
        <v>4799</v>
      </c>
      <c r="C240" t="s">
        <v>74</v>
      </c>
      <c r="D240" t="s">
        <v>74</v>
      </c>
      <c r="E240" t="s">
        <v>74</v>
      </c>
      <c r="F240" t="s">
        <v>4800</v>
      </c>
      <c r="G240" t="s">
        <v>74</v>
      </c>
      <c r="H240" t="s">
        <v>74</v>
      </c>
      <c r="I240" t="s">
        <v>4801</v>
      </c>
      <c r="J240" t="s">
        <v>1709</v>
      </c>
      <c r="K240" t="s">
        <v>74</v>
      </c>
      <c r="L240" t="s">
        <v>74</v>
      </c>
      <c r="M240" t="s">
        <v>78</v>
      </c>
      <c r="N240" t="s">
        <v>79</v>
      </c>
      <c r="O240" t="s">
        <v>74</v>
      </c>
      <c r="P240" t="s">
        <v>74</v>
      </c>
      <c r="Q240" t="s">
        <v>74</v>
      </c>
      <c r="R240" t="s">
        <v>74</v>
      </c>
      <c r="S240" t="s">
        <v>74</v>
      </c>
      <c r="T240" t="s">
        <v>4802</v>
      </c>
      <c r="U240" t="s">
        <v>4803</v>
      </c>
      <c r="V240" t="s">
        <v>4804</v>
      </c>
      <c r="W240" t="s">
        <v>4805</v>
      </c>
      <c r="X240" t="s">
        <v>4806</v>
      </c>
      <c r="Y240" t="s">
        <v>4807</v>
      </c>
      <c r="Z240" t="s">
        <v>4808</v>
      </c>
      <c r="AA240" t="s">
        <v>4809</v>
      </c>
      <c r="AB240" t="s">
        <v>4810</v>
      </c>
      <c r="AC240" t="s">
        <v>4811</v>
      </c>
      <c r="AD240" t="s">
        <v>4812</v>
      </c>
      <c r="AE240" t="s">
        <v>4813</v>
      </c>
      <c r="AF240" t="s">
        <v>74</v>
      </c>
      <c r="AG240">
        <v>61</v>
      </c>
      <c r="AH240">
        <v>51</v>
      </c>
      <c r="AI240">
        <v>58</v>
      </c>
      <c r="AJ240">
        <v>4</v>
      </c>
      <c r="AK240">
        <v>56</v>
      </c>
      <c r="AL240" t="s">
        <v>935</v>
      </c>
      <c r="AM240" t="s">
        <v>371</v>
      </c>
      <c r="AN240" t="s">
        <v>1873</v>
      </c>
      <c r="AO240" t="s">
        <v>1722</v>
      </c>
      <c r="AP240" t="s">
        <v>1723</v>
      </c>
      <c r="AQ240" t="s">
        <v>74</v>
      </c>
      <c r="AR240" t="s">
        <v>1724</v>
      </c>
      <c r="AS240" t="s">
        <v>1725</v>
      </c>
      <c r="AT240" t="s">
        <v>4154</v>
      </c>
      <c r="AU240">
        <v>2012</v>
      </c>
      <c r="AV240">
        <v>39</v>
      </c>
      <c r="AW240" t="s">
        <v>4814</v>
      </c>
      <c r="AX240" t="s">
        <v>74</v>
      </c>
      <c r="AY240" t="s">
        <v>74</v>
      </c>
      <c r="AZ240" t="s">
        <v>74</v>
      </c>
      <c r="BA240" t="s">
        <v>74</v>
      </c>
      <c r="BB240">
        <v>1841</v>
      </c>
      <c r="BC240">
        <v>1857</v>
      </c>
      <c r="BD240" t="s">
        <v>74</v>
      </c>
      <c r="BE240" t="s">
        <v>4815</v>
      </c>
      <c r="BF240" t="str">
        <f>HYPERLINK("http://dx.doi.org/10.1007/s00382-012-1460-7","http://dx.doi.org/10.1007/s00382-012-1460-7")</f>
        <v>http://dx.doi.org/10.1007/s00382-012-1460-7</v>
      </c>
      <c r="BG240" t="s">
        <v>74</v>
      </c>
      <c r="BH240" t="s">
        <v>74</v>
      </c>
      <c r="BI240">
        <v>17</v>
      </c>
      <c r="BJ240" t="s">
        <v>378</v>
      </c>
      <c r="BK240" t="s">
        <v>98</v>
      </c>
      <c r="BL240" t="s">
        <v>378</v>
      </c>
      <c r="BM240" t="s">
        <v>4816</v>
      </c>
      <c r="BN240" t="s">
        <v>74</v>
      </c>
      <c r="BO240" t="s">
        <v>74</v>
      </c>
      <c r="BP240" t="s">
        <v>74</v>
      </c>
      <c r="BQ240" t="s">
        <v>74</v>
      </c>
      <c r="BR240" t="s">
        <v>101</v>
      </c>
      <c r="BS240" t="s">
        <v>4817</v>
      </c>
      <c r="BT240" t="str">
        <f>HYPERLINK("https%3A%2F%2Fwww.webofscience.com%2Fwos%2Fwoscc%2Ffull-record%2FWOS:000309346100018","View Full Record in Web of Science")</f>
        <v>View Full Record in Web of Science</v>
      </c>
    </row>
    <row r="241" spans="1:72" x14ac:dyDescent="0.15">
      <c r="A241" t="s">
        <v>72</v>
      </c>
      <c r="B241" t="s">
        <v>4818</v>
      </c>
      <c r="C241" t="s">
        <v>74</v>
      </c>
      <c r="D241" t="s">
        <v>74</v>
      </c>
      <c r="E241" t="s">
        <v>74</v>
      </c>
      <c r="F241" t="s">
        <v>4819</v>
      </c>
      <c r="G241" t="s">
        <v>74</v>
      </c>
      <c r="H241" t="s">
        <v>74</v>
      </c>
      <c r="I241" t="s">
        <v>4820</v>
      </c>
      <c r="J241" t="s">
        <v>1709</v>
      </c>
      <c r="K241" t="s">
        <v>74</v>
      </c>
      <c r="L241" t="s">
        <v>74</v>
      </c>
      <c r="M241" t="s">
        <v>78</v>
      </c>
      <c r="N241" t="s">
        <v>79</v>
      </c>
      <c r="O241" t="s">
        <v>74</v>
      </c>
      <c r="P241" t="s">
        <v>74</v>
      </c>
      <c r="Q241" t="s">
        <v>74</v>
      </c>
      <c r="R241" t="s">
        <v>74</v>
      </c>
      <c r="S241" t="s">
        <v>74</v>
      </c>
      <c r="T241" t="s">
        <v>4821</v>
      </c>
      <c r="U241" t="s">
        <v>4822</v>
      </c>
      <c r="V241" t="s">
        <v>4823</v>
      </c>
      <c r="W241" t="s">
        <v>4824</v>
      </c>
      <c r="X241" t="s">
        <v>4825</v>
      </c>
      <c r="Y241" t="s">
        <v>4826</v>
      </c>
      <c r="Z241" t="s">
        <v>4827</v>
      </c>
      <c r="AA241" t="s">
        <v>4828</v>
      </c>
      <c r="AB241" t="s">
        <v>4829</v>
      </c>
      <c r="AC241" t="s">
        <v>4830</v>
      </c>
      <c r="AD241" t="s">
        <v>4830</v>
      </c>
      <c r="AE241" t="s">
        <v>4831</v>
      </c>
      <c r="AF241" t="s">
        <v>74</v>
      </c>
      <c r="AG241">
        <v>40</v>
      </c>
      <c r="AH241">
        <v>5</v>
      </c>
      <c r="AI241">
        <v>5</v>
      </c>
      <c r="AJ241">
        <v>0</v>
      </c>
      <c r="AK241">
        <v>15</v>
      </c>
      <c r="AL241" t="s">
        <v>935</v>
      </c>
      <c r="AM241" t="s">
        <v>371</v>
      </c>
      <c r="AN241" t="s">
        <v>1873</v>
      </c>
      <c r="AO241" t="s">
        <v>1722</v>
      </c>
      <c r="AP241" t="s">
        <v>1723</v>
      </c>
      <c r="AQ241" t="s">
        <v>74</v>
      </c>
      <c r="AR241" t="s">
        <v>1724</v>
      </c>
      <c r="AS241" t="s">
        <v>1725</v>
      </c>
      <c r="AT241" t="s">
        <v>4154</v>
      </c>
      <c r="AU241">
        <v>2012</v>
      </c>
      <c r="AV241">
        <v>39</v>
      </c>
      <c r="AW241" t="s">
        <v>4814</v>
      </c>
      <c r="AX241" t="s">
        <v>74</v>
      </c>
      <c r="AY241" t="s">
        <v>74</v>
      </c>
      <c r="AZ241" t="s">
        <v>74</v>
      </c>
      <c r="BA241" t="s">
        <v>74</v>
      </c>
      <c r="BB241">
        <v>1905</v>
      </c>
      <c r="BC241">
        <v>1912</v>
      </c>
      <c r="BD241" t="s">
        <v>74</v>
      </c>
      <c r="BE241" t="s">
        <v>4832</v>
      </c>
      <c r="BF241" t="str">
        <f>HYPERLINK("http://dx.doi.org/10.1007/s00382-011-1238-3","http://dx.doi.org/10.1007/s00382-011-1238-3")</f>
        <v>http://dx.doi.org/10.1007/s00382-011-1238-3</v>
      </c>
      <c r="BG241" t="s">
        <v>74</v>
      </c>
      <c r="BH241" t="s">
        <v>74</v>
      </c>
      <c r="BI241">
        <v>8</v>
      </c>
      <c r="BJ241" t="s">
        <v>378</v>
      </c>
      <c r="BK241" t="s">
        <v>98</v>
      </c>
      <c r="BL241" t="s">
        <v>378</v>
      </c>
      <c r="BM241" t="s">
        <v>4816</v>
      </c>
      <c r="BN241" t="s">
        <v>74</v>
      </c>
      <c r="BO241" t="s">
        <v>74</v>
      </c>
      <c r="BP241" t="s">
        <v>74</v>
      </c>
      <c r="BQ241" t="s">
        <v>74</v>
      </c>
      <c r="BR241" t="s">
        <v>101</v>
      </c>
      <c r="BS241" t="s">
        <v>4833</v>
      </c>
      <c r="BT241" t="str">
        <f>HYPERLINK("https%3A%2F%2Fwww.webofscience.com%2Fwos%2Fwoscc%2Ffull-record%2FWOS:000309346100021","View Full Record in Web of Science")</f>
        <v>View Full Record in Web of Science</v>
      </c>
    </row>
    <row r="242" spans="1:72" x14ac:dyDescent="0.15">
      <c r="A242" t="s">
        <v>72</v>
      </c>
      <c r="B242" t="s">
        <v>4834</v>
      </c>
      <c r="C242" t="s">
        <v>74</v>
      </c>
      <c r="D242" t="s">
        <v>74</v>
      </c>
      <c r="E242" t="s">
        <v>74</v>
      </c>
      <c r="F242" t="s">
        <v>4835</v>
      </c>
      <c r="G242" t="s">
        <v>74</v>
      </c>
      <c r="H242" t="s">
        <v>74</v>
      </c>
      <c r="I242" t="s">
        <v>4836</v>
      </c>
      <c r="J242" t="s">
        <v>4837</v>
      </c>
      <c r="K242" t="s">
        <v>74</v>
      </c>
      <c r="L242" t="s">
        <v>74</v>
      </c>
      <c r="M242" t="s">
        <v>78</v>
      </c>
      <c r="N242" t="s">
        <v>79</v>
      </c>
      <c r="O242" t="s">
        <v>74</v>
      </c>
      <c r="P242" t="s">
        <v>74</v>
      </c>
      <c r="Q242" t="s">
        <v>74</v>
      </c>
      <c r="R242" t="s">
        <v>74</v>
      </c>
      <c r="S242" t="s">
        <v>74</v>
      </c>
      <c r="T242" t="s">
        <v>4838</v>
      </c>
      <c r="U242" t="s">
        <v>4839</v>
      </c>
      <c r="V242" t="s">
        <v>4840</v>
      </c>
      <c r="W242" t="s">
        <v>4841</v>
      </c>
      <c r="X242" t="s">
        <v>4842</v>
      </c>
      <c r="Y242" t="s">
        <v>4843</v>
      </c>
      <c r="Z242" t="s">
        <v>4844</v>
      </c>
      <c r="AA242" t="s">
        <v>4845</v>
      </c>
      <c r="AB242" t="s">
        <v>4846</v>
      </c>
      <c r="AC242" t="s">
        <v>4847</v>
      </c>
      <c r="AD242" t="s">
        <v>4848</v>
      </c>
      <c r="AE242" t="s">
        <v>4849</v>
      </c>
      <c r="AF242" t="s">
        <v>74</v>
      </c>
      <c r="AG242">
        <v>94</v>
      </c>
      <c r="AH242">
        <v>71</v>
      </c>
      <c r="AI242">
        <v>79</v>
      </c>
      <c r="AJ242">
        <v>0</v>
      </c>
      <c r="AK242">
        <v>27</v>
      </c>
      <c r="AL242" t="s">
        <v>1771</v>
      </c>
      <c r="AM242" t="s">
        <v>90</v>
      </c>
      <c r="AN242" t="s">
        <v>1772</v>
      </c>
      <c r="AO242" t="s">
        <v>4850</v>
      </c>
      <c r="AP242" t="s">
        <v>4851</v>
      </c>
      <c r="AQ242" t="s">
        <v>74</v>
      </c>
      <c r="AR242" t="s">
        <v>4852</v>
      </c>
      <c r="AS242" t="s">
        <v>4853</v>
      </c>
      <c r="AT242" t="s">
        <v>4154</v>
      </c>
      <c r="AU242">
        <v>2012</v>
      </c>
      <c r="AV242">
        <v>53</v>
      </c>
      <c r="AW242">
        <v>10</v>
      </c>
      <c r="AX242" t="s">
        <v>74</v>
      </c>
      <c r="AY242" t="s">
        <v>74</v>
      </c>
      <c r="AZ242" t="s">
        <v>74</v>
      </c>
      <c r="BA242" t="s">
        <v>74</v>
      </c>
      <c r="BB242">
        <v>2027</v>
      </c>
      <c r="BC242">
        <v>2065</v>
      </c>
      <c r="BD242" t="s">
        <v>74</v>
      </c>
      <c r="BE242" t="s">
        <v>4854</v>
      </c>
      <c r="BF242" t="str">
        <f>HYPERLINK("http://dx.doi.org/10.1093/petrology/egs043","http://dx.doi.org/10.1093/petrology/egs043")</f>
        <v>http://dx.doi.org/10.1093/petrology/egs043</v>
      </c>
      <c r="BG242" t="s">
        <v>74</v>
      </c>
      <c r="BH242" t="s">
        <v>74</v>
      </c>
      <c r="BI242">
        <v>39</v>
      </c>
      <c r="BJ242" t="s">
        <v>241</v>
      </c>
      <c r="BK242" t="s">
        <v>98</v>
      </c>
      <c r="BL242" t="s">
        <v>241</v>
      </c>
      <c r="BM242" t="s">
        <v>4855</v>
      </c>
      <c r="BN242" t="s">
        <v>74</v>
      </c>
      <c r="BO242" t="s">
        <v>1347</v>
      </c>
      <c r="BP242" t="s">
        <v>74</v>
      </c>
      <c r="BQ242" t="s">
        <v>74</v>
      </c>
      <c r="BR242" t="s">
        <v>101</v>
      </c>
      <c r="BS242" t="s">
        <v>4856</v>
      </c>
      <c r="BT242" t="str">
        <f>HYPERLINK("https%3A%2F%2Fwww.webofscience.com%2Fwos%2Fwoscc%2Ffull-record%2FWOS:000309129300003","View Full Record in Web of Science")</f>
        <v>View Full Record in Web of Science</v>
      </c>
    </row>
    <row r="243" spans="1:72" x14ac:dyDescent="0.15">
      <c r="A243" t="s">
        <v>72</v>
      </c>
      <c r="B243" t="s">
        <v>4857</v>
      </c>
      <c r="C243" t="s">
        <v>74</v>
      </c>
      <c r="D243" t="s">
        <v>74</v>
      </c>
      <c r="E243" t="s">
        <v>74</v>
      </c>
      <c r="F243" t="s">
        <v>4858</v>
      </c>
      <c r="G243" t="s">
        <v>74</v>
      </c>
      <c r="H243" t="s">
        <v>74</v>
      </c>
      <c r="I243" t="s">
        <v>4859</v>
      </c>
      <c r="J243" t="s">
        <v>4860</v>
      </c>
      <c r="K243" t="s">
        <v>74</v>
      </c>
      <c r="L243" t="s">
        <v>74</v>
      </c>
      <c r="M243" t="s">
        <v>78</v>
      </c>
      <c r="N243" t="s">
        <v>79</v>
      </c>
      <c r="O243" t="s">
        <v>74</v>
      </c>
      <c r="P243" t="s">
        <v>74</v>
      </c>
      <c r="Q243" t="s">
        <v>74</v>
      </c>
      <c r="R243" t="s">
        <v>74</v>
      </c>
      <c r="S243" t="s">
        <v>74</v>
      </c>
      <c r="T243" t="s">
        <v>4861</v>
      </c>
      <c r="U243" t="s">
        <v>4862</v>
      </c>
      <c r="V243" t="s">
        <v>4863</v>
      </c>
      <c r="W243" t="s">
        <v>4864</v>
      </c>
      <c r="X243" t="s">
        <v>4865</v>
      </c>
      <c r="Y243" t="s">
        <v>4866</v>
      </c>
      <c r="Z243" t="s">
        <v>4867</v>
      </c>
      <c r="AA243" t="s">
        <v>4868</v>
      </c>
      <c r="AB243" t="s">
        <v>4869</v>
      </c>
      <c r="AC243" t="s">
        <v>4870</v>
      </c>
      <c r="AD243" t="s">
        <v>4871</v>
      </c>
      <c r="AE243" t="s">
        <v>4872</v>
      </c>
      <c r="AF243" t="s">
        <v>74</v>
      </c>
      <c r="AG243">
        <v>51</v>
      </c>
      <c r="AH243">
        <v>7</v>
      </c>
      <c r="AI243">
        <v>8</v>
      </c>
      <c r="AJ243">
        <v>0</v>
      </c>
      <c r="AK243">
        <v>47</v>
      </c>
      <c r="AL243" t="s">
        <v>935</v>
      </c>
      <c r="AM243" t="s">
        <v>2382</v>
      </c>
      <c r="AN243" t="s">
        <v>2383</v>
      </c>
      <c r="AO243" t="s">
        <v>4873</v>
      </c>
      <c r="AP243" t="s">
        <v>4874</v>
      </c>
      <c r="AQ243" t="s">
        <v>74</v>
      </c>
      <c r="AR243" t="s">
        <v>4875</v>
      </c>
      <c r="AS243" t="s">
        <v>4876</v>
      </c>
      <c r="AT243" t="s">
        <v>4154</v>
      </c>
      <c r="AU243">
        <v>2012</v>
      </c>
      <c r="AV243">
        <v>341</v>
      </c>
      <c r="AW243">
        <v>2</v>
      </c>
      <c r="AX243" t="s">
        <v>74</v>
      </c>
      <c r="AY243" t="s">
        <v>74</v>
      </c>
      <c r="AZ243" t="s">
        <v>74</v>
      </c>
      <c r="BA243" t="s">
        <v>74</v>
      </c>
      <c r="BB243">
        <v>241</v>
      </c>
      <c r="BC243">
        <v>250</v>
      </c>
      <c r="BD243" t="s">
        <v>74</v>
      </c>
      <c r="BE243" t="s">
        <v>4877</v>
      </c>
      <c r="BF243" t="str">
        <f>HYPERLINK("http://dx.doi.org/10.1007/s10509-012-1111-9","http://dx.doi.org/10.1007/s10509-012-1111-9")</f>
        <v>http://dx.doi.org/10.1007/s10509-012-1111-9</v>
      </c>
      <c r="BG243" t="s">
        <v>74</v>
      </c>
      <c r="BH243" t="s">
        <v>74</v>
      </c>
      <c r="BI243">
        <v>10</v>
      </c>
      <c r="BJ243" t="s">
        <v>127</v>
      </c>
      <c r="BK243" t="s">
        <v>98</v>
      </c>
      <c r="BL243" t="s">
        <v>127</v>
      </c>
      <c r="BM243" t="s">
        <v>4878</v>
      </c>
      <c r="BN243" t="s">
        <v>74</v>
      </c>
      <c r="BO243" t="s">
        <v>1254</v>
      </c>
      <c r="BP243" t="s">
        <v>74</v>
      </c>
      <c r="BQ243" t="s">
        <v>74</v>
      </c>
      <c r="BR243" t="s">
        <v>101</v>
      </c>
      <c r="BS243" t="s">
        <v>4879</v>
      </c>
      <c r="BT243" t="str">
        <f>HYPERLINK("https%3A%2F%2Fwww.webofscience.com%2Fwos%2Fwoscc%2Ffull-record%2FWOS:000308960700004","View Full Record in Web of Science")</f>
        <v>View Full Record in Web of Science</v>
      </c>
    </row>
    <row r="244" spans="1:72" x14ac:dyDescent="0.15">
      <c r="A244" t="s">
        <v>72</v>
      </c>
      <c r="B244" t="s">
        <v>4880</v>
      </c>
      <c r="C244" t="s">
        <v>74</v>
      </c>
      <c r="D244" t="s">
        <v>74</v>
      </c>
      <c r="E244" t="s">
        <v>74</v>
      </c>
      <c r="F244" t="s">
        <v>4881</v>
      </c>
      <c r="G244" t="s">
        <v>74</v>
      </c>
      <c r="H244" t="s">
        <v>74</v>
      </c>
      <c r="I244" t="s">
        <v>4882</v>
      </c>
      <c r="J244" t="s">
        <v>4883</v>
      </c>
      <c r="K244" t="s">
        <v>74</v>
      </c>
      <c r="L244" t="s">
        <v>74</v>
      </c>
      <c r="M244" t="s">
        <v>4884</v>
      </c>
      <c r="N244" t="s">
        <v>52</v>
      </c>
      <c r="O244" t="s">
        <v>74</v>
      </c>
      <c r="P244" t="s">
        <v>74</v>
      </c>
      <c r="Q244" t="s">
        <v>74</v>
      </c>
      <c r="R244" t="s">
        <v>74</v>
      </c>
      <c r="S244" t="s">
        <v>74</v>
      </c>
      <c r="T244" t="s">
        <v>74</v>
      </c>
      <c r="U244" t="s">
        <v>74</v>
      </c>
      <c r="V244" t="s">
        <v>74</v>
      </c>
      <c r="W244" t="s">
        <v>74</v>
      </c>
      <c r="X244" t="s">
        <v>74</v>
      </c>
      <c r="Y244" t="s">
        <v>74</v>
      </c>
      <c r="Z244" t="s">
        <v>74</v>
      </c>
      <c r="AA244" t="s">
        <v>74</v>
      </c>
      <c r="AB244" t="s">
        <v>74</v>
      </c>
      <c r="AC244" t="s">
        <v>74</v>
      </c>
      <c r="AD244" t="s">
        <v>74</v>
      </c>
      <c r="AE244" t="s">
        <v>74</v>
      </c>
      <c r="AF244" t="s">
        <v>74</v>
      </c>
      <c r="AG244">
        <v>0</v>
      </c>
      <c r="AH244">
        <v>0</v>
      </c>
      <c r="AI244">
        <v>0</v>
      </c>
      <c r="AJ244">
        <v>0</v>
      </c>
      <c r="AK244">
        <v>0</v>
      </c>
      <c r="AL244" t="s">
        <v>916</v>
      </c>
      <c r="AM244" t="s">
        <v>899</v>
      </c>
      <c r="AN244" t="s">
        <v>900</v>
      </c>
      <c r="AO244" t="s">
        <v>4885</v>
      </c>
      <c r="AP244" t="s">
        <v>74</v>
      </c>
      <c r="AQ244" t="s">
        <v>74</v>
      </c>
      <c r="AR244" t="s">
        <v>4886</v>
      </c>
      <c r="AS244" t="s">
        <v>4887</v>
      </c>
      <c r="AT244" t="s">
        <v>4154</v>
      </c>
      <c r="AU244">
        <v>2012</v>
      </c>
      <c r="AV244">
        <v>10</v>
      </c>
      <c r="AW244">
        <v>10</v>
      </c>
      <c r="AX244" t="s">
        <v>74</v>
      </c>
      <c r="AY244" t="s">
        <v>74</v>
      </c>
      <c r="AZ244" t="s">
        <v>74</v>
      </c>
      <c r="BA244" t="s">
        <v>74</v>
      </c>
      <c r="BB244" t="s">
        <v>4888</v>
      </c>
      <c r="BC244" t="s">
        <v>4888</v>
      </c>
      <c r="BD244" t="s">
        <v>74</v>
      </c>
      <c r="BE244" t="s">
        <v>74</v>
      </c>
      <c r="BF244" t="s">
        <v>74</v>
      </c>
      <c r="BG244" t="s">
        <v>74</v>
      </c>
      <c r="BH244" t="s">
        <v>74</v>
      </c>
      <c r="BI244">
        <v>1</v>
      </c>
      <c r="BJ244" t="s">
        <v>4889</v>
      </c>
      <c r="BK244" t="s">
        <v>98</v>
      </c>
      <c r="BL244" t="s">
        <v>4889</v>
      </c>
      <c r="BM244" t="s">
        <v>4890</v>
      </c>
      <c r="BN244" t="s">
        <v>74</v>
      </c>
      <c r="BO244" t="s">
        <v>74</v>
      </c>
      <c r="BP244" t="s">
        <v>74</v>
      </c>
      <c r="BQ244" t="s">
        <v>74</v>
      </c>
      <c r="BR244" t="s">
        <v>101</v>
      </c>
      <c r="BS244" t="s">
        <v>4891</v>
      </c>
      <c r="BT244" t="str">
        <f>HYPERLINK("https%3A%2F%2Fwww.webofscience.com%2Fwos%2Fwoscc%2Ffull-record%2FWOS:000309186700025","View Full Record in Web of Science")</f>
        <v>View Full Record in Web of Science</v>
      </c>
    </row>
    <row r="245" spans="1:72" x14ac:dyDescent="0.15">
      <c r="A245" t="s">
        <v>72</v>
      </c>
      <c r="B245" t="s">
        <v>4892</v>
      </c>
      <c r="C245" t="s">
        <v>74</v>
      </c>
      <c r="D245" t="s">
        <v>74</v>
      </c>
      <c r="E245" t="s">
        <v>74</v>
      </c>
      <c r="F245" t="s">
        <v>4893</v>
      </c>
      <c r="G245" t="s">
        <v>74</v>
      </c>
      <c r="H245" t="s">
        <v>74</v>
      </c>
      <c r="I245" t="s">
        <v>4894</v>
      </c>
      <c r="J245" t="s">
        <v>4895</v>
      </c>
      <c r="K245" t="s">
        <v>74</v>
      </c>
      <c r="L245" t="s">
        <v>74</v>
      </c>
      <c r="M245" t="s">
        <v>78</v>
      </c>
      <c r="N245" t="s">
        <v>79</v>
      </c>
      <c r="O245" t="s">
        <v>74</v>
      </c>
      <c r="P245" t="s">
        <v>74</v>
      </c>
      <c r="Q245" t="s">
        <v>74</v>
      </c>
      <c r="R245" t="s">
        <v>74</v>
      </c>
      <c r="S245" t="s">
        <v>74</v>
      </c>
      <c r="T245" t="s">
        <v>4896</v>
      </c>
      <c r="U245" t="s">
        <v>4897</v>
      </c>
      <c r="V245" t="s">
        <v>4898</v>
      </c>
      <c r="W245" t="s">
        <v>4899</v>
      </c>
      <c r="X245" t="s">
        <v>4900</v>
      </c>
      <c r="Y245" t="s">
        <v>4901</v>
      </c>
      <c r="Z245" t="s">
        <v>4902</v>
      </c>
      <c r="AA245" t="s">
        <v>74</v>
      </c>
      <c r="AB245" t="s">
        <v>74</v>
      </c>
      <c r="AC245" t="s">
        <v>4903</v>
      </c>
      <c r="AD245" t="s">
        <v>4904</v>
      </c>
      <c r="AE245" t="s">
        <v>4905</v>
      </c>
      <c r="AF245" t="s">
        <v>74</v>
      </c>
      <c r="AG245">
        <v>32</v>
      </c>
      <c r="AH245">
        <v>8</v>
      </c>
      <c r="AI245">
        <v>10</v>
      </c>
      <c r="AJ245">
        <v>0</v>
      </c>
      <c r="AK245">
        <v>35</v>
      </c>
      <c r="AL245" t="s">
        <v>935</v>
      </c>
      <c r="AM245" t="s">
        <v>2382</v>
      </c>
      <c r="AN245" t="s">
        <v>2383</v>
      </c>
      <c r="AO245" t="s">
        <v>4906</v>
      </c>
      <c r="AP245" t="s">
        <v>4907</v>
      </c>
      <c r="AQ245" t="s">
        <v>74</v>
      </c>
      <c r="AR245" t="s">
        <v>4908</v>
      </c>
      <c r="AS245" t="s">
        <v>4909</v>
      </c>
      <c r="AT245" t="s">
        <v>4154</v>
      </c>
      <c r="AU245">
        <v>2012</v>
      </c>
      <c r="AV245">
        <v>68</v>
      </c>
      <c r="AW245">
        <v>5</v>
      </c>
      <c r="AX245" t="s">
        <v>74</v>
      </c>
      <c r="AY245" t="s">
        <v>74</v>
      </c>
      <c r="AZ245" t="s">
        <v>74</v>
      </c>
      <c r="BA245" t="s">
        <v>74</v>
      </c>
      <c r="BB245">
        <v>641</v>
      </c>
      <c r="BC245">
        <v>649</v>
      </c>
      <c r="BD245" t="s">
        <v>74</v>
      </c>
      <c r="BE245" t="s">
        <v>4910</v>
      </c>
      <c r="BF245" t="str">
        <f>HYPERLINK("http://dx.doi.org/10.1007/s10872-012-0124-x","http://dx.doi.org/10.1007/s10872-012-0124-x")</f>
        <v>http://dx.doi.org/10.1007/s10872-012-0124-x</v>
      </c>
      <c r="BG245" t="s">
        <v>74</v>
      </c>
      <c r="BH245" t="s">
        <v>74</v>
      </c>
      <c r="BI245">
        <v>9</v>
      </c>
      <c r="BJ245" t="s">
        <v>941</v>
      </c>
      <c r="BK245" t="s">
        <v>98</v>
      </c>
      <c r="BL245" t="s">
        <v>941</v>
      </c>
      <c r="BM245" t="s">
        <v>4911</v>
      </c>
      <c r="BN245" t="s">
        <v>74</v>
      </c>
      <c r="BO245" t="s">
        <v>1254</v>
      </c>
      <c r="BP245" t="s">
        <v>74</v>
      </c>
      <c r="BQ245" t="s">
        <v>74</v>
      </c>
      <c r="BR245" t="s">
        <v>101</v>
      </c>
      <c r="BS245" t="s">
        <v>4912</v>
      </c>
      <c r="BT245" t="str">
        <f>HYPERLINK("https%3A%2F%2Fwww.webofscience.com%2Fwos%2Fwoscc%2Ffull-record%2FWOS:000309226400004","View Full Record in Web of Science")</f>
        <v>View Full Record in Web of Science</v>
      </c>
    </row>
    <row r="246" spans="1:72" x14ac:dyDescent="0.15">
      <c r="A246" t="s">
        <v>72</v>
      </c>
      <c r="B246" t="s">
        <v>4913</v>
      </c>
      <c r="C246" t="s">
        <v>74</v>
      </c>
      <c r="D246" t="s">
        <v>74</v>
      </c>
      <c r="E246" t="s">
        <v>74</v>
      </c>
      <c r="F246" t="s">
        <v>4914</v>
      </c>
      <c r="G246" t="s">
        <v>74</v>
      </c>
      <c r="H246" t="s">
        <v>74</v>
      </c>
      <c r="I246" t="s">
        <v>4915</v>
      </c>
      <c r="J246" t="s">
        <v>4895</v>
      </c>
      <c r="K246" t="s">
        <v>74</v>
      </c>
      <c r="L246" t="s">
        <v>74</v>
      </c>
      <c r="M246" t="s">
        <v>78</v>
      </c>
      <c r="N246" t="s">
        <v>79</v>
      </c>
      <c r="O246" t="s">
        <v>74</v>
      </c>
      <c r="P246" t="s">
        <v>74</v>
      </c>
      <c r="Q246" t="s">
        <v>74</v>
      </c>
      <c r="R246" t="s">
        <v>74</v>
      </c>
      <c r="S246" t="s">
        <v>74</v>
      </c>
      <c r="T246" t="s">
        <v>4916</v>
      </c>
      <c r="U246" t="s">
        <v>4917</v>
      </c>
      <c r="V246" t="s">
        <v>4918</v>
      </c>
      <c r="W246" t="s">
        <v>4919</v>
      </c>
      <c r="X246" t="s">
        <v>4920</v>
      </c>
      <c r="Y246" t="s">
        <v>4921</v>
      </c>
      <c r="Z246" t="s">
        <v>4922</v>
      </c>
      <c r="AA246" t="s">
        <v>74</v>
      </c>
      <c r="AB246" t="s">
        <v>74</v>
      </c>
      <c r="AC246" t="s">
        <v>4923</v>
      </c>
      <c r="AD246" t="s">
        <v>4924</v>
      </c>
      <c r="AE246" t="s">
        <v>4925</v>
      </c>
      <c r="AF246" t="s">
        <v>74</v>
      </c>
      <c r="AG246">
        <v>56</v>
      </c>
      <c r="AH246">
        <v>26</v>
      </c>
      <c r="AI246">
        <v>31</v>
      </c>
      <c r="AJ246">
        <v>1</v>
      </c>
      <c r="AK246">
        <v>24</v>
      </c>
      <c r="AL246" t="s">
        <v>935</v>
      </c>
      <c r="AM246" t="s">
        <v>2382</v>
      </c>
      <c r="AN246" t="s">
        <v>2383</v>
      </c>
      <c r="AO246" t="s">
        <v>4906</v>
      </c>
      <c r="AP246" t="s">
        <v>4907</v>
      </c>
      <c r="AQ246" t="s">
        <v>74</v>
      </c>
      <c r="AR246" t="s">
        <v>4908</v>
      </c>
      <c r="AS246" t="s">
        <v>4909</v>
      </c>
      <c r="AT246" t="s">
        <v>4154</v>
      </c>
      <c r="AU246">
        <v>2012</v>
      </c>
      <c r="AV246">
        <v>68</v>
      </c>
      <c r="AW246">
        <v>5</v>
      </c>
      <c r="AX246" t="s">
        <v>74</v>
      </c>
      <c r="AY246" t="s">
        <v>74</v>
      </c>
      <c r="AZ246" t="s">
        <v>74</v>
      </c>
      <c r="BA246" t="s">
        <v>74</v>
      </c>
      <c r="BB246">
        <v>771</v>
      </c>
      <c r="BC246">
        <v>796</v>
      </c>
      <c r="BD246" t="s">
        <v>74</v>
      </c>
      <c r="BE246" t="s">
        <v>4926</v>
      </c>
      <c r="BF246" t="str">
        <f>HYPERLINK("http://dx.doi.org/10.1007/s10872-012-0139-3","http://dx.doi.org/10.1007/s10872-012-0139-3")</f>
        <v>http://dx.doi.org/10.1007/s10872-012-0139-3</v>
      </c>
      <c r="BG246" t="s">
        <v>74</v>
      </c>
      <c r="BH246" t="s">
        <v>74</v>
      </c>
      <c r="BI246">
        <v>26</v>
      </c>
      <c r="BJ246" t="s">
        <v>941</v>
      </c>
      <c r="BK246" t="s">
        <v>98</v>
      </c>
      <c r="BL246" t="s">
        <v>941</v>
      </c>
      <c r="BM246" t="s">
        <v>4911</v>
      </c>
      <c r="BN246" t="s">
        <v>74</v>
      </c>
      <c r="BO246" t="s">
        <v>74</v>
      </c>
      <c r="BP246" t="s">
        <v>74</v>
      </c>
      <c r="BQ246" t="s">
        <v>74</v>
      </c>
      <c r="BR246" t="s">
        <v>101</v>
      </c>
      <c r="BS246" t="s">
        <v>4927</v>
      </c>
      <c r="BT246" t="str">
        <f>HYPERLINK("https%3A%2F%2Fwww.webofscience.com%2Fwos%2Fwoscc%2Ffull-record%2FWOS:000309226400013","View Full Record in Web of Science")</f>
        <v>View Full Record in Web of Science</v>
      </c>
    </row>
    <row r="247" spans="1:72" x14ac:dyDescent="0.15">
      <c r="A247" t="s">
        <v>72</v>
      </c>
      <c r="B247" t="s">
        <v>4928</v>
      </c>
      <c r="C247" t="s">
        <v>74</v>
      </c>
      <c r="D247" t="s">
        <v>74</v>
      </c>
      <c r="E247" t="s">
        <v>74</v>
      </c>
      <c r="F247" t="s">
        <v>4929</v>
      </c>
      <c r="G247" t="s">
        <v>74</v>
      </c>
      <c r="H247" t="s">
        <v>74</v>
      </c>
      <c r="I247" t="s">
        <v>4930</v>
      </c>
      <c r="J247" t="s">
        <v>4931</v>
      </c>
      <c r="K247" t="s">
        <v>74</v>
      </c>
      <c r="L247" t="s">
        <v>74</v>
      </c>
      <c r="M247" t="s">
        <v>78</v>
      </c>
      <c r="N247" t="s">
        <v>974</v>
      </c>
      <c r="O247" t="s">
        <v>74</v>
      </c>
      <c r="P247" t="s">
        <v>74</v>
      </c>
      <c r="Q247" t="s">
        <v>74</v>
      </c>
      <c r="R247" t="s">
        <v>74</v>
      </c>
      <c r="S247" t="s">
        <v>74</v>
      </c>
      <c r="T247" t="s">
        <v>4932</v>
      </c>
      <c r="U247" t="s">
        <v>4933</v>
      </c>
      <c r="V247" t="s">
        <v>4934</v>
      </c>
      <c r="W247" t="s">
        <v>4935</v>
      </c>
      <c r="X247" t="s">
        <v>4936</v>
      </c>
      <c r="Y247" t="s">
        <v>4937</v>
      </c>
      <c r="Z247" t="s">
        <v>4938</v>
      </c>
      <c r="AA247" t="s">
        <v>4939</v>
      </c>
      <c r="AB247" t="s">
        <v>4940</v>
      </c>
      <c r="AC247" t="s">
        <v>4941</v>
      </c>
      <c r="AD247" t="s">
        <v>4942</v>
      </c>
      <c r="AE247" t="s">
        <v>4943</v>
      </c>
      <c r="AF247" t="s">
        <v>74</v>
      </c>
      <c r="AG247">
        <v>150</v>
      </c>
      <c r="AH247">
        <v>8</v>
      </c>
      <c r="AI247">
        <v>9</v>
      </c>
      <c r="AJ247">
        <v>1</v>
      </c>
      <c r="AK247">
        <v>171</v>
      </c>
      <c r="AL247" t="s">
        <v>898</v>
      </c>
      <c r="AM247" t="s">
        <v>899</v>
      </c>
      <c r="AN247" t="s">
        <v>900</v>
      </c>
      <c r="AO247" t="s">
        <v>4944</v>
      </c>
      <c r="AP247" t="s">
        <v>4945</v>
      </c>
      <c r="AQ247" t="s">
        <v>74</v>
      </c>
      <c r="AR247" t="s">
        <v>4946</v>
      </c>
      <c r="AS247" t="s">
        <v>4947</v>
      </c>
      <c r="AT247" t="s">
        <v>4154</v>
      </c>
      <c r="AU247">
        <v>2012</v>
      </c>
      <c r="AV247">
        <v>42</v>
      </c>
      <c r="AW247">
        <v>4</v>
      </c>
      <c r="AX247" t="s">
        <v>74</v>
      </c>
      <c r="AY247" t="s">
        <v>74</v>
      </c>
      <c r="AZ247" t="s">
        <v>74</v>
      </c>
      <c r="BA247" t="s">
        <v>74</v>
      </c>
      <c r="BB247">
        <v>275</v>
      </c>
      <c r="BC247">
        <v>303</v>
      </c>
      <c r="BD247" t="s">
        <v>74</v>
      </c>
      <c r="BE247" t="s">
        <v>4948</v>
      </c>
      <c r="BF247" t="str">
        <f>HYPERLINK("http://dx.doi.org/10.1111/j.1365-2907.2011.00201.x","http://dx.doi.org/10.1111/j.1365-2907.2011.00201.x")</f>
        <v>http://dx.doi.org/10.1111/j.1365-2907.2011.00201.x</v>
      </c>
      <c r="BG247" t="s">
        <v>74</v>
      </c>
      <c r="BH247" t="s">
        <v>74</v>
      </c>
      <c r="BI247">
        <v>29</v>
      </c>
      <c r="BJ247" t="s">
        <v>4949</v>
      </c>
      <c r="BK247" t="s">
        <v>98</v>
      </c>
      <c r="BL247" t="s">
        <v>4950</v>
      </c>
      <c r="BM247" t="s">
        <v>4951</v>
      </c>
      <c r="BN247" t="s">
        <v>74</v>
      </c>
      <c r="BO247" t="s">
        <v>1499</v>
      </c>
      <c r="BP247" t="s">
        <v>74</v>
      </c>
      <c r="BQ247" t="s">
        <v>74</v>
      </c>
      <c r="BR247" t="s">
        <v>101</v>
      </c>
      <c r="BS247" t="s">
        <v>4952</v>
      </c>
      <c r="BT247" t="str">
        <f>HYPERLINK("https%3A%2F%2Fwww.webofscience.com%2Fwos%2Fwoscc%2Ffull-record%2FWOS:000308875200002","View Full Record in Web of Science")</f>
        <v>View Full Record in Web of Science</v>
      </c>
    </row>
    <row r="248" spans="1:72" x14ac:dyDescent="0.15">
      <c r="A248" t="s">
        <v>72</v>
      </c>
      <c r="B248" t="s">
        <v>4953</v>
      </c>
      <c r="C248" t="s">
        <v>74</v>
      </c>
      <c r="D248" t="s">
        <v>74</v>
      </c>
      <c r="E248" t="s">
        <v>74</v>
      </c>
      <c r="F248" t="s">
        <v>4954</v>
      </c>
      <c r="G248" t="s">
        <v>74</v>
      </c>
      <c r="H248" t="s">
        <v>74</v>
      </c>
      <c r="I248" t="s">
        <v>4955</v>
      </c>
      <c r="J248" t="s">
        <v>4956</v>
      </c>
      <c r="K248" t="s">
        <v>74</v>
      </c>
      <c r="L248" t="s">
        <v>74</v>
      </c>
      <c r="M248" t="s">
        <v>78</v>
      </c>
      <c r="N248" t="s">
        <v>79</v>
      </c>
      <c r="O248" t="s">
        <v>74</v>
      </c>
      <c r="P248" t="s">
        <v>74</v>
      </c>
      <c r="Q248" t="s">
        <v>74</v>
      </c>
      <c r="R248" t="s">
        <v>74</v>
      </c>
      <c r="S248" t="s">
        <v>74</v>
      </c>
      <c r="T248" t="s">
        <v>74</v>
      </c>
      <c r="U248" t="s">
        <v>74</v>
      </c>
      <c r="V248" t="s">
        <v>4957</v>
      </c>
      <c r="W248" t="s">
        <v>4958</v>
      </c>
      <c r="X248" t="s">
        <v>636</v>
      </c>
      <c r="Y248" t="s">
        <v>4959</v>
      </c>
      <c r="Z248" t="s">
        <v>4960</v>
      </c>
      <c r="AA248" t="s">
        <v>74</v>
      </c>
      <c r="AB248" t="s">
        <v>4961</v>
      </c>
      <c r="AC248" t="s">
        <v>4962</v>
      </c>
      <c r="AD248" t="s">
        <v>4963</v>
      </c>
      <c r="AE248" t="s">
        <v>4964</v>
      </c>
      <c r="AF248" t="s">
        <v>74</v>
      </c>
      <c r="AG248">
        <v>84</v>
      </c>
      <c r="AH248">
        <v>9</v>
      </c>
      <c r="AI248">
        <v>11</v>
      </c>
      <c r="AJ248">
        <v>0</v>
      </c>
      <c r="AK248">
        <v>5</v>
      </c>
      <c r="AL248" t="s">
        <v>2780</v>
      </c>
      <c r="AM248" t="s">
        <v>371</v>
      </c>
      <c r="AN248" t="s">
        <v>2781</v>
      </c>
      <c r="AO248" t="s">
        <v>4965</v>
      </c>
      <c r="AP248" t="s">
        <v>74</v>
      </c>
      <c r="AQ248" t="s">
        <v>74</v>
      </c>
      <c r="AR248" t="s">
        <v>4966</v>
      </c>
      <c r="AS248" t="s">
        <v>4967</v>
      </c>
      <c r="AT248" t="s">
        <v>4154</v>
      </c>
      <c r="AU248">
        <v>2012</v>
      </c>
      <c r="AV248">
        <v>48</v>
      </c>
      <c r="AW248">
        <v>247</v>
      </c>
      <c r="AX248" t="s">
        <v>74</v>
      </c>
      <c r="AY248" t="s">
        <v>74</v>
      </c>
      <c r="AZ248" t="s">
        <v>74</v>
      </c>
      <c r="BA248" t="s">
        <v>74</v>
      </c>
      <c r="BB248">
        <v>342</v>
      </c>
      <c r="BC248">
        <v>360</v>
      </c>
      <c r="BD248" t="s">
        <v>74</v>
      </c>
      <c r="BE248" t="s">
        <v>4968</v>
      </c>
      <c r="BF248" t="str">
        <f>HYPERLINK("http://dx.doi.org/10.1017/S0032247411000520","http://dx.doi.org/10.1017/S0032247411000520")</f>
        <v>http://dx.doi.org/10.1017/S0032247411000520</v>
      </c>
      <c r="BG248" t="s">
        <v>74</v>
      </c>
      <c r="BH248" t="s">
        <v>74</v>
      </c>
      <c r="BI248">
        <v>19</v>
      </c>
      <c r="BJ248" t="s">
        <v>4969</v>
      </c>
      <c r="BK248" t="s">
        <v>98</v>
      </c>
      <c r="BL248" t="s">
        <v>333</v>
      </c>
      <c r="BM248" t="s">
        <v>4970</v>
      </c>
      <c r="BN248" t="s">
        <v>74</v>
      </c>
      <c r="BO248" t="s">
        <v>74</v>
      </c>
      <c r="BP248" t="s">
        <v>74</v>
      </c>
      <c r="BQ248" t="s">
        <v>74</v>
      </c>
      <c r="BR248" t="s">
        <v>101</v>
      </c>
      <c r="BS248" t="s">
        <v>4971</v>
      </c>
      <c r="BT248" t="str">
        <f>HYPERLINK("https%3A%2F%2Fwww.webofscience.com%2Fwos%2Fwoscc%2Ffull-record%2FWOS:000308716500008","View Full Record in Web of Science")</f>
        <v>View Full Record in Web of Science</v>
      </c>
    </row>
    <row r="249" spans="1:72" x14ac:dyDescent="0.15">
      <c r="A249" t="s">
        <v>72</v>
      </c>
      <c r="B249" t="s">
        <v>4972</v>
      </c>
      <c r="C249" t="s">
        <v>74</v>
      </c>
      <c r="D249" t="s">
        <v>74</v>
      </c>
      <c r="E249" t="s">
        <v>74</v>
      </c>
      <c r="F249" t="s">
        <v>4973</v>
      </c>
      <c r="G249" t="s">
        <v>74</v>
      </c>
      <c r="H249" t="s">
        <v>74</v>
      </c>
      <c r="I249" t="s">
        <v>4974</v>
      </c>
      <c r="J249" t="s">
        <v>4956</v>
      </c>
      <c r="K249" t="s">
        <v>74</v>
      </c>
      <c r="L249" t="s">
        <v>74</v>
      </c>
      <c r="M249" t="s">
        <v>78</v>
      </c>
      <c r="N249" t="s">
        <v>79</v>
      </c>
      <c r="O249" t="s">
        <v>74</v>
      </c>
      <c r="P249" t="s">
        <v>74</v>
      </c>
      <c r="Q249" t="s">
        <v>74</v>
      </c>
      <c r="R249" t="s">
        <v>74</v>
      </c>
      <c r="S249" t="s">
        <v>74</v>
      </c>
      <c r="T249" t="s">
        <v>74</v>
      </c>
      <c r="U249" t="s">
        <v>4975</v>
      </c>
      <c r="V249" t="s">
        <v>4976</v>
      </c>
      <c r="W249" t="s">
        <v>4977</v>
      </c>
      <c r="X249" t="s">
        <v>4978</v>
      </c>
      <c r="Y249" t="s">
        <v>4979</v>
      </c>
      <c r="Z249" t="s">
        <v>4980</v>
      </c>
      <c r="AA249" t="s">
        <v>4981</v>
      </c>
      <c r="AB249" t="s">
        <v>4982</v>
      </c>
      <c r="AC249" t="s">
        <v>4983</v>
      </c>
      <c r="AD249" t="s">
        <v>368</v>
      </c>
      <c r="AE249" t="s">
        <v>4984</v>
      </c>
      <c r="AF249" t="s">
        <v>74</v>
      </c>
      <c r="AG249">
        <v>23</v>
      </c>
      <c r="AH249">
        <v>15</v>
      </c>
      <c r="AI249">
        <v>17</v>
      </c>
      <c r="AJ249">
        <v>1</v>
      </c>
      <c r="AK249">
        <v>39</v>
      </c>
      <c r="AL249" t="s">
        <v>2780</v>
      </c>
      <c r="AM249" t="s">
        <v>371</v>
      </c>
      <c r="AN249" t="s">
        <v>2781</v>
      </c>
      <c r="AO249" t="s">
        <v>4965</v>
      </c>
      <c r="AP249" t="s">
        <v>74</v>
      </c>
      <c r="AQ249" t="s">
        <v>74</v>
      </c>
      <c r="AR249" t="s">
        <v>4966</v>
      </c>
      <c r="AS249" t="s">
        <v>4967</v>
      </c>
      <c r="AT249" t="s">
        <v>4154</v>
      </c>
      <c r="AU249">
        <v>2012</v>
      </c>
      <c r="AV249">
        <v>48</v>
      </c>
      <c r="AW249">
        <v>247</v>
      </c>
      <c r="AX249" t="s">
        <v>74</v>
      </c>
      <c r="AY249" t="s">
        <v>74</v>
      </c>
      <c r="AZ249" t="s">
        <v>74</v>
      </c>
      <c r="BA249" t="s">
        <v>74</v>
      </c>
      <c r="BB249">
        <v>387</v>
      </c>
      <c r="BC249">
        <v>393</v>
      </c>
      <c r="BD249" t="s">
        <v>74</v>
      </c>
      <c r="BE249" t="s">
        <v>4985</v>
      </c>
      <c r="BF249" t="str">
        <f>HYPERLINK("http://dx.doi.org/10.1017/S0032247412000216","http://dx.doi.org/10.1017/S0032247412000216")</f>
        <v>http://dx.doi.org/10.1017/S0032247412000216</v>
      </c>
      <c r="BG249" t="s">
        <v>74</v>
      </c>
      <c r="BH249" t="s">
        <v>74</v>
      </c>
      <c r="BI249">
        <v>7</v>
      </c>
      <c r="BJ249" t="s">
        <v>4969</v>
      </c>
      <c r="BK249" t="s">
        <v>98</v>
      </c>
      <c r="BL249" t="s">
        <v>333</v>
      </c>
      <c r="BM249" t="s">
        <v>4970</v>
      </c>
      <c r="BN249" t="s">
        <v>74</v>
      </c>
      <c r="BO249" t="s">
        <v>74</v>
      </c>
      <c r="BP249" t="s">
        <v>74</v>
      </c>
      <c r="BQ249" t="s">
        <v>74</v>
      </c>
      <c r="BR249" t="s">
        <v>101</v>
      </c>
      <c r="BS249" t="s">
        <v>4986</v>
      </c>
      <c r="BT249" t="str">
        <f>HYPERLINK("https%3A%2F%2Fwww.webofscience.com%2Fwos%2Fwoscc%2Ffull-record%2FWOS:000308716500011","View Full Record in Web of Science")</f>
        <v>View Full Record in Web of Science</v>
      </c>
    </row>
    <row r="250" spans="1:72" x14ac:dyDescent="0.15">
      <c r="A250" t="s">
        <v>72</v>
      </c>
      <c r="B250" t="s">
        <v>4987</v>
      </c>
      <c r="C250" t="s">
        <v>74</v>
      </c>
      <c r="D250" t="s">
        <v>74</v>
      </c>
      <c r="E250" t="s">
        <v>74</v>
      </c>
      <c r="F250" t="s">
        <v>4988</v>
      </c>
      <c r="G250" t="s">
        <v>74</v>
      </c>
      <c r="H250" t="s">
        <v>74</v>
      </c>
      <c r="I250" t="s">
        <v>4989</v>
      </c>
      <c r="J250" t="s">
        <v>4956</v>
      </c>
      <c r="K250" t="s">
        <v>74</v>
      </c>
      <c r="L250" t="s">
        <v>74</v>
      </c>
      <c r="M250" t="s">
        <v>78</v>
      </c>
      <c r="N250" t="s">
        <v>79</v>
      </c>
      <c r="O250" t="s">
        <v>74</v>
      </c>
      <c r="P250" t="s">
        <v>74</v>
      </c>
      <c r="Q250" t="s">
        <v>74</v>
      </c>
      <c r="R250" t="s">
        <v>74</v>
      </c>
      <c r="S250" t="s">
        <v>74</v>
      </c>
      <c r="T250" t="s">
        <v>74</v>
      </c>
      <c r="U250" t="s">
        <v>4990</v>
      </c>
      <c r="V250" t="s">
        <v>4991</v>
      </c>
      <c r="W250" t="s">
        <v>4992</v>
      </c>
      <c r="X250" t="s">
        <v>4993</v>
      </c>
      <c r="Y250" t="s">
        <v>4994</v>
      </c>
      <c r="Z250" t="s">
        <v>4995</v>
      </c>
      <c r="AA250" t="s">
        <v>4996</v>
      </c>
      <c r="AB250" t="s">
        <v>4997</v>
      </c>
      <c r="AC250" t="s">
        <v>4998</v>
      </c>
      <c r="AD250" t="s">
        <v>4998</v>
      </c>
      <c r="AE250" t="s">
        <v>4999</v>
      </c>
      <c r="AF250" t="s">
        <v>74</v>
      </c>
      <c r="AG250">
        <v>26</v>
      </c>
      <c r="AH250">
        <v>4</v>
      </c>
      <c r="AI250">
        <v>4</v>
      </c>
      <c r="AJ250">
        <v>1</v>
      </c>
      <c r="AK250">
        <v>16</v>
      </c>
      <c r="AL250" t="s">
        <v>2780</v>
      </c>
      <c r="AM250" t="s">
        <v>371</v>
      </c>
      <c r="AN250" t="s">
        <v>2781</v>
      </c>
      <c r="AO250" t="s">
        <v>4965</v>
      </c>
      <c r="AP250" t="s">
        <v>5000</v>
      </c>
      <c r="AQ250" t="s">
        <v>74</v>
      </c>
      <c r="AR250" t="s">
        <v>4966</v>
      </c>
      <c r="AS250" t="s">
        <v>4967</v>
      </c>
      <c r="AT250" t="s">
        <v>4154</v>
      </c>
      <c r="AU250">
        <v>2012</v>
      </c>
      <c r="AV250">
        <v>48</v>
      </c>
      <c r="AW250">
        <v>247</v>
      </c>
      <c r="AX250" t="s">
        <v>74</v>
      </c>
      <c r="AY250" t="s">
        <v>74</v>
      </c>
      <c r="AZ250" t="s">
        <v>74</v>
      </c>
      <c r="BA250" t="s">
        <v>74</v>
      </c>
      <c r="BB250">
        <v>394</v>
      </c>
      <c r="BC250">
        <v>400</v>
      </c>
      <c r="BD250" t="s">
        <v>74</v>
      </c>
      <c r="BE250" t="s">
        <v>5001</v>
      </c>
      <c r="BF250" t="str">
        <f>HYPERLINK("http://dx.doi.org/10.1017/S0032247412000186","http://dx.doi.org/10.1017/S0032247412000186")</f>
        <v>http://dx.doi.org/10.1017/S0032247412000186</v>
      </c>
      <c r="BG250" t="s">
        <v>74</v>
      </c>
      <c r="BH250" t="s">
        <v>74</v>
      </c>
      <c r="BI250">
        <v>7</v>
      </c>
      <c r="BJ250" t="s">
        <v>4969</v>
      </c>
      <c r="BK250" t="s">
        <v>98</v>
      </c>
      <c r="BL250" t="s">
        <v>333</v>
      </c>
      <c r="BM250" t="s">
        <v>4970</v>
      </c>
      <c r="BN250" t="s">
        <v>74</v>
      </c>
      <c r="BO250" t="s">
        <v>74</v>
      </c>
      <c r="BP250" t="s">
        <v>74</v>
      </c>
      <c r="BQ250" t="s">
        <v>74</v>
      </c>
      <c r="BR250" t="s">
        <v>101</v>
      </c>
      <c r="BS250" t="s">
        <v>5002</v>
      </c>
      <c r="BT250" t="str">
        <f>HYPERLINK("https%3A%2F%2Fwww.webofscience.com%2Fwos%2Fwoscc%2Ffull-record%2FWOS:000308716500012","View Full Record in Web of Science")</f>
        <v>View Full Record in Web of Science</v>
      </c>
    </row>
    <row r="251" spans="1:72" x14ac:dyDescent="0.15">
      <c r="A251" t="s">
        <v>72</v>
      </c>
      <c r="B251" t="s">
        <v>5003</v>
      </c>
      <c r="C251" t="s">
        <v>74</v>
      </c>
      <c r="D251" t="s">
        <v>74</v>
      </c>
      <c r="E251" t="s">
        <v>74</v>
      </c>
      <c r="F251" t="s">
        <v>5004</v>
      </c>
      <c r="G251" t="s">
        <v>74</v>
      </c>
      <c r="H251" t="s">
        <v>74</v>
      </c>
      <c r="I251" t="s">
        <v>5005</v>
      </c>
      <c r="J251" t="s">
        <v>5006</v>
      </c>
      <c r="K251" t="s">
        <v>74</v>
      </c>
      <c r="L251" t="s">
        <v>74</v>
      </c>
      <c r="M251" t="s">
        <v>78</v>
      </c>
      <c r="N251" t="s">
        <v>79</v>
      </c>
      <c r="O251" t="s">
        <v>74</v>
      </c>
      <c r="P251" t="s">
        <v>74</v>
      </c>
      <c r="Q251" t="s">
        <v>74</v>
      </c>
      <c r="R251" t="s">
        <v>74</v>
      </c>
      <c r="S251" t="s">
        <v>74</v>
      </c>
      <c r="T251" t="s">
        <v>5007</v>
      </c>
      <c r="U251" t="s">
        <v>5008</v>
      </c>
      <c r="V251" t="s">
        <v>5009</v>
      </c>
      <c r="W251" t="s">
        <v>5010</v>
      </c>
      <c r="X251" t="s">
        <v>5011</v>
      </c>
      <c r="Y251" t="s">
        <v>5012</v>
      </c>
      <c r="Z251" t="s">
        <v>5013</v>
      </c>
      <c r="AA251" t="s">
        <v>74</v>
      </c>
      <c r="AB251" t="s">
        <v>5014</v>
      </c>
      <c r="AC251" t="s">
        <v>5015</v>
      </c>
      <c r="AD251" t="s">
        <v>5016</v>
      </c>
      <c r="AE251" t="s">
        <v>5017</v>
      </c>
      <c r="AF251" t="s">
        <v>74</v>
      </c>
      <c r="AG251">
        <v>74</v>
      </c>
      <c r="AH251">
        <v>56</v>
      </c>
      <c r="AI251">
        <v>59</v>
      </c>
      <c r="AJ251">
        <v>3</v>
      </c>
      <c r="AK251">
        <v>33</v>
      </c>
      <c r="AL251" t="s">
        <v>5018</v>
      </c>
      <c r="AM251" t="s">
        <v>434</v>
      </c>
      <c r="AN251" t="s">
        <v>5019</v>
      </c>
      <c r="AO251" t="s">
        <v>5020</v>
      </c>
      <c r="AP251" t="s">
        <v>5021</v>
      </c>
      <c r="AQ251" t="s">
        <v>74</v>
      </c>
      <c r="AR251" t="s">
        <v>5022</v>
      </c>
      <c r="AS251" t="s">
        <v>5023</v>
      </c>
      <c r="AT251" t="s">
        <v>4154</v>
      </c>
      <c r="AU251">
        <v>2012</v>
      </c>
      <c r="AV251">
        <v>42</v>
      </c>
      <c r="AW251">
        <v>5</v>
      </c>
      <c r="AX251" t="s">
        <v>74</v>
      </c>
      <c r="AY251" t="s">
        <v>74</v>
      </c>
      <c r="AZ251" t="s">
        <v>74</v>
      </c>
      <c r="BA251" t="s">
        <v>74</v>
      </c>
      <c r="BB251">
        <v>709</v>
      </c>
      <c r="BC251">
        <v>731</v>
      </c>
      <c r="BD251" t="s">
        <v>74</v>
      </c>
      <c r="BE251" t="s">
        <v>5024</v>
      </c>
      <c r="BF251" t="str">
        <f>HYPERLINK("http://dx.doi.org/10.1177/0306312712448130","http://dx.doi.org/10.1177/0306312712448130")</f>
        <v>http://dx.doi.org/10.1177/0306312712448130</v>
      </c>
      <c r="BG251" t="s">
        <v>74</v>
      </c>
      <c r="BH251" t="s">
        <v>74</v>
      </c>
      <c r="BI251">
        <v>23</v>
      </c>
      <c r="BJ251" t="s">
        <v>1177</v>
      </c>
      <c r="BK251" t="s">
        <v>5025</v>
      </c>
      <c r="BL251" t="s">
        <v>1179</v>
      </c>
      <c r="BM251" t="s">
        <v>5026</v>
      </c>
      <c r="BN251">
        <v>23189611</v>
      </c>
      <c r="BO251" t="s">
        <v>74</v>
      </c>
      <c r="BP251" t="s">
        <v>74</v>
      </c>
      <c r="BQ251" t="s">
        <v>74</v>
      </c>
      <c r="BR251" t="s">
        <v>101</v>
      </c>
      <c r="BS251" t="s">
        <v>5027</v>
      </c>
      <c r="BT251" t="str">
        <f>HYPERLINK("https%3A%2F%2Fwww.webofscience.com%2Fwos%2Fwoscc%2Ffull-record%2FWOS:000309141100005","View Full Record in Web of Science")</f>
        <v>View Full Record in Web of Science</v>
      </c>
    </row>
    <row r="252" spans="1:72" x14ac:dyDescent="0.15">
      <c r="A252" t="s">
        <v>72</v>
      </c>
      <c r="B252" t="s">
        <v>5028</v>
      </c>
      <c r="C252" t="s">
        <v>74</v>
      </c>
      <c r="D252" t="s">
        <v>74</v>
      </c>
      <c r="E252" t="s">
        <v>74</v>
      </c>
      <c r="F252" t="s">
        <v>5029</v>
      </c>
      <c r="G252" t="s">
        <v>74</v>
      </c>
      <c r="H252" t="s">
        <v>74</v>
      </c>
      <c r="I252" t="s">
        <v>5030</v>
      </c>
      <c r="J252" t="s">
        <v>5031</v>
      </c>
      <c r="K252" t="s">
        <v>74</v>
      </c>
      <c r="L252" t="s">
        <v>74</v>
      </c>
      <c r="M252" t="s">
        <v>78</v>
      </c>
      <c r="N252" t="s">
        <v>79</v>
      </c>
      <c r="O252" t="s">
        <v>74</v>
      </c>
      <c r="P252" t="s">
        <v>74</v>
      </c>
      <c r="Q252" t="s">
        <v>74</v>
      </c>
      <c r="R252" t="s">
        <v>74</v>
      </c>
      <c r="S252" t="s">
        <v>74</v>
      </c>
      <c r="T252" t="s">
        <v>5032</v>
      </c>
      <c r="U252" t="s">
        <v>5033</v>
      </c>
      <c r="V252" t="s">
        <v>5034</v>
      </c>
      <c r="W252" t="s">
        <v>5035</v>
      </c>
      <c r="X252" t="s">
        <v>5036</v>
      </c>
      <c r="Y252" t="s">
        <v>5037</v>
      </c>
      <c r="Z252" t="s">
        <v>5038</v>
      </c>
      <c r="AA252" t="s">
        <v>5039</v>
      </c>
      <c r="AB252" t="s">
        <v>74</v>
      </c>
      <c r="AC252" t="s">
        <v>5040</v>
      </c>
      <c r="AD252" t="s">
        <v>5041</v>
      </c>
      <c r="AE252" t="s">
        <v>5042</v>
      </c>
      <c r="AF252" t="s">
        <v>74</v>
      </c>
      <c r="AG252">
        <v>36</v>
      </c>
      <c r="AH252">
        <v>22</v>
      </c>
      <c r="AI252">
        <v>24</v>
      </c>
      <c r="AJ252">
        <v>0</v>
      </c>
      <c r="AK252">
        <v>53</v>
      </c>
      <c r="AL252" t="s">
        <v>935</v>
      </c>
      <c r="AM252" t="s">
        <v>2382</v>
      </c>
      <c r="AN252" t="s">
        <v>2383</v>
      </c>
      <c r="AO252" t="s">
        <v>5043</v>
      </c>
      <c r="AP252" t="s">
        <v>5044</v>
      </c>
      <c r="AQ252" t="s">
        <v>74</v>
      </c>
      <c r="AR252" t="s">
        <v>5045</v>
      </c>
      <c r="AS252" t="s">
        <v>5046</v>
      </c>
      <c r="AT252" t="s">
        <v>4154</v>
      </c>
      <c r="AU252">
        <v>2012</v>
      </c>
      <c r="AV252">
        <v>24</v>
      </c>
      <c r="AW252">
        <v>5</v>
      </c>
      <c r="AX252" t="s">
        <v>74</v>
      </c>
      <c r="AY252" t="s">
        <v>74</v>
      </c>
      <c r="AZ252" t="s">
        <v>74</v>
      </c>
      <c r="BA252" t="s">
        <v>74</v>
      </c>
      <c r="BB252">
        <v>1169</v>
      </c>
      <c r="BC252">
        <v>1176</v>
      </c>
      <c r="BD252" t="s">
        <v>74</v>
      </c>
      <c r="BE252" t="s">
        <v>5047</v>
      </c>
      <c r="BF252" t="str">
        <f>HYPERLINK("http://dx.doi.org/10.1007/s10811-011-9746-4","http://dx.doi.org/10.1007/s10811-011-9746-4")</f>
        <v>http://dx.doi.org/10.1007/s10811-011-9746-4</v>
      </c>
      <c r="BG252" t="s">
        <v>74</v>
      </c>
      <c r="BH252" t="s">
        <v>74</v>
      </c>
      <c r="BI252">
        <v>8</v>
      </c>
      <c r="BJ252" t="s">
        <v>5048</v>
      </c>
      <c r="BK252" t="s">
        <v>98</v>
      </c>
      <c r="BL252" t="s">
        <v>5048</v>
      </c>
      <c r="BM252" t="s">
        <v>5049</v>
      </c>
      <c r="BN252" t="s">
        <v>74</v>
      </c>
      <c r="BO252" t="s">
        <v>74</v>
      </c>
      <c r="BP252" t="s">
        <v>74</v>
      </c>
      <c r="BQ252" t="s">
        <v>74</v>
      </c>
      <c r="BR252" t="s">
        <v>101</v>
      </c>
      <c r="BS252" t="s">
        <v>5050</v>
      </c>
      <c r="BT252" t="str">
        <f>HYPERLINK("https%3A%2F%2Fwww.webofscience.com%2Fwos%2Fwoscc%2Ffull-record%2FWOS:000308423100018","View Full Record in Web of Science")</f>
        <v>View Full Record in Web of Science</v>
      </c>
    </row>
    <row r="253" spans="1:72" x14ac:dyDescent="0.15">
      <c r="A253" t="s">
        <v>72</v>
      </c>
      <c r="B253" t="s">
        <v>5051</v>
      </c>
      <c r="C253" t="s">
        <v>74</v>
      </c>
      <c r="D253" t="s">
        <v>74</v>
      </c>
      <c r="E253" t="s">
        <v>74</v>
      </c>
      <c r="F253" t="s">
        <v>5052</v>
      </c>
      <c r="G253" t="s">
        <v>74</v>
      </c>
      <c r="H253" t="s">
        <v>74</v>
      </c>
      <c r="I253" t="s">
        <v>5053</v>
      </c>
      <c r="J253" t="s">
        <v>5054</v>
      </c>
      <c r="K253" t="s">
        <v>74</v>
      </c>
      <c r="L253" t="s">
        <v>74</v>
      </c>
      <c r="M253" t="s">
        <v>78</v>
      </c>
      <c r="N253" t="s">
        <v>79</v>
      </c>
      <c r="O253" t="s">
        <v>74</v>
      </c>
      <c r="P253" t="s">
        <v>74</v>
      </c>
      <c r="Q253" t="s">
        <v>74</v>
      </c>
      <c r="R253" t="s">
        <v>74</v>
      </c>
      <c r="S253" t="s">
        <v>74</v>
      </c>
      <c r="T253" t="s">
        <v>5055</v>
      </c>
      <c r="U253" t="s">
        <v>5056</v>
      </c>
      <c r="V253" t="s">
        <v>5057</v>
      </c>
      <c r="W253" t="s">
        <v>5058</v>
      </c>
      <c r="X253" t="s">
        <v>5059</v>
      </c>
      <c r="Y253" t="s">
        <v>5060</v>
      </c>
      <c r="Z253" t="s">
        <v>5061</v>
      </c>
      <c r="AA253" t="s">
        <v>5062</v>
      </c>
      <c r="AB253" t="s">
        <v>5063</v>
      </c>
      <c r="AC253" t="s">
        <v>5064</v>
      </c>
      <c r="AD253" t="s">
        <v>5064</v>
      </c>
      <c r="AE253" t="s">
        <v>5065</v>
      </c>
      <c r="AF253" t="s">
        <v>74</v>
      </c>
      <c r="AG253">
        <v>26</v>
      </c>
      <c r="AH253">
        <v>11</v>
      </c>
      <c r="AI253">
        <v>13</v>
      </c>
      <c r="AJ253">
        <v>0</v>
      </c>
      <c r="AK253">
        <v>0</v>
      </c>
      <c r="AL253" t="s">
        <v>5066</v>
      </c>
      <c r="AM253" t="s">
        <v>434</v>
      </c>
      <c r="AN253" t="s">
        <v>5067</v>
      </c>
      <c r="AO253" t="s">
        <v>5068</v>
      </c>
      <c r="AP253" t="s">
        <v>74</v>
      </c>
      <c r="AQ253" t="s">
        <v>74</v>
      </c>
      <c r="AR253" t="s">
        <v>5069</v>
      </c>
      <c r="AS253" t="s">
        <v>5070</v>
      </c>
      <c r="AT253" t="s">
        <v>4154</v>
      </c>
      <c r="AU253">
        <v>2012</v>
      </c>
      <c r="AV253">
        <v>23</v>
      </c>
      <c r="AW253">
        <v>10</v>
      </c>
      <c r="AX253" t="s">
        <v>74</v>
      </c>
      <c r="AY253" t="s">
        <v>74</v>
      </c>
      <c r="AZ253" t="s">
        <v>74</v>
      </c>
      <c r="BA253" t="s">
        <v>74</v>
      </c>
      <c r="BB253">
        <v>2461</v>
      </c>
      <c r="BC253">
        <v>2467</v>
      </c>
      <c r="BD253" t="s">
        <v>74</v>
      </c>
      <c r="BE253" t="s">
        <v>5071</v>
      </c>
      <c r="BF253" t="str">
        <f>HYPERLINK("http://dx.doi.org/10.1007/s00198-011-1858-9","http://dx.doi.org/10.1007/s00198-011-1858-9")</f>
        <v>http://dx.doi.org/10.1007/s00198-011-1858-9</v>
      </c>
      <c r="BG253" t="s">
        <v>74</v>
      </c>
      <c r="BH253" t="s">
        <v>74</v>
      </c>
      <c r="BI253">
        <v>7</v>
      </c>
      <c r="BJ253" t="s">
        <v>4748</v>
      </c>
      <c r="BK253" t="s">
        <v>98</v>
      </c>
      <c r="BL253" t="s">
        <v>4748</v>
      </c>
      <c r="BM253" t="s">
        <v>5072</v>
      </c>
      <c r="BN253">
        <v>22215183</v>
      </c>
      <c r="BO253" t="s">
        <v>1254</v>
      </c>
      <c r="BP253" t="s">
        <v>74</v>
      </c>
      <c r="BQ253" t="s">
        <v>74</v>
      </c>
      <c r="BR253" t="s">
        <v>101</v>
      </c>
      <c r="BS253" t="s">
        <v>5073</v>
      </c>
      <c r="BT253" t="str">
        <f>HYPERLINK("https%3A%2F%2Fwww.webofscience.com%2Fwos%2Fwoscc%2Ffull-record%2FWOS:000308818300006","View Full Record in Web of Science")</f>
        <v>View Full Record in Web of Science</v>
      </c>
    </row>
    <row r="254" spans="1:72" x14ac:dyDescent="0.15">
      <c r="A254" t="s">
        <v>72</v>
      </c>
      <c r="B254" t="s">
        <v>5074</v>
      </c>
      <c r="C254" t="s">
        <v>74</v>
      </c>
      <c r="D254" t="s">
        <v>74</v>
      </c>
      <c r="E254" t="s">
        <v>74</v>
      </c>
      <c r="F254" t="s">
        <v>5075</v>
      </c>
      <c r="G254" t="s">
        <v>74</v>
      </c>
      <c r="H254" t="s">
        <v>74</v>
      </c>
      <c r="I254" t="s">
        <v>5076</v>
      </c>
      <c r="J254" t="s">
        <v>5077</v>
      </c>
      <c r="K254" t="s">
        <v>74</v>
      </c>
      <c r="L254" t="s">
        <v>74</v>
      </c>
      <c r="M254" t="s">
        <v>78</v>
      </c>
      <c r="N254" t="s">
        <v>79</v>
      </c>
      <c r="O254" t="s">
        <v>74</v>
      </c>
      <c r="P254" t="s">
        <v>74</v>
      </c>
      <c r="Q254" t="s">
        <v>74</v>
      </c>
      <c r="R254" t="s">
        <v>74</v>
      </c>
      <c r="S254" t="s">
        <v>74</v>
      </c>
      <c r="T254" t="s">
        <v>5078</v>
      </c>
      <c r="U254" t="s">
        <v>5079</v>
      </c>
      <c r="V254" t="s">
        <v>5080</v>
      </c>
      <c r="W254" t="s">
        <v>5081</v>
      </c>
      <c r="X254" t="s">
        <v>5082</v>
      </c>
      <c r="Y254" t="s">
        <v>5083</v>
      </c>
      <c r="Z254" t="s">
        <v>5084</v>
      </c>
      <c r="AA254" t="s">
        <v>5085</v>
      </c>
      <c r="AB254" t="s">
        <v>5086</v>
      </c>
      <c r="AC254" t="s">
        <v>74</v>
      </c>
      <c r="AD254" t="s">
        <v>74</v>
      </c>
      <c r="AE254" t="s">
        <v>74</v>
      </c>
      <c r="AF254" t="s">
        <v>74</v>
      </c>
      <c r="AG254">
        <v>43</v>
      </c>
      <c r="AH254">
        <v>2</v>
      </c>
      <c r="AI254">
        <v>2</v>
      </c>
      <c r="AJ254">
        <v>0</v>
      </c>
      <c r="AK254">
        <v>3</v>
      </c>
      <c r="AL254" t="s">
        <v>916</v>
      </c>
      <c r="AM254" t="s">
        <v>899</v>
      </c>
      <c r="AN254" t="s">
        <v>900</v>
      </c>
      <c r="AO254" t="s">
        <v>5087</v>
      </c>
      <c r="AP254" t="s">
        <v>74</v>
      </c>
      <c r="AQ254" t="s">
        <v>74</v>
      </c>
      <c r="AR254" t="s">
        <v>5088</v>
      </c>
      <c r="AS254" t="s">
        <v>5089</v>
      </c>
      <c r="AT254" t="s">
        <v>4154</v>
      </c>
      <c r="AU254">
        <v>2012</v>
      </c>
      <c r="AV254">
        <v>93</v>
      </c>
      <c r="AW254">
        <v>4</v>
      </c>
      <c r="AX254" t="s">
        <v>74</v>
      </c>
      <c r="AY254" t="s">
        <v>74</v>
      </c>
      <c r="AZ254" t="s">
        <v>74</v>
      </c>
      <c r="BA254" t="s">
        <v>74</v>
      </c>
      <c r="BB254">
        <v>444</v>
      </c>
      <c r="BC254">
        <v>452</v>
      </c>
      <c r="BD254" t="s">
        <v>74</v>
      </c>
      <c r="BE254" t="s">
        <v>5090</v>
      </c>
      <c r="BF254" t="str">
        <f>HYPERLINK("http://dx.doi.org/10.1111/j.1463-6395.2011.00519.x","http://dx.doi.org/10.1111/j.1463-6395.2011.00519.x")</f>
        <v>http://dx.doi.org/10.1111/j.1463-6395.2011.00519.x</v>
      </c>
      <c r="BG254" t="s">
        <v>74</v>
      </c>
      <c r="BH254" t="s">
        <v>74</v>
      </c>
      <c r="BI254">
        <v>9</v>
      </c>
      <c r="BJ254" t="s">
        <v>5091</v>
      </c>
      <c r="BK254" t="s">
        <v>98</v>
      </c>
      <c r="BL254" t="s">
        <v>5091</v>
      </c>
      <c r="BM254" t="s">
        <v>5092</v>
      </c>
      <c r="BN254" t="s">
        <v>74</v>
      </c>
      <c r="BO254" t="s">
        <v>607</v>
      </c>
      <c r="BP254" t="s">
        <v>74</v>
      </c>
      <c r="BQ254" t="s">
        <v>74</v>
      </c>
      <c r="BR254" t="s">
        <v>101</v>
      </c>
      <c r="BS254" t="s">
        <v>5093</v>
      </c>
      <c r="BT254" t="str">
        <f>HYPERLINK("https%3A%2F%2Fwww.webofscience.com%2Fwos%2Fwoscc%2Ffull-record%2FWOS:000308710300008","View Full Record in Web of Science")</f>
        <v>View Full Record in Web of Science</v>
      </c>
    </row>
    <row r="255" spans="1:72" x14ac:dyDescent="0.15">
      <c r="A255" t="s">
        <v>72</v>
      </c>
      <c r="B255" t="s">
        <v>5094</v>
      </c>
      <c r="C255" t="s">
        <v>74</v>
      </c>
      <c r="D255" t="s">
        <v>74</v>
      </c>
      <c r="E255" t="s">
        <v>74</v>
      </c>
      <c r="F255" t="s">
        <v>5095</v>
      </c>
      <c r="G255" t="s">
        <v>74</v>
      </c>
      <c r="H255" t="s">
        <v>74</v>
      </c>
      <c r="I255" t="s">
        <v>5096</v>
      </c>
      <c r="J255" t="s">
        <v>5097</v>
      </c>
      <c r="K255" t="s">
        <v>74</v>
      </c>
      <c r="L255" t="s">
        <v>74</v>
      </c>
      <c r="M255" t="s">
        <v>78</v>
      </c>
      <c r="N255" t="s">
        <v>79</v>
      </c>
      <c r="O255" t="s">
        <v>74</v>
      </c>
      <c r="P255" t="s">
        <v>74</v>
      </c>
      <c r="Q255" t="s">
        <v>74</v>
      </c>
      <c r="R255" t="s">
        <v>74</v>
      </c>
      <c r="S255" t="s">
        <v>74</v>
      </c>
      <c r="T255" t="s">
        <v>5098</v>
      </c>
      <c r="U255" t="s">
        <v>5099</v>
      </c>
      <c r="V255" t="s">
        <v>5100</v>
      </c>
      <c r="W255" t="s">
        <v>5101</v>
      </c>
      <c r="X255" t="s">
        <v>5102</v>
      </c>
      <c r="Y255" t="s">
        <v>5103</v>
      </c>
      <c r="Z255" t="s">
        <v>5104</v>
      </c>
      <c r="AA255" t="s">
        <v>5105</v>
      </c>
      <c r="AB255" t="s">
        <v>5106</v>
      </c>
      <c r="AC255" t="s">
        <v>5107</v>
      </c>
      <c r="AD255" t="s">
        <v>603</v>
      </c>
      <c r="AE255" t="s">
        <v>74</v>
      </c>
      <c r="AF255" t="s">
        <v>74</v>
      </c>
      <c r="AG255">
        <v>41</v>
      </c>
      <c r="AH255">
        <v>14</v>
      </c>
      <c r="AI255">
        <v>15</v>
      </c>
      <c r="AJ255">
        <v>0</v>
      </c>
      <c r="AK255">
        <v>22</v>
      </c>
      <c r="AL255" t="s">
        <v>2780</v>
      </c>
      <c r="AM255" t="s">
        <v>371</v>
      </c>
      <c r="AN255" t="s">
        <v>2781</v>
      </c>
      <c r="AO255" t="s">
        <v>5108</v>
      </c>
      <c r="AP255" t="s">
        <v>5109</v>
      </c>
      <c r="AQ255" t="s">
        <v>74</v>
      </c>
      <c r="AR255" t="s">
        <v>5110</v>
      </c>
      <c r="AS255" t="s">
        <v>5111</v>
      </c>
      <c r="AT255" t="s">
        <v>4154</v>
      </c>
      <c r="AU255">
        <v>2012</v>
      </c>
      <c r="AV255">
        <v>24</v>
      </c>
      <c r="AW255">
        <v>5</v>
      </c>
      <c r="AX255" t="s">
        <v>74</v>
      </c>
      <c r="AY255" t="s">
        <v>74</v>
      </c>
      <c r="AZ255" t="s">
        <v>74</v>
      </c>
      <c r="BA255" t="s">
        <v>74</v>
      </c>
      <c r="BB255">
        <v>441</v>
      </c>
      <c r="BC255">
        <v>449</v>
      </c>
      <c r="BD255" t="s">
        <v>74</v>
      </c>
      <c r="BE255" t="s">
        <v>5112</v>
      </c>
      <c r="BF255" t="str">
        <f>HYPERLINK("http://dx.doi.org/10.1017/S0954102012000272","http://dx.doi.org/10.1017/S0954102012000272")</f>
        <v>http://dx.doi.org/10.1017/S0954102012000272</v>
      </c>
      <c r="BG255" t="s">
        <v>74</v>
      </c>
      <c r="BH255" t="s">
        <v>74</v>
      </c>
      <c r="BI255">
        <v>9</v>
      </c>
      <c r="BJ255" t="s">
        <v>5113</v>
      </c>
      <c r="BK255" t="s">
        <v>98</v>
      </c>
      <c r="BL255" t="s">
        <v>5114</v>
      </c>
      <c r="BM255" t="s">
        <v>5115</v>
      </c>
      <c r="BN255" t="s">
        <v>74</v>
      </c>
      <c r="BO255" t="s">
        <v>74</v>
      </c>
      <c r="BP255" t="s">
        <v>74</v>
      </c>
      <c r="BQ255" t="s">
        <v>74</v>
      </c>
      <c r="BR255" t="s">
        <v>101</v>
      </c>
      <c r="BS255" t="s">
        <v>5116</v>
      </c>
      <c r="BT255" t="str">
        <f>HYPERLINK("https%3A%2F%2Fwww.webofscience.com%2Fwos%2Fwoscc%2Ffull-record%2FWOS:000308721400003","View Full Record in Web of Science")</f>
        <v>View Full Record in Web of Science</v>
      </c>
    </row>
    <row r="256" spans="1:72" x14ac:dyDescent="0.15">
      <c r="A256" t="s">
        <v>72</v>
      </c>
      <c r="B256" t="s">
        <v>5117</v>
      </c>
      <c r="C256" t="s">
        <v>74</v>
      </c>
      <c r="D256" t="s">
        <v>74</v>
      </c>
      <c r="E256" t="s">
        <v>74</v>
      </c>
      <c r="F256" t="s">
        <v>5118</v>
      </c>
      <c r="G256" t="s">
        <v>74</v>
      </c>
      <c r="H256" t="s">
        <v>74</v>
      </c>
      <c r="I256" t="s">
        <v>5119</v>
      </c>
      <c r="J256" t="s">
        <v>5097</v>
      </c>
      <c r="K256" t="s">
        <v>74</v>
      </c>
      <c r="L256" t="s">
        <v>74</v>
      </c>
      <c r="M256" t="s">
        <v>78</v>
      </c>
      <c r="N256" t="s">
        <v>79</v>
      </c>
      <c r="O256" t="s">
        <v>74</v>
      </c>
      <c r="P256" t="s">
        <v>74</v>
      </c>
      <c r="Q256" t="s">
        <v>74</v>
      </c>
      <c r="R256" t="s">
        <v>74</v>
      </c>
      <c r="S256" t="s">
        <v>74</v>
      </c>
      <c r="T256" t="s">
        <v>5120</v>
      </c>
      <c r="U256" t="s">
        <v>5121</v>
      </c>
      <c r="V256" t="s">
        <v>5122</v>
      </c>
      <c r="W256" t="s">
        <v>5123</v>
      </c>
      <c r="X256" t="s">
        <v>5124</v>
      </c>
      <c r="Y256" t="s">
        <v>5125</v>
      </c>
      <c r="Z256" t="s">
        <v>5126</v>
      </c>
      <c r="AA256" t="s">
        <v>5127</v>
      </c>
      <c r="AB256" t="s">
        <v>5128</v>
      </c>
      <c r="AC256" t="s">
        <v>74</v>
      </c>
      <c r="AD256" t="s">
        <v>74</v>
      </c>
      <c r="AE256" t="s">
        <v>74</v>
      </c>
      <c r="AF256" t="s">
        <v>74</v>
      </c>
      <c r="AG256">
        <v>20</v>
      </c>
      <c r="AH256">
        <v>3</v>
      </c>
      <c r="AI256">
        <v>3</v>
      </c>
      <c r="AJ256">
        <v>0</v>
      </c>
      <c r="AK256">
        <v>14</v>
      </c>
      <c r="AL256" t="s">
        <v>2780</v>
      </c>
      <c r="AM256" t="s">
        <v>371</v>
      </c>
      <c r="AN256" t="s">
        <v>2781</v>
      </c>
      <c r="AO256" t="s">
        <v>5108</v>
      </c>
      <c r="AP256" t="s">
        <v>5109</v>
      </c>
      <c r="AQ256" t="s">
        <v>74</v>
      </c>
      <c r="AR256" t="s">
        <v>5110</v>
      </c>
      <c r="AS256" t="s">
        <v>5111</v>
      </c>
      <c r="AT256" t="s">
        <v>4154</v>
      </c>
      <c r="AU256">
        <v>2012</v>
      </c>
      <c r="AV256">
        <v>24</v>
      </c>
      <c r="AW256">
        <v>5</v>
      </c>
      <c r="AX256" t="s">
        <v>74</v>
      </c>
      <c r="AY256" t="s">
        <v>74</v>
      </c>
      <c r="AZ256" t="s">
        <v>74</v>
      </c>
      <c r="BA256" t="s">
        <v>74</v>
      </c>
      <c r="BB256">
        <v>467</v>
      </c>
      <c r="BC256">
        <v>472</v>
      </c>
      <c r="BD256" t="s">
        <v>74</v>
      </c>
      <c r="BE256" t="s">
        <v>5129</v>
      </c>
      <c r="BF256" t="str">
        <f>HYPERLINK("http://dx.doi.org/10.1017/S0954102012000247","http://dx.doi.org/10.1017/S0954102012000247")</f>
        <v>http://dx.doi.org/10.1017/S0954102012000247</v>
      </c>
      <c r="BG256" t="s">
        <v>74</v>
      </c>
      <c r="BH256" t="s">
        <v>74</v>
      </c>
      <c r="BI256">
        <v>6</v>
      </c>
      <c r="BJ256" t="s">
        <v>5113</v>
      </c>
      <c r="BK256" t="s">
        <v>98</v>
      </c>
      <c r="BL256" t="s">
        <v>5114</v>
      </c>
      <c r="BM256" t="s">
        <v>5115</v>
      </c>
      <c r="BN256" t="s">
        <v>74</v>
      </c>
      <c r="BO256" t="s">
        <v>74</v>
      </c>
      <c r="BP256" t="s">
        <v>74</v>
      </c>
      <c r="BQ256" t="s">
        <v>74</v>
      </c>
      <c r="BR256" t="s">
        <v>101</v>
      </c>
      <c r="BS256" t="s">
        <v>5130</v>
      </c>
      <c r="BT256" t="str">
        <f>HYPERLINK("https%3A%2F%2Fwww.webofscience.com%2Fwos%2Fwoscc%2Ffull-record%2FWOS:000308721400005","View Full Record in Web of Science")</f>
        <v>View Full Record in Web of Science</v>
      </c>
    </row>
    <row r="257" spans="1:72" x14ac:dyDescent="0.15">
      <c r="A257" t="s">
        <v>72</v>
      </c>
      <c r="B257" t="s">
        <v>5131</v>
      </c>
      <c r="C257" t="s">
        <v>74</v>
      </c>
      <c r="D257" t="s">
        <v>74</v>
      </c>
      <c r="E257" t="s">
        <v>74</v>
      </c>
      <c r="F257" t="s">
        <v>5132</v>
      </c>
      <c r="G257" t="s">
        <v>74</v>
      </c>
      <c r="H257" t="s">
        <v>74</v>
      </c>
      <c r="I257" t="s">
        <v>5133</v>
      </c>
      <c r="J257" t="s">
        <v>5097</v>
      </c>
      <c r="K257" t="s">
        <v>74</v>
      </c>
      <c r="L257" t="s">
        <v>74</v>
      </c>
      <c r="M257" t="s">
        <v>78</v>
      </c>
      <c r="N257" t="s">
        <v>79</v>
      </c>
      <c r="O257" t="s">
        <v>74</v>
      </c>
      <c r="P257" t="s">
        <v>74</v>
      </c>
      <c r="Q257" t="s">
        <v>74</v>
      </c>
      <c r="R257" t="s">
        <v>74</v>
      </c>
      <c r="S257" t="s">
        <v>74</v>
      </c>
      <c r="T257" t="s">
        <v>5134</v>
      </c>
      <c r="U257" t="s">
        <v>5135</v>
      </c>
      <c r="V257" t="s">
        <v>5136</v>
      </c>
      <c r="W257" t="s">
        <v>5137</v>
      </c>
      <c r="X257" t="s">
        <v>5138</v>
      </c>
      <c r="Y257" t="s">
        <v>5139</v>
      </c>
      <c r="Z257" t="s">
        <v>5140</v>
      </c>
      <c r="AA257" t="s">
        <v>5141</v>
      </c>
      <c r="AB257" t="s">
        <v>5142</v>
      </c>
      <c r="AC257" t="s">
        <v>5143</v>
      </c>
      <c r="AD257" t="s">
        <v>5144</v>
      </c>
      <c r="AE257" t="s">
        <v>5145</v>
      </c>
      <c r="AF257" t="s">
        <v>74</v>
      </c>
      <c r="AG257">
        <v>39</v>
      </c>
      <c r="AH257">
        <v>16</v>
      </c>
      <c r="AI257">
        <v>17</v>
      </c>
      <c r="AJ257">
        <v>0</v>
      </c>
      <c r="AK257">
        <v>9</v>
      </c>
      <c r="AL257" t="s">
        <v>2780</v>
      </c>
      <c r="AM257" t="s">
        <v>371</v>
      </c>
      <c r="AN257" t="s">
        <v>2781</v>
      </c>
      <c r="AO257" t="s">
        <v>5108</v>
      </c>
      <c r="AP257" t="s">
        <v>5109</v>
      </c>
      <c r="AQ257" t="s">
        <v>74</v>
      </c>
      <c r="AR257" t="s">
        <v>5110</v>
      </c>
      <c r="AS257" t="s">
        <v>5111</v>
      </c>
      <c r="AT257" t="s">
        <v>4154</v>
      </c>
      <c r="AU257">
        <v>2012</v>
      </c>
      <c r="AV257">
        <v>24</v>
      </c>
      <c r="AW257">
        <v>5</v>
      </c>
      <c r="AX257" t="s">
        <v>74</v>
      </c>
      <c r="AY257" t="s">
        <v>74</v>
      </c>
      <c r="AZ257" t="s">
        <v>74</v>
      </c>
      <c r="BA257" t="s">
        <v>74</v>
      </c>
      <c r="BB257">
        <v>473</v>
      </c>
      <c r="BC257">
        <v>484</v>
      </c>
      <c r="BD257" t="s">
        <v>74</v>
      </c>
      <c r="BE257" t="s">
        <v>5146</v>
      </c>
      <c r="BF257" t="str">
        <f>HYPERLINK("http://dx.doi.org/10.1017/S0954102012000259","http://dx.doi.org/10.1017/S0954102012000259")</f>
        <v>http://dx.doi.org/10.1017/S0954102012000259</v>
      </c>
      <c r="BG257" t="s">
        <v>74</v>
      </c>
      <c r="BH257" t="s">
        <v>74</v>
      </c>
      <c r="BI257">
        <v>12</v>
      </c>
      <c r="BJ257" t="s">
        <v>5113</v>
      </c>
      <c r="BK257" t="s">
        <v>98</v>
      </c>
      <c r="BL257" t="s">
        <v>5114</v>
      </c>
      <c r="BM257" t="s">
        <v>5115</v>
      </c>
      <c r="BN257" t="s">
        <v>74</v>
      </c>
      <c r="BO257" t="s">
        <v>5147</v>
      </c>
      <c r="BP257" t="s">
        <v>74</v>
      </c>
      <c r="BQ257" t="s">
        <v>74</v>
      </c>
      <c r="BR257" t="s">
        <v>101</v>
      </c>
      <c r="BS257" t="s">
        <v>5148</v>
      </c>
      <c r="BT257" t="str">
        <f>HYPERLINK("https%3A%2F%2Fwww.webofscience.com%2Fwos%2Fwoscc%2Ffull-record%2FWOS:000308721400006","View Full Record in Web of Science")</f>
        <v>View Full Record in Web of Science</v>
      </c>
    </row>
    <row r="258" spans="1:72" x14ac:dyDescent="0.15">
      <c r="A258" t="s">
        <v>72</v>
      </c>
      <c r="B258" t="s">
        <v>5149</v>
      </c>
      <c r="C258" t="s">
        <v>74</v>
      </c>
      <c r="D258" t="s">
        <v>74</v>
      </c>
      <c r="E258" t="s">
        <v>74</v>
      </c>
      <c r="F258" t="s">
        <v>5150</v>
      </c>
      <c r="G258" t="s">
        <v>74</v>
      </c>
      <c r="H258" t="s">
        <v>74</v>
      </c>
      <c r="I258" t="s">
        <v>5151</v>
      </c>
      <c r="J258" t="s">
        <v>5097</v>
      </c>
      <c r="K258" t="s">
        <v>74</v>
      </c>
      <c r="L258" t="s">
        <v>74</v>
      </c>
      <c r="M258" t="s">
        <v>78</v>
      </c>
      <c r="N258" t="s">
        <v>79</v>
      </c>
      <c r="O258" t="s">
        <v>74</v>
      </c>
      <c r="P258" t="s">
        <v>74</v>
      </c>
      <c r="Q258" t="s">
        <v>74</v>
      </c>
      <c r="R258" t="s">
        <v>74</v>
      </c>
      <c r="S258" t="s">
        <v>74</v>
      </c>
      <c r="T258" t="s">
        <v>5152</v>
      </c>
      <c r="U258" t="s">
        <v>5153</v>
      </c>
      <c r="V258" t="s">
        <v>5154</v>
      </c>
      <c r="W258" t="s">
        <v>5155</v>
      </c>
      <c r="X258" t="s">
        <v>5156</v>
      </c>
      <c r="Y258" t="s">
        <v>5157</v>
      </c>
      <c r="Z258" t="s">
        <v>5158</v>
      </c>
      <c r="AA258" t="s">
        <v>5159</v>
      </c>
      <c r="AB258" t="s">
        <v>5160</v>
      </c>
      <c r="AC258" t="s">
        <v>5161</v>
      </c>
      <c r="AD258" t="s">
        <v>5162</v>
      </c>
      <c r="AE258" t="s">
        <v>5163</v>
      </c>
      <c r="AF258" t="s">
        <v>74</v>
      </c>
      <c r="AG258">
        <v>39</v>
      </c>
      <c r="AH258">
        <v>25</v>
      </c>
      <c r="AI258">
        <v>25</v>
      </c>
      <c r="AJ258">
        <v>0</v>
      </c>
      <c r="AK258">
        <v>9</v>
      </c>
      <c r="AL258" t="s">
        <v>2780</v>
      </c>
      <c r="AM258" t="s">
        <v>371</v>
      </c>
      <c r="AN258" t="s">
        <v>2781</v>
      </c>
      <c r="AO258" t="s">
        <v>5108</v>
      </c>
      <c r="AP258" t="s">
        <v>5109</v>
      </c>
      <c r="AQ258" t="s">
        <v>74</v>
      </c>
      <c r="AR258" t="s">
        <v>5110</v>
      </c>
      <c r="AS258" t="s">
        <v>5111</v>
      </c>
      <c r="AT258" t="s">
        <v>4154</v>
      </c>
      <c r="AU258">
        <v>2012</v>
      </c>
      <c r="AV258">
        <v>24</v>
      </c>
      <c r="AW258">
        <v>5</v>
      </c>
      <c r="AX258" t="s">
        <v>74</v>
      </c>
      <c r="AY258" t="s">
        <v>74</v>
      </c>
      <c r="AZ258" t="s">
        <v>74</v>
      </c>
      <c r="BA258" t="s">
        <v>74</v>
      </c>
      <c r="BB258">
        <v>485</v>
      </c>
      <c r="BC258">
        <v>499</v>
      </c>
      <c r="BD258" t="s">
        <v>74</v>
      </c>
      <c r="BE258" t="s">
        <v>5164</v>
      </c>
      <c r="BF258" t="str">
        <f>HYPERLINK("http://dx.doi.org/10.1017/S0954102012000314","http://dx.doi.org/10.1017/S0954102012000314")</f>
        <v>http://dx.doi.org/10.1017/S0954102012000314</v>
      </c>
      <c r="BG258" t="s">
        <v>74</v>
      </c>
      <c r="BH258" t="s">
        <v>74</v>
      </c>
      <c r="BI258">
        <v>15</v>
      </c>
      <c r="BJ258" t="s">
        <v>5113</v>
      </c>
      <c r="BK258" t="s">
        <v>98</v>
      </c>
      <c r="BL258" t="s">
        <v>5114</v>
      </c>
      <c r="BM258" t="s">
        <v>5115</v>
      </c>
      <c r="BN258" t="s">
        <v>74</v>
      </c>
      <c r="BO258" t="s">
        <v>74</v>
      </c>
      <c r="BP258" t="s">
        <v>74</v>
      </c>
      <c r="BQ258" t="s">
        <v>74</v>
      </c>
      <c r="BR258" t="s">
        <v>101</v>
      </c>
      <c r="BS258" t="s">
        <v>5165</v>
      </c>
      <c r="BT258" t="str">
        <f>HYPERLINK("https%3A%2F%2Fwww.webofscience.com%2Fwos%2Fwoscc%2Ffull-record%2FWOS:000308721400007","View Full Record in Web of Science")</f>
        <v>View Full Record in Web of Science</v>
      </c>
    </row>
    <row r="259" spans="1:72" x14ac:dyDescent="0.15">
      <c r="A259" t="s">
        <v>72</v>
      </c>
      <c r="B259" t="s">
        <v>5166</v>
      </c>
      <c r="C259" t="s">
        <v>74</v>
      </c>
      <c r="D259" t="s">
        <v>74</v>
      </c>
      <c r="E259" t="s">
        <v>74</v>
      </c>
      <c r="F259" t="s">
        <v>5167</v>
      </c>
      <c r="G259" t="s">
        <v>74</v>
      </c>
      <c r="H259" t="s">
        <v>74</v>
      </c>
      <c r="I259" t="s">
        <v>5168</v>
      </c>
      <c r="J259" t="s">
        <v>5097</v>
      </c>
      <c r="K259" t="s">
        <v>74</v>
      </c>
      <c r="L259" t="s">
        <v>74</v>
      </c>
      <c r="M259" t="s">
        <v>78</v>
      </c>
      <c r="N259" t="s">
        <v>79</v>
      </c>
      <c r="O259" t="s">
        <v>74</v>
      </c>
      <c r="P259" t="s">
        <v>74</v>
      </c>
      <c r="Q259" t="s">
        <v>74</v>
      </c>
      <c r="R259" t="s">
        <v>74</v>
      </c>
      <c r="S259" t="s">
        <v>74</v>
      </c>
      <c r="T259" t="s">
        <v>5169</v>
      </c>
      <c r="U259" t="s">
        <v>5170</v>
      </c>
      <c r="V259" t="s">
        <v>5171</v>
      </c>
      <c r="W259" t="s">
        <v>5172</v>
      </c>
      <c r="X259" t="s">
        <v>5173</v>
      </c>
      <c r="Y259" t="s">
        <v>5174</v>
      </c>
      <c r="Z259" t="s">
        <v>5175</v>
      </c>
      <c r="AA259" t="s">
        <v>5176</v>
      </c>
      <c r="AB259" t="s">
        <v>5177</v>
      </c>
      <c r="AC259" t="s">
        <v>5178</v>
      </c>
      <c r="AD259" t="s">
        <v>5179</v>
      </c>
      <c r="AE259" t="s">
        <v>5180</v>
      </c>
      <c r="AF259" t="s">
        <v>74</v>
      </c>
      <c r="AG259">
        <v>38</v>
      </c>
      <c r="AH259">
        <v>13</v>
      </c>
      <c r="AI259">
        <v>17</v>
      </c>
      <c r="AJ259">
        <v>0</v>
      </c>
      <c r="AK259">
        <v>7</v>
      </c>
      <c r="AL259" t="s">
        <v>2780</v>
      </c>
      <c r="AM259" t="s">
        <v>371</v>
      </c>
      <c r="AN259" t="s">
        <v>2781</v>
      </c>
      <c r="AO259" t="s">
        <v>5108</v>
      </c>
      <c r="AP259" t="s">
        <v>5109</v>
      </c>
      <c r="AQ259" t="s">
        <v>74</v>
      </c>
      <c r="AR259" t="s">
        <v>5110</v>
      </c>
      <c r="AS259" t="s">
        <v>5111</v>
      </c>
      <c r="AT259" t="s">
        <v>4154</v>
      </c>
      <c r="AU259">
        <v>2012</v>
      </c>
      <c r="AV259">
        <v>24</v>
      </c>
      <c r="AW259">
        <v>5</v>
      </c>
      <c r="AX259" t="s">
        <v>74</v>
      </c>
      <c r="AY259" t="s">
        <v>74</v>
      </c>
      <c r="AZ259" t="s">
        <v>74</v>
      </c>
      <c r="BA259" t="s">
        <v>74</v>
      </c>
      <c r="BB259">
        <v>500</v>
      </c>
      <c r="BC259">
        <v>506</v>
      </c>
      <c r="BD259" t="s">
        <v>74</v>
      </c>
      <c r="BE259" t="s">
        <v>5181</v>
      </c>
      <c r="BF259" t="str">
        <f>HYPERLINK("http://dx.doi.org/10.1017/S0954102012000260","http://dx.doi.org/10.1017/S0954102012000260")</f>
        <v>http://dx.doi.org/10.1017/S0954102012000260</v>
      </c>
      <c r="BG259" t="s">
        <v>74</v>
      </c>
      <c r="BH259" t="s">
        <v>74</v>
      </c>
      <c r="BI259">
        <v>7</v>
      </c>
      <c r="BJ259" t="s">
        <v>5113</v>
      </c>
      <c r="BK259" t="s">
        <v>98</v>
      </c>
      <c r="BL259" t="s">
        <v>5114</v>
      </c>
      <c r="BM259" t="s">
        <v>5115</v>
      </c>
      <c r="BN259" t="s">
        <v>74</v>
      </c>
      <c r="BO259" t="s">
        <v>1499</v>
      </c>
      <c r="BP259" t="s">
        <v>74</v>
      </c>
      <c r="BQ259" t="s">
        <v>74</v>
      </c>
      <c r="BR259" t="s">
        <v>101</v>
      </c>
      <c r="BS259" t="s">
        <v>5182</v>
      </c>
      <c r="BT259" t="str">
        <f>HYPERLINK("https%3A%2F%2Fwww.webofscience.com%2Fwos%2Fwoscc%2Ffull-record%2FWOS:000308721400008","View Full Record in Web of Science")</f>
        <v>View Full Record in Web of Science</v>
      </c>
    </row>
    <row r="260" spans="1:72" x14ac:dyDescent="0.15">
      <c r="A260" t="s">
        <v>72</v>
      </c>
      <c r="B260" t="s">
        <v>5183</v>
      </c>
      <c r="C260" t="s">
        <v>74</v>
      </c>
      <c r="D260" t="s">
        <v>74</v>
      </c>
      <c r="E260" t="s">
        <v>74</v>
      </c>
      <c r="F260" t="s">
        <v>5184</v>
      </c>
      <c r="G260" t="s">
        <v>74</v>
      </c>
      <c r="H260" t="s">
        <v>74</v>
      </c>
      <c r="I260" t="s">
        <v>5185</v>
      </c>
      <c r="J260" t="s">
        <v>5097</v>
      </c>
      <c r="K260" t="s">
        <v>74</v>
      </c>
      <c r="L260" t="s">
        <v>74</v>
      </c>
      <c r="M260" t="s">
        <v>78</v>
      </c>
      <c r="N260" t="s">
        <v>79</v>
      </c>
      <c r="O260" t="s">
        <v>74</v>
      </c>
      <c r="P260" t="s">
        <v>74</v>
      </c>
      <c r="Q260" t="s">
        <v>74</v>
      </c>
      <c r="R260" t="s">
        <v>74</v>
      </c>
      <c r="S260" t="s">
        <v>74</v>
      </c>
      <c r="T260" t="s">
        <v>5186</v>
      </c>
      <c r="U260" t="s">
        <v>5187</v>
      </c>
      <c r="V260" t="s">
        <v>5188</v>
      </c>
      <c r="W260" t="s">
        <v>5189</v>
      </c>
      <c r="X260" t="s">
        <v>5190</v>
      </c>
      <c r="Y260" t="s">
        <v>5191</v>
      </c>
      <c r="Z260" t="s">
        <v>5192</v>
      </c>
      <c r="AA260" t="s">
        <v>5193</v>
      </c>
      <c r="AB260" t="s">
        <v>5194</v>
      </c>
      <c r="AC260" t="s">
        <v>5195</v>
      </c>
      <c r="AD260" t="s">
        <v>5196</v>
      </c>
      <c r="AE260" t="s">
        <v>5197</v>
      </c>
      <c r="AF260" t="s">
        <v>74</v>
      </c>
      <c r="AG260">
        <v>20</v>
      </c>
      <c r="AH260">
        <v>0</v>
      </c>
      <c r="AI260">
        <v>1</v>
      </c>
      <c r="AJ260">
        <v>0</v>
      </c>
      <c r="AK260">
        <v>7</v>
      </c>
      <c r="AL260" t="s">
        <v>2780</v>
      </c>
      <c r="AM260" t="s">
        <v>371</v>
      </c>
      <c r="AN260" t="s">
        <v>2781</v>
      </c>
      <c r="AO260" t="s">
        <v>5108</v>
      </c>
      <c r="AP260" t="s">
        <v>74</v>
      </c>
      <c r="AQ260" t="s">
        <v>74</v>
      </c>
      <c r="AR260" t="s">
        <v>5110</v>
      </c>
      <c r="AS260" t="s">
        <v>5111</v>
      </c>
      <c r="AT260" t="s">
        <v>4154</v>
      </c>
      <c r="AU260">
        <v>2012</v>
      </c>
      <c r="AV260">
        <v>24</v>
      </c>
      <c r="AW260">
        <v>5</v>
      </c>
      <c r="AX260" t="s">
        <v>74</v>
      </c>
      <c r="AY260" t="s">
        <v>74</v>
      </c>
      <c r="AZ260" t="s">
        <v>74</v>
      </c>
      <c r="BA260" t="s">
        <v>74</v>
      </c>
      <c r="BB260">
        <v>507</v>
      </c>
      <c r="BC260">
        <v>513</v>
      </c>
      <c r="BD260" t="s">
        <v>74</v>
      </c>
      <c r="BE260" t="s">
        <v>5198</v>
      </c>
      <c r="BF260" t="str">
        <f>HYPERLINK("http://dx.doi.org/10.1017/S0954102012000417","http://dx.doi.org/10.1017/S0954102012000417")</f>
        <v>http://dx.doi.org/10.1017/S0954102012000417</v>
      </c>
      <c r="BG260" t="s">
        <v>74</v>
      </c>
      <c r="BH260" t="s">
        <v>74</v>
      </c>
      <c r="BI260">
        <v>7</v>
      </c>
      <c r="BJ260" t="s">
        <v>5113</v>
      </c>
      <c r="BK260" t="s">
        <v>98</v>
      </c>
      <c r="BL260" t="s">
        <v>5114</v>
      </c>
      <c r="BM260" t="s">
        <v>5115</v>
      </c>
      <c r="BN260" t="s">
        <v>74</v>
      </c>
      <c r="BO260" t="s">
        <v>74</v>
      </c>
      <c r="BP260" t="s">
        <v>74</v>
      </c>
      <c r="BQ260" t="s">
        <v>74</v>
      </c>
      <c r="BR260" t="s">
        <v>101</v>
      </c>
      <c r="BS260" t="s">
        <v>5199</v>
      </c>
      <c r="BT260" t="str">
        <f>HYPERLINK("https%3A%2F%2Fwww.webofscience.com%2Fwos%2Fwoscc%2Ffull-record%2FWOS:000308721400009","View Full Record in Web of Science")</f>
        <v>View Full Record in Web of Science</v>
      </c>
    </row>
    <row r="261" spans="1:72" x14ac:dyDescent="0.15">
      <c r="A261" t="s">
        <v>72</v>
      </c>
      <c r="B261" t="s">
        <v>5200</v>
      </c>
      <c r="C261" t="s">
        <v>74</v>
      </c>
      <c r="D261" t="s">
        <v>74</v>
      </c>
      <c r="E261" t="s">
        <v>74</v>
      </c>
      <c r="F261" t="s">
        <v>5201</v>
      </c>
      <c r="G261" t="s">
        <v>74</v>
      </c>
      <c r="H261" t="s">
        <v>74</v>
      </c>
      <c r="I261" t="s">
        <v>5202</v>
      </c>
      <c r="J261" t="s">
        <v>5097</v>
      </c>
      <c r="K261" t="s">
        <v>74</v>
      </c>
      <c r="L261" t="s">
        <v>74</v>
      </c>
      <c r="M261" t="s">
        <v>78</v>
      </c>
      <c r="N261" t="s">
        <v>79</v>
      </c>
      <c r="O261" t="s">
        <v>74</v>
      </c>
      <c r="P261" t="s">
        <v>74</v>
      </c>
      <c r="Q261" t="s">
        <v>74</v>
      </c>
      <c r="R261" t="s">
        <v>74</v>
      </c>
      <c r="S261" t="s">
        <v>74</v>
      </c>
      <c r="T261" t="s">
        <v>5203</v>
      </c>
      <c r="U261" t="s">
        <v>5204</v>
      </c>
      <c r="V261" t="s">
        <v>5205</v>
      </c>
      <c r="W261" t="s">
        <v>5206</v>
      </c>
      <c r="X261" t="s">
        <v>5207</v>
      </c>
      <c r="Y261" t="s">
        <v>5208</v>
      </c>
      <c r="Z261" t="s">
        <v>5209</v>
      </c>
      <c r="AA261" t="s">
        <v>5210</v>
      </c>
      <c r="AB261" t="s">
        <v>74</v>
      </c>
      <c r="AC261" t="s">
        <v>5211</v>
      </c>
      <c r="AD261" t="s">
        <v>5212</v>
      </c>
      <c r="AE261" t="s">
        <v>5213</v>
      </c>
      <c r="AF261" t="s">
        <v>74</v>
      </c>
      <c r="AG261">
        <v>46</v>
      </c>
      <c r="AH261">
        <v>53</v>
      </c>
      <c r="AI261">
        <v>58</v>
      </c>
      <c r="AJ261">
        <v>0</v>
      </c>
      <c r="AK261">
        <v>28</v>
      </c>
      <c r="AL261" t="s">
        <v>2780</v>
      </c>
      <c r="AM261" t="s">
        <v>371</v>
      </c>
      <c r="AN261" t="s">
        <v>2781</v>
      </c>
      <c r="AO261" t="s">
        <v>5108</v>
      </c>
      <c r="AP261" t="s">
        <v>5109</v>
      </c>
      <c r="AQ261" t="s">
        <v>74</v>
      </c>
      <c r="AR261" t="s">
        <v>5110</v>
      </c>
      <c r="AS261" t="s">
        <v>5111</v>
      </c>
      <c r="AT261" t="s">
        <v>4154</v>
      </c>
      <c r="AU261">
        <v>2012</v>
      </c>
      <c r="AV261">
        <v>24</v>
      </c>
      <c r="AW261">
        <v>5</v>
      </c>
      <c r="AX261" t="s">
        <v>74</v>
      </c>
      <c r="AY261" t="s">
        <v>74</v>
      </c>
      <c r="AZ261" t="s">
        <v>74</v>
      </c>
      <c r="BA261" t="s">
        <v>74</v>
      </c>
      <c r="BB261">
        <v>514</v>
      </c>
      <c r="BC261">
        <v>526</v>
      </c>
      <c r="BD261" t="s">
        <v>74</v>
      </c>
      <c r="BE261" t="s">
        <v>5214</v>
      </c>
      <c r="BF261" t="str">
        <f>HYPERLINK("http://dx.doi.org/10.1017/S0954102012000296","http://dx.doi.org/10.1017/S0954102012000296")</f>
        <v>http://dx.doi.org/10.1017/S0954102012000296</v>
      </c>
      <c r="BG261" t="s">
        <v>74</v>
      </c>
      <c r="BH261" t="s">
        <v>74</v>
      </c>
      <c r="BI261">
        <v>13</v>
      </c>
      <c r="BJ261" t="s">
        <v>5113</v>
      </c>
      <c r="BK261" t="s">
        <v>98</v>
      </c>
      <c r="BL261" t="s">
        <v>5114</v>
      </c>
      <c r="BM261" t="s">
        <v>5115</v>
      </c>
      <c r="BN261" t="s">
        <v>74</v>
      </c>
      <c r="BO261" t="s">
        <v>74</v>
      </c>
      <c r="BP261" t="s">
        <v>74</v>
      </c>
      <c r="BQ261" t="s">
        <v>74</v>
      </c>
      <c r="BR261" t="s">
        <v>101</v>
      </c>
      <c r="BS261" t="s">
        <v>5215</v>
      </c>
      <c r="BT261" t="str">
        <f>HYPERLINK("https%3A%2F%2Fwww.webofscience.com%2Fwos%2Fwoscc%2Ffull-record%2FWOS:000308721400010","View Full Record in Web of Science")</f>
        <v>View Full Record in Web of Science</v>
      </c>
    </row>
    <row r="262" spans="1:72" x14ac:dyDescent="0.15">
      <c r="A262" t="s">
        <v>72</v>
      </c>
      <c r="B262" t="s">
        <v>5216</v>
      </c>
      <c r="C262" t="s">
        <v>74</v>
      </c>
      <c r="D262" t="s">
        <v>74</v>
      </c>
      <c r="E262" t="s">
        <v>74</v>
      </c>
      <c r="F262" t="s">
        <v>5217</v>
      </c>
      <c r="G262" t="s">
        <v>74</v>
      </c>
      <c r="H262" t="s">
        <v>74</v>
      </c>
      <c r="I262" t="s">
        <v>5218</v>
      </c>
      <c r="J262" t="s">
        <v>5097</v>
      </c>
      <c r="K262" t="s">
        <v>74</v>
      </c>
      <c r="L262" t="s">
        <v>74</v>
      </c>
      <c r="M262" t="s">
        <v>78</v>
      </c>
      <c r="N262" t="s">
        <v>79</v>
      </c>
      <c r="O262" t="s">
        <v>74</v>
      </c>
      <c r="P262" t="s">
        <v>74</v>
      </c>
      <c r="Q262" t="s">
        <v>74</v>
      </c>
      <c r="R262" t="s">
        <v>74</v>
      </c>
      <c r="S262" t="s">
        <v>74</v>
      </c>
      <c r="T262" t="s">
        <v>5219</v>
      </c>
      <c r="U262" t="s">
        <v>5220</v>
      </c>
      <c r="V262" t="s">
        <v>5221</v>
      </c>
      <c r="W262" t="s">
        <v>5222</v>
      </c>
      <c r="X262" t="s">
        <v>5223</v>
      </c>
      <c r="Y262" t="s">
        <v>5224</v>
      </c>
      <c r="Z262" t="s">
        <v>5225</v>
      </c>
      <c r="AA262" t="s">
        <v>74</v>
      </c>
      <c r="AB262" t="s">
        <v>5226</v>
      </c>
      <c r="AC262" t="s">
        <v>5227</v>
      </c>
      <c r="AD262" t="s">
        <v>5228</v>
      </c>
      <c r="AE262" t="s">
        <v>5229</v>
      </c>
      <c r="AF262" t="s">
        <v>74</v>
      </c>
      <c r="AG262">
        <v>29</v>
      </c>
      <c r="AH262">
        <v>6</v>
      </c>
      <c r="AI262">
        <v>6</v>
      </c>
      <c r="AJ262">
        <v>0</v>
      </c>
      <c r="AK262">
        <v>21</v>
      </c>
      <c r="AL262" t="s">
        <v>2780</v>
      </c>
      <c r="AM262" t="s">
        <v>371</v>
      </c>
      <c r="AN262" t="s">
        <v>2781</v>
      </c>
      <c r="AO262" t="s">
        <v>5108</v>
      </c>
      <c r="AP262" t="s">
        <v>5109</v>
      </c>
      <c r="AQ262" t="s">
        <v>74</v>
      </c>
      <c r="AR262" t="s">
        <v>5110</v>
      </c>
      <c r="AS262" t="s">
        <v>5111</v>
      </c>
      <c r="AT262" t="s">
        <v>4154</v>
      </c>
      <c r="AU262">
        <v>2012</v>
      </c>
      <c r="AV262">
        <v>24</v>
      </c>
      <c r="AW262">
        <v>5</v>
      </c>
      <c r="AX262" t="s">
        <v>74</v>
      </c>
      <c r="AY262" t="s">
        <v>74</v>
      </c>
      <c r="AZ262" t="s">
        <v>74</v>
      </c>
      <c r="BA262" t="s">
        <v>74</v>
      </c>
      <c r="BB262">
        <v>527</v>
      </c>
      <c r="BC262">
        <v>535</v>
      </c>
      <c r="BD262" t="s">
        <v>74</v>
      </c>
      <c r="BE262" t="s">
        <v>5230</v>
      </c>
      <c r="BF262" t="str">
        <f>HYPERLINK("http://dx.doi.org/10.1017/S0954102012000235","http://dx.doi.org/10.1017/S0954102012000235")</f>
        <v>http://dx.doi.org/10.1017/S0954102012000235</v>
      </c>
      <c r="BG262" t="s">
        <v>74</v>
      </c>
      <c r="BH262" t="s">
        <v>74</v>
      </c>
      <c r="BI262">
        <v>9</v>
      </c>
      <c r="BJ262" t="s">
        <v>5113</v>
      </c>
      <c r="BK262" t="s">
        <v>98</v>
      </c>
      <c r="BL262" t="s">
        <v>5114</v>
      </c>
      <c r="BM262" t="s">
        <v>5115</v>
      </c>
      <c r="BN262" t="s">
        <v>74</v>
      </c>
      <c r="BO262" t="s">
        <v>74</v>
      </c>
      <c r="BP262" t="s">
        <v>74</v>
      </c>
      <c r="BQ262" t="s">
        <v>74</v>
      </c>
      <c r="BR262" t="s">
        <v>101</v>
      </c>
      <c r="BS262" t="s">
        <v>5231</v>
      </c>
      <c r="BT262" t="str">
        <f>HYPERLINK("https%3A%2F%2Fwww.webofscience.com%2Fwos%2Fwoscc%2Ffull-record%2FWOS:000308721400011","View Full Record in Web of Science")</f>
        <v>View Full Record in Web of Science</v>
      </c>
    </row>
    <row r="263" spans="1:72" x14ac:dyDescent="0.15">
      <c r="A263" t="s">
        <v>72</v>
      </c>
      <c r="B263" t="s">
        <v>5232</v>
      </c>
      <c r="C263" t="s">
        <v>74</v>
      </c>
      <c r="D263" t="s">
        <v>74</v>
      </c>
      <c r="E263" t="s">
        <v>74</v>
      </c>
      <c r="F263" t="s">
        <v>5233</v>
      </c>
      <c r="G263" t="s">
        <v>74</v>
      </c>
      <c r="H263" t="s">
        <v>74</v>
      </c>
      <c r="I263" t="s">
        <v>5234</v>
      </c>
      <c r="J263" t="s">
        <v>5097</v>
      </c>
      <c r="K263" t="s">
        <v>74</v>
      </c>
      <c r="L263" t="s">
        <v>74</v>
      </c>
      <c r="M263" t="s">
        <v>78</v>
      </c>
      <c r="N263" t="s">
        <v>79</v>
      </c>
      <c r="O263" t="s">
        <v>74</v>
      </c>
      <c r="P263" t="s">
        <v>74</v>
      </c>
      <c r="Q263" t="s">
        <v>74</v>
      </c>
      <c r="R263" t="s">
        <v>74</v>
      </c>
      <c r="S263" t="s">
        <v>74</v>
      </c>
      <c r="T263" t="s">
        <v>5235</v>
      </c>
      <c r="U263" t="s">
        <v>5236</v>
      </c>
      <c r="V263" t="s">
        <v>5237</v>
      </c>
      <c r="W263" t="s">
        <v>5238</v>
      </c>
      <c r="X263" t="s">
        <v>5239</v>
      </c>
      <c r="Y263" t="s">
        <v>5240</v>
      </c>
      <c r="Z263" t="s">
        <v>5241</v>
      </c>
      <c r="AA263" t="s">
        <v>5242</v>
      </c>
      <c r="AB263" t="s">
        <v>5243</v>
      </c>
      <c r="AC263" t="s">
        <v>5244</v>
      </c>
      <c r="AD263" t="s">
        <v>5245</v>
      </c>
      <c r="AE263" t="s">
        <v>5246</v>
      </c>
      <c r="AF263" t="s">
        <v>74</v>
      </c>
      <c r="AG263">
        <v>30</v>
      </c>
      <c r="AH263">
        <v>4</v>
      </c>
      <c r="AI263">
        <v>4</v>
      </c>
      <c r="AJ263">
        <v>1</v>
      </c>
      <c r="AK263">
        <v>28</v>
      </c>
      <c r="AL263" t="s">
        <v>2780</v>
      </c>
      <c r="AM263" t="s">
        <v>371</v>
      </c>
      <c r="AN263" t="s">
        <v>2781</v>
      </c>
      <c r="AO263" t="s">
        <v>5108</v>
      </c>
      <c r="AP263" t="s">
        <v>5109</v>
      </c>
      <c r="AQ263" t="s">
        <v>74</v>
      </c>
      <c r="AR263" t="s">
        <v>5110</v>
      </c>
      <c r="AS263" t="s">
        <v>5111</v>
      </c>
      <c r="AT263" t="s">
        <v>4154</v>
      </c>
      <c r="AU263">
        <v>2012</v>
      </c>
      <c r="AV263">
        <v>24</v>
      </c>
      <c r="AW263">
        <v>5</v>
      </c>
      <c r="AX263" t="s">
        <v>74</v>
      </c>
      <c r="AY263" t="s">
        <v>74</v>
      </c>
      <c r="AZ263" t="s">
        <v>74</v>
      </c>
      <c r="BA263" t="s">
        <v>74</v>
      </c>
      <c r="BB263">
        <v>536</v>
      </c>
      <c r="BC263">
        <v>544</v>
      </c>
      <c r="BD263" t="s">
        <v>74</v>
      </c>
      <c r="BE263" t="s">
        <v>5247</v>
      </c>
      <c r="BF263" t="str">
        <f>HYPERLINK("http://dx.doi.org/10.1017/S0954102012000284","http://dx.doi.org/10.1017/S0954102012000284")</f>
        <v>http://dx.doi.org/10.1017/S0954102012000284</v>
      </c>
      <c r="BG263" t="s">
        <v>74</v>
      </c>
      <c r="BH263" t="s">
        <v>74</v>
      </c>
      <c r="BI263">
        <v>9</v>
      </c>
      <c r="BJ263" t="s">
        <v>5113</v>
      </c>
      <c r="BK263" t="s">
        <v>98</v>
      </c>
      <c r="BL263" t="s">
        <v>5114</v>
      </c>
      <c r="BM263" t="s">
        <v>5115</v>
      </c>
      <c r="BN263" t="s">
        <v>74</v>
      </c>
      <c r="BO263" t="s">
        <v>1254</v>
      </c>
      <c r="BP263" t="s">
        <v>74</v>
      </c>
      <c r="BQ263" t="s">
        <v>74</v>
      </c>
      <c r="BR263" t="s">
        <v>101</v>
      </c>
      <c r="BS263" t="s">
        <v>5248</v>
      </c>
      <c r="BT263" t="str">
        <f>HYPERLINK("https%3A%2F%2Fwww.webofscience.com%2Fwos%2Fwoscc%2Ffull-record%2FWOS:000308721400012","View Full Record in Web of Science")</f>
        <v>View Full Record in Web of Science</v>
      </c>
    </row>
    <row r="264" spans="1:72" x14ac:dyDescent="0.15">
      <c r="A264" t="s">
        <v>72</v>
      </c>
      <c r="B264" t="s">
        <v>5249</v>
      </c>
      <c r="C264" t="s">
        <v>74</v>
      </c>
      <c r="D264" t="s">
        <v>74</v>
      </c>
      <c r="E264" t="s">
        <v>74</v>
      </c>
      <c r="F264" t="s">
        <v>5250</v>
      </c>
      <c r="G264" t="s">
        <v>74</v>
      </c>
      <c r="H264" t="s">
        <v>74</v>
      </c>
      <c r="I264" t="s">
        <v>5251</v>
      </c>
      <c r="J264" t="s">
        <v>5252</v>
      </c>
      <c r="K264" t="s">
        <v>74</v>
      </c>
      <c r="L264" t="s">
        <v>74</v>
      </c>
      <c r="M264" t="s">
        <v>78</v>
      </c>
      <c r="N264" t="s">
        <v>79</v>
      </c>
      <c r="O264" t="s">
        <v>74</v>
      </c>
      <c r="P264" t="s">
        <v>74</v>
      </c>
      <c r="Q264" t="s">
        <v>74</v>
      </c>
      <c r="R264" t="s">
        <v>74</v>
      </c>
      <c r="S264" t="s">
        <v>74</v>
      </c>
      <c r="T264" t="s">
        <v>5253</v>
      </c>
      <c r="U264" t="s">
        <v>5254</v>
      </c>
      <c r="V264" t="s">
        <v>5255</v>
      </c>
      <c r="W264" t="s">
        <v>5256</v>
      </c>
      <c r="X264" t="s">
        <v>5257</v>
      </c>
      <c r="Y264" t="s">
        <v>5258</v>
      </c>
      <c r="Z264" t="s">
        <v>5259</v>
      </c>
      <c r="AA264" t="s">
        <v>5260</v>
      </c>
      <c r="AB264" t="s">
        <v>5261</v>
      </c>
      <c r="AC264" t="s">
        <v>5262</v>
      </c>
      <c r="AD264" t="s">
        <v>5263</v>
      </c>
      <c r="AE264" t="s">
        <v>5264</v>
      </c>
      <c r="AF264" t="s">
        <v>74</v>
      </c>
      <c r="AG264">
        <v>28</v>
      </c>
      <c r="AH264">
        <v>8</v>
      </c>
      <c r="AI264">
        <v>8</v>
      </c>
      <c r="AJ264">
        <v>0</v>
      </c>
      <c r="AK264">
        <v>38</v>
      </c>
      <c r="AL264" t="s">
        <v>916</v>
      </c>
      <c r="AM264" t="s">
        <v>899</v>
      </c>
      <c r="AN264" t="s">
        <v>900</v>
      </c>
      <c r="AO264" t="s">
        <v>5265</v>
      </c>
      <c r="AP264" t="s">
        <v>74</v>
      </c>
      <c r="AQ264" t="s">
        <v>74</v>
      </c>
      <c r="AR264" t="s">
        <v>5266</v>
      </c>
      <c r="AS264" t="s">
        <v>5267</v>
      </c>
      <c r="AT264" t="s">
        <v>4154</v>
      </c>
      <c r="AU264">
        <v>2012</v>
      </c>
      <c r="AV264">
        <v>26</v>
      </c>
      <c r="AW264">
        <v>5</v>
      </c>
      <c r="AX264" t="s">
        <v>74</v>
      </c>
      <c r="AY264" t="s">
        <v>74</v>
      </c>
      <c r="AZ264" t="s">
        <v>74</v>
      </c>
      <c r="BA264" t="s">
        <v>74</v>
      </c>
      <c r="BB264">
        <v>938</v>
      </c>
      <c r="BC264">
        <v>942</v>
      </c>
      <c r="BD264" t="s">
        <v>74</v>
      </c>
      <c r="BE264" t="s">
        <v>5268</v>
      </c>
      <c r="BF264" t="str">
        <f>HYPERLINK("http://dx.doi.org/10.1111/j.1523-1739.2012.01864.x","http://dx.doi.org/10.1111/j.1523-1739.2012.01864.x")</f>
        <v>http://dx.doi.org/10.1111/j.1523-1739.2012.01864.x</v>
      </c>
      <c r="BG264" t="s">
        <v>74</v>
      </c>
      <c r="BH264" t="s">
        <v>74</v>
      </c>
      <c r="BI264">
        <v>5</v>
      </c>
      <c r="BJ264" t="s">
        <v>2203</v>
      </c>
      <c r="BK264" t="s">
        <v>98</v>
      </c>
      <c r="BL264" t="s">
        <v>1880</v>
      </c>
      <c r="BM264" t="s">
        <v>5269</v>
      </c>
      <c r="BN264">
        <v>22620276</v>
      </c>
      <c r="BO264" t="s">
        <v>74</v>
      </c>
      <c r="BP264" t="s">
        <v>74</v>
      </c>
      <c r="BQ264" t="s">
        <v>74</v>
      </c>
      <c r="BR264" t="s">
        <v>101</v>
      </c>
      <c r="BS264" t="s">
        <v>5270</v>
      </c>
      <c r="BT264" t="str">
        <f>HYPERLINK("https%3A%2F%2Fwww.webofscience.com%2Fwos%2Fwoscc%2Ffull-record%2FWOS:000308484500020","View Full Record in Web of Science")</f>
        <v>View Full Record in Web of Science</v>
      </c>
    </row>
    <row r="265" spans="1:72" x14ac:dyDescent="0.15">
      <c r="A265" t="s">
        <v>72</v>
      </c>
      <c r="B265" t="s">
        <v>5271</v>
      </c>
      <c r="C265" t="s">
        <v>74</v>
      </c>
      <c r="D265" t="s">
        <v>74</v>
      </c>
      <c r="E265" t="s">
        <v>74</v>
      </c>
      <c r="F265" t="s">
        <v>5272</v>
      </c>
      <c r="G265" t="s">
        <v>74</v>
      </c>
      <c r="H265" t="s">
        <v>74</v>
      </c>
      <c r="I265" t="s">
        <v>5273</v>
      </c>
      <c r="J265" t="s">
        <v>5274</v>
      </c>
      <c r="K265" t="s">
        <v>74</v>
      </c>
      <c r="L265" t="s">
        <v>74</v>
      </c>
      <c r="M265" t="s">
        <v>78</v>
      </c>
      <c r="N265" t="s">
        <v>79</v>
      </c>
      <c r="O265" t="s">
        <v>74</v>
      </c>
      <c r="P265" t="s">
        <v>74</v>
      </c>
      <c r="Q265" t="s">
        <v>74</v>
      </c>
      <c r="R265" t="s">
        <v>74</v>
      </c>
      <c r="S265" t="s">
        <v>74</v>
      </c>
      <c r="T265" t="s">
        <v>5275</v>
      </c>
      <c r="U265" t="s">
        <v>5276</v>
      </c>
      <c r="V265" t="s">
        <v>5277</v>
      </c>
      <c r="W265" t="s">
        <v>5278</v>
      </c>
      <c r="X265" t="s">
        <v>5279</v>
      </c>
      <c r="Y265" t="s">
        <v>5280</v>
      </c>
      <c r="Z265" t="s">
        <v>5281</v>
      </c>
      <c r="AA265" t="s">
        <v>5282</v>
      </c>
      <c r="AB265" t="s">
        <v>5283</v>
      </c>
      <c r="AC265" t="s">
        <v>5284</v>
      </c>
      <c r="AD265" t="s">
        <v>5285</v>
      </c>
      <c r="AE265" t="s">
        <v>5286</v>
      </c>
      <c r="AF265" t="s">
        <v>74</v>
      </c>
      <c r="AG265">
        <v>31</v>
      </c>
      <c r="AH265">
        <v>30</v>
      </c>
      <c r="AI265">
        <v>30</v>
      </c>
      <c r="AJ265">
        <v>0</v>
      </c>
      <c r="AK265">
        <v>34</v>
      </c>
      <c r="AL265" t="s">
        <v>188</v>
      </c>
      <c r="AM265" t="s">
        <v>189</v>
      </c>
      <c r="AN265" t="s">
        <v>190</v>
      </c>
      <c r="AO265" t="s">
        <v>5287</v>
      </c>
      <c r="AP265" t="s">
        <v>5288</v>
      </c>
      <c r="AQ265" t="s">
        <v>74</v>
      </c>
      <c r="AR265" t="s">
        <v>5289</v>
      </c>
      <c r="AS265" t="s">
        <v>5290</v>
      </c>
      <c r="AT265" t="s">
        <v>4154</v>
      </c>
      <c r="AU265">
        <v>2012</v>
      </c>
      <c r="AV265">
        <v>129</v>
      </c>
      <c r="AW265" t="s">
        <v>74</v>
      </c>
      <c r="AX265" t="s">
        <v>74</v>
      </c>
      <c r="AY265" t="s">
        <v>74</v>
      </c>
      <c r="AZ265" t="s">
        <v>74</v>
      </c>
      <c r="BA265" t="s">
        <v>74</v>
      </c>
      <c r="BB265">
        <v>64</v>
      </c>
      <c r="BC265">
        <v>72</v>
      </c>
      <c r="BD265" t="s">
        <v>74</v>
      </c>
      <c r="BE265" t="s">
        <v>5291</v>
      </c>
      <c r="BF265" t="str">
        <f>HYPERLINK("http://dx.doi.org/10.1016/j.fishres.2012.06.011","http://dx.doi.org/10.1016/j.fishres.2012.06.011")</f>
        <v>http://dx.doi.org/10.1016/j.fishres.2012.06.011</v>
      </c>
      <c r="BG265" t="s">
        <v>74</v>
      </c>
      <c r="BH265" t="s">
        <v>74</v>
      </c>
      <c r="BI265">
        <v>9</v>
      </c>
      <c r="BJ265" t="s">
        <v>5292</v>
      </c>
      <c r="BK265" t="s">
        <v>98</v>
      </c>
      <c r="BL265" t="s">
        <v>5292</v>
      </c>
      <c r="BM265" t="s">
        <v>5293</v>
      </c>
      <c r="BN265" t="s">
        <v>74</v>
      </c>
      <c r="BO265" t="s">
        <v>74</v>
      </c>
      <c r="BP265" t="s">
        <v>74</v>
      </c>
      <c r="BQ265" t="s">
        <v>74</v>
      </c>
      <c r="BR265" t="s">
        <v>101</v>
      </c>
      <c r="BS265" t="s">
        <v>5294</v>
      </c>
      <c r="BT265" t="str">
        <f>HYPERLINK("https%3A%2F%2Fwww.webofscience.com%2Fwos%2Fwoscc%2Ffull-record%2FWOS:000308057800009","View Full Record in Web of Science")</f>
        <v>View Full Record in Web of Science</v>
      </c>
    </row>
    <row r="266" spans="1:72" x14ac:dyDescent="0.15">
      <c r="A266" t="s">
        <v>72</v>
      </c>
      <c r="B266" t="s">
        <v>5295</v>
      </c>
      <c r="C266" t="s">
        <v>74</v>
      </c>
      <c r="D266" t="s">
        <v>74</v>
      </c>
      <c r="E266" t="s">
        <v>74</v>
      </c>
      <c r="F266" t="s">
        <v>5296</v>
      </c>
      <c r="G266" t="s">
        <v>74</v>
      </c>
      <c r="H266" t="s">
        <v>74</v>
      </c>
      <c r="I266" t="s">
        <v>5297</v>
      </c>
      <c r="J266" t="s">
        <v>1945</v>
      </c>
      <c r="K266" t="s">
        <v>74</v>
      </c>
      <c r="L266" t="s">
        <v>74</v>
      </c>
      <c r="M266" t="s">
        <v>78</v>
      </c>
      <c r="N266" t="s">
        <v>79</v>
      </c>
      <c r="O266" t="s">
        <v>74</v>
      </c>
      <c r="P266" t="s">
        <v>74</v>
      </c>
      <c r="Q266" t="s">
        <v>74</v>
      </c>
      <c r="R266" t="s">
        <v>74</v>
      </c>
      <c r="S266" t="s">
        <v>74</v>
      </c>
      <c r="T266" t="s">
        <v>5298</v>
      </c>
      <c r="U266" t="s">
        <v>5299</v>
      </c>
      <c r="V266" t="s">
        <v>5300</v>
      </c>
      <c r="W266" t="s">
        <v>5301</v>
      </c>
      <c r="X266" t="s">
        <v>5302</v>
      </c>
      <c r="Y266" t="s">
        <v>5303</v>
      </c>
      <c r="Z266" t="s">
        <v>5304</v>
      </c>
      <c r="AA266" t="s">
        <v>74</v>
      </c>
      <c r="AB266" t="s">
        <v>74</v>
      </c>
      <c r="AC266" t="s">
        <v>5305</v>
      </c>
      <c r="AD266" t="s">
        <v>5263</v>
      </c>
      <c r="AE266" t="s">
        <v>5306</v>
      </c>
      <c r="AF266" t="s">
        <v>74</v>
      </c>
      <c r="AG266">
        <v>68</v>
      </c>
      <c r="AH266">
        <v>11</v>
      </c>
      <c r="AI266">
        <v>14</v>
      </c>
      <c r="AJ266">
        <v>1</v>
      </c>
      <c r="AK266">
        <v>54</v>
      </c>
      <c r="AL266" t="s">
        <v>1958</v>
      </c>
      <c r="AM266" t="s">
        <v>1959</v>
      </c>
      <c r="AN266" t="s">
        <v>1960</v>
      </c>
      <c r="AO266" t="s">
        <v>1961</v>
      </c>
      <c r="AP266" t="s">
        <v>1962</v>
      </c>
      <c r="AQ266" t="s">
        <v>74</v>
      </c>
      <c r="AR266" t="s">
        <v>1963</v>
      </c>
      <c r="AS266" t="s">
        <v>1964</v>
      </c>
      <c r="AT266" t="s">
        <v>4154</v>
      </c>
      <c r="AU266">
        <v>2012</v>
      </c>
      <c r="AV266">
        <v>215</v>
      </c>
      <c r="AW266">
        <v>19</v>
      </c>
      <c r="AX266" t="s">
        <v>74</v>
      </c>
      <c r="AY266" t="s">
        <v>74</v>
      </c>
      <c r="AZ266" t="s">
        <v>74</v>
      </c>
      <c r="BA266" t="s">
        <v>74</v>
      </c>
      <c r="BB266">
        <v>3370</v>
      </c>
      <c r="BC266">
        <v>3378</v>
      </c>
      <c r="BD266" t="s">
        <v>74</v>
      </c>
      <c r="BE266" t="s">
        <v>5307</v>
      </c>
      <c r="BF266" t="str">
        <f>HYPERLINK("http://dx.doi.org/10.1242/jeb.070607","http://dx.doi.org/10.1242/jeb.070607")</f>
        <v>http://dx.doi.org/10.1242/jeb.070607</v>
      </c>
      <c r="BG266" t="s">
        <v>74</v>
      </c>
      <c r="BH266" t="s">
        <v>74</v>
      </c>
      <c r="BI266">
        <v>9</v>
      </c>
      <c r="BJ266" t="s">
        <v>1966</v>
      </c>
      <c r="BK266" t="s">
        <v>98</v>
      </c>
      <c r="BL266" t="s">
        <v>1967</v>
      </c>
      <c r="BM266" t="s">
        <v>5308</v>
      </c>
      <c r="BN266">
        <v>22693034</v>
      </c>
      <c r="BO266" t="s">
        <v>1654</v>
      </c>
      <c r="BP266" t="s">
        <v>74</v>
      </c>
      <c r="BQ266" t="s">
        <v>74</v>
      </c>
      <c r="BR266" t="s">
        <v>101</v>
      </c>
      <c r="BS266" t="s">
        <v>5309</v>
      </c>
      <c r="BT266" t="str">
        <f>HYPERLINK("https%3A%2F%2Fwww.webofscience.com%2Fwos%2Fwoscc%2Ffull-record%2FWOS:000308676300012","View Full Record in Web of Science")</f>
        <v>View Full Record in Web of Science</v>
      </c>
    </row>
    <row r="267" spans="1:72" x14ac:dyDescent="0.15">
      <c r="A267" t="s">
        <v>72</v>
      </c>
      <c r="B267" t="s">
        <v>5310</v>
      </c>
      <c r="C267" t="s">
        <v>74</v>
      </c>
      <c r="D267" t="s">
        <v>74</v>
      </c>
      <c r="E267" t="s">
        <v>74</v>
      </c>
      <c r="F267" t="s">
        <v>5311</v>
      </c>
      <c r="G267" t="s">
        <v>74</v>
      </c>
      <c r="H267" t="s">
        <v>74</v>
      </c>
      <c r="I267" t="s">
        <v>5312</v>
      </c>
      <c r="J267" t="s">
        <v>1860</v>
      </c>
      <c r="K267" t="s">
        <v>74</v>
      </c>
      <c r="L267" t="s">
        <v>74</v>
      </c>
      <c r="M267" t="s">
        <v>78</v>
      </c>
      <c r="N267" t="s">
        <v>79</v>
      </c>
      <c r="O267" t="s">
        <v>74</v>
      </c>
      <c r="P267" t="s">
        <v>74</v>
      </c>
      <c r="Q267" t="s">
        <v>74</v>
      </c>
      <c r="R267" t="s">
        <v>74</v>
      </c>
      <c r="S267" t="s">
        <v>74</v>
      </c>
      <c r="T267" t="s">
        <v>5313</v>
      </c>
      <c r="U267" t="s">
        <v>5314</v>
      </c>
      <c r="V267" t="s">
        <v>5315</v>
      </c>
      <c r="W267" t="s">
        <v>5316</v>
      </c>
      <c r="X267" t="s">
        <v>5317</v>
      </c>
      <c r="Y267" t="s">
        <v>5318</v>
      </c>
      <c r="Z267" t="s">
        <v>5319</v>
      </c>
      <c r="AA267" t="s">
        <v>74</v>
      </c>
      <c r="AB267" t="s">
        <v>5320</v>
      </c>
      <c r="AC267" t="s">
        <v>5321</v>
      </c>
      <c r="AD267" t="s">
        <v>5322</v>
      </c>
      <c r="AE267" t="s">
        <v>5323</v>
      </c>
      <c r="AF267" t="s">
        <v>74</v>
      </c>
      <c r="AG267">
        <v>44</v>
      </c>
      <c r="AH267">
        <v>15</v>
      </c>
      <c r="AI267">
        <v>19</v>
      </c>
      <c r="AJ267">
        <v>1</v>
      </c>
      <c r="AK267">
        <v>34</v>
      </c>
      <c r="AL267" t="s">
        <v>935</v>
      </c>
      <c r="AM267" t="s">
        <v>371</v>
      </c>
      <c r="AN267" t="s">
        <v>936</v>
      </c>
      <c r="AO267" t="s">
        <v>1874</v>
      </c>
      <c r="AP267" t="s">
        <v>1875</v>
      </c>
      <c r="AQ267" t="s">
        <v>74</v>
      </c>
      <c r="AR267" t="s">
        <v>1876</v>
      </c>
      <c r="AS267" t="s">
        <v>1877</v>
      </c>
      <c r="AT267" t="s">
        <v>4154</v>
      </c>
      <c r="AU267">
        <v>2012</v>
      </c>
      <c r="AV267">
        <v>35</v>
      </c>
      <c r="AW267">
        <v>10</v>
      </c>
      <c r="AX267" t="s">
        <v>74</v>
      </c>
      <c r="AY267" t="s">
        <v>74</v>
      </c>
      <c r="AZ267" t="s">
        <v>74</v>
      </c>
      <c r="BA267" t="s">
        <v>74</v>
      </c>
      <c r="BB267">
        <v>1515</v>
      </c>
      <c r="BC267">
        <v>1524</v>
      </c>
      <c r="BD267" t="s">
        <v>74</v>
      </c>
      <c r="BE267" t="s">
        <v>5324</v>
      </c>
      <c r="BF267" t="str">
        <f>HYPERLINK("http://dx.doi.org/10.1007/s00300-012-1191-6","http://dx.doi.org/10.1007/s00300-012-1191-6")</f>
        <v>http://dx.doi.org/10.1007/s00300-012-1191-6</v>
      </c>
      <c r="BG267" t="s">
        <v>74</v>
      </c>
      <c r="BH267" t="s">
        <v>74</v>
      </c>
      <c r="BI267">
        <v>10</v>
      </c>
      <c r="BJ267" t="s">
        <v>1879</v>
      </c>
      <c r="BK267" t="s">
        <v>98</v>
      </c>
      <c r="BL267" t="s">
        <v>1880</v>
      </c>
      <c r="BM267" t="s">
        <v>5325</v>
      </c>
      <c r="BN267" t="s">
        <v>74</v>
      </c>
      <c r="BO267" t="s">
        <v>74</v>
      </c>
      <c r="BP267" t="s">
        <v>74</v>
      </c>
      <c r="BQ267" t="s">
        <v>74</v>
      </c>
      <c r="BR267" t="s">
        <v>101</v>
      </c>
      <c r="BS267" t="s">
        <v>5326</v>
      </c>
      <c r="BT267" t="str">
        <f>HYPERLINK("https%3A%2F%2Fwww.webofscience.com%2Fwos%2Fwoscc%2Ffull-record%2FWOS:000308331600006","View Full Record in Web of Science")</f>
        <v>View Full Record in Web of Science</v>
      </c>
    </row>
    <row r="268" spans="1:72" x14ac:dyDescent="0.15">
      <c r="A268" t="s">
        <v>72</v>
      </c>
      <c r="B268" t="s">
        <v>5327</v>
      </c>
      <c r="C268" t="s">
        <v>74</v>
      </c>
      <c r="D268" t="s">
        <v>74</v>
      </c>
      <c r="E268" t="s">
        <v>74</v>
      </c>
      <c r="F268" t="s">
        <v>5328</v>
      </c>
      <c r="G268" t="s">
        <v>74</v>
      </c>
      <c r="H268" t="s">
        <v>74</v>
      </c>
      <c r="I268" t="s">
        <v>5329</v>
      </c>
      <c r="J268" t="s">
        <v>1860</v>
      </c>
      <c r="K268" t="s">
        <v>74</v>
      </c>
      <c r="L268" t="s">
        <v>74</v>
      </c>
      <c r="M268" t="s">
        <v>78</v>
      </c>
      <c r="N268" t="s">
        <v>79</v>
      </c>
      <c r="O268" t="s">
        <v>74</v>
      </c>
      <c r="P268" t="s">
        <v>74</v>
      </c>
      <c r="Q268" t="s">
        <v>74</v>
      </c>
      <c r="R268" t="s">
        <v>74</v>
      </c>
      <c r="S268" t="s">
        <v>74</v>
      </c>
      <c r="T268" t="s">
        <v>5330</v>
      </c>
      <c r="U268" t="s">
        <v>5331</v>
      </c>
      <c r="V268" t="s">
        <v>5332</v>
      </c>
      <c r="W268" t="s">
        <v>5333</v>
      </c>
      <c r="X268" t="s">
        <v>5334</v>
      </c>
      <c r="Y268" t="s">
        <v>5335</v>
      </c>
      <c r="Z268" t="s">
        <v>5336</v>
      </c>
      <c r="AA268" t="s">
        <v>5337</v>
      </c>
      <c r="AB268" t="s">
        <v>5338</v>
      </c>
      <c r="AC268" t="s">
        <v>5339</v>
      </c>
      <c r="AD268" t="s">
        <v>5340</v>
      </c>
      <c r="AE268" t="s">
        <v>5341</v>
      </c>
      <c r="AF268" t="s">
        <v>74</v>
      </c>
      <c r="AG268">
        <v>28</v>
      </c>
      <c r="AH268">
        <v>19</v>
      </c>
      <c r="AI268">
        <v>22</v>
      </c>
      <c r="AJ268">
        <v>1</v>
      </c>
      <c r="AK268">
        <v>47</v>
      </c>
      <c r="AL268" t="s">
        <v>935</v>
      </c>
      <c r="AM268" t="s">
        <v>371</v>
      </c>
      <c r="AN268" t="s">
        <v>1873</v>
      </c>
      <c r="AO268" t="s">
        <v>1874</v>
      </c>
      <c r="AP268" t="s">
        <v>1875</v>
      </c>
      <c r="AQ268" t="s">
        <v>74</v>
      </c>
      <c r="AR268" t="s">
        <v>1876</v>
      </c>
      <c r="AS268" t="s">
        <v>1877</v>
      </c>
      <c r="AT268" t="s">
        <v>4154</v>
      </c>
      <c r="AU268">
        <v>2012</v>
      </c>
      <c r="AV268">
        <v>35</v>
      </c>
      <c r="AW268">
        <v>10</v>
      </c>
      <c r="AX268" t="s">
        <v>74</v>
      </c>
      <c r="AY268" t="s">
        <v>74</v>
      </c>
      <c r="AZ268" t="s">
        <v>74</v>
      </c>
      <c r="BA268" t="s">
        <v>74</v>
      </c>
      <c r="BB268">
        <v>1525</v>
      </c>
      <c r="BC268">
        <v>1531</v>
      </c>
      <c r="BD268" t="s">
        <v>74</v>
      </c>
      <c r="BE268" t="s">
        <v>5342</v>
      </c>
      <c r="BF268" t="str">
        <f>HYPERLINK("http://dx.doi.org/10.1007/s00300-012-1192-5","http://dx.doi.org/10.1007/s00300-012-1192-5")</f>
        <v>http://dx.doi.org/10.1007/s00300-012-1192-5</v>
      </c>
      <c r="BG268" t="s">
        <v>74</v>
      </c>
      <c r="BH268" t="s">
        <v>74</v>
      </c>
      <c r="BI268">
        <v>7</v>
      </c>
      <c r="BJ268" t="s">
        <v>1879</v>
      </c>
      <c r="BK268" t="s">
        <v>98</v>
      </c>
      <c r="BL268" t="s">
        <v>1880</v>
      </c>
      <c r="BM268" t="s">
        <v>5325</v>
      </c>
      <c r="BN268" t="s">
        <v>74</v>
      </c>
      <c r="BO268" t="s">
        <v>74</v>
      </c>
      <c r="BP268" t="s">
        <v>74</v>
      </c>
      <c r="BQ268" t="s">
        <v>74</v>
      </c>
      <c r="BR268" t="s">
        <v>101</v>
      </c>
      <c r="BS268" t="s">
        <v>5343</v>
      </c>
      <c r="BT268" t="str">
        <f>HYPERLINK("https%3A%2F%2Fwww.webofscience.com%2Fwos%2Fwoscc%2Ffull-record%2FWOS:000308331600007","View Full Record in Web of Science")</f>
        <v>View Full Record in Web of Science</v>
      </c>
    </row>
    <row r="269" spans="1:72" x14ac:dyDescent="0.15">
      <c r="A269" t="s">
        <v>72</v>
      </c>
      <c r="B269" t="s">
        <v>5344</v>
      </c>
      <c r="C269" t="s">
        <v>74</v>
      </c>
      <c r="D269" t="s">
        <v>74</v>
      </c>
      <c r="E269" t="s">
        <v>74</v>
      </c>
      <c r="F269" t="s">
        <v>5345</v>
      </c>
      <c r="G269" t="s">
        <v>74</v>
      </c>
      <c r="H269" t="s">
        <v>74</v>
      </c>
      <c r="I269" t="s">
        <v>5346</v>
      </c>
      <c r="J269" t="s">
        <v>1860</v>
      </c>
      <c r="K269" t="s">
        <v>74</v>
      </c>
      <c r="L269" t="s">
        <v>74</v>
      </c>
      <c r="M269" t="s">
        <v>78</v>
      </c>
      <c r="N269" t="s">
        <v>79</v>
      </c>
      <c r="O269" t="s">
        <v>74</v>
      </c>
      <c r="P269" t="s">
        <v>74</v>
      </c>
      <c r="Q269" t="s">
        <v>74</v>
      </c>
      <c r="R269" t="s">
        <v>74</v>
      </c>
      <c r="S269" t="s">
        <v>74</v>
      </c>
      <c r="T269" t="s">
        <v>5347</v>
      </c>
      <c r="U269" t="s">
        <v>5348</v>
      </c>
      <c r="V269" t="s">
        <v>5349</v>
      </c>
      <c r="W269" t="s">
        <v>5350</v>
      </c>
      <c r="X269" t="s">
        <v>5351</v>
      </c>
      <c r="Y269" t="s">
        <v>5352</v>
      </c>
      <c r="Z269" t="s">
        <v>5353</v>
      </c>
      <c r="AA269" t="s">
        <v>5354</v>
      </c>
      <c r="AB269" t="s">
        <v>5355</v>
      </c>
      <c r="AC269" t="s">
        <v>5356</v>
      </c>
      <c r="AD269" t="s">
        <v>5356</v>
      </c>
      <c r="AE269" t="s">
        <v>5357</v>
      </c>
      <c r="AF269" t="s">
        <v>74</v>
      </c>
      <c r="AG269">
        <v>44</v>
      </c>
      <c r="AH269">
        <v>10</v>
      </c>
      <c r="AI269">
        <v>11</v>
      </c>
      <c r="AJ269">
        <v>1</v>
      </c>
      <c r="AK269">
        <v>24</v>
      </c>
      <c r="AL269" t="s">
        <v>935</v>
      </c>
      <c r="AM269" t="s">
        <v>371</v>
      </c>
      <c r="AN269" t="s">
        <v>936</v>
      </c>
      <c r="AO269" t="s">
        <v>1874</v>
      </c>
      <c r="AP269" t="s">
        <v>1875</v>
      </c>
      <c r="AQ269" t="s">
        <v>74</v>
      </c>
      <c r="AR269" t="s">
        <v>1876</v>
      </c>
      <c r="AS269" t="s">
        <v>1877</v>
      </c>
      <c r="AT269" t="s">
        <v>4154</v>
      </c>
      <c r="AU269">
        <v>2012</v>
      </c>
      <c r="AV269">
        <v>35</v>
      </c>
      <c r="AW269">
        <v>10</v>
      </c>
      <c r="AX269" t="s">
        <v>74</v>
      </c>
      <c r="AY269" t="s">
        <v>74</v>
      </c>
      <c r="AZ269" t="s">
        <v>74</v>
      </c>
      <c r="BA269" t="s">
        <v>74</v>
      </c>
      <c r="BB269">
        <v>1545</v>
      </c>
      <c r="BC269">
        <v>1553</v>
      </c>
      <c r="BD269" t="s">
        <v>74</v>
      </c>
      <c r="BE269" t="s">
        <v>5358</v>
      </c>
      <c r="BF269" t="str">
        <f>HYPERLINK("http://dx.doi.org/10.1007/s00300-012-1194-3","http://dx.doi.org/10.1007/s00300-012-1194-3")</f>
        <v>http://dx.doi.org/10.1007/s00300-012-1194-3</v>
      </c>
      <c r="BG269" t="s">
        <v>74</v>
      </c>
      <c r="BH269" t="s">
        <v>74</v>
      </c>
      <c r="BI269">
        <v>9</v>
      </c>
      <c r="BJ269" t="s">
        <v>1879</v>
      </c>
      <c r="BK269" t="s">
        <v>98</v>
      </c>
      <c r="BL269" t="s">
        <v>1880</v>
      </c>
      <c r="BM269" t="s">
        <v>5325</v>
      </c>
      <c r="BN269" t="s">
        <v>74</v>
      </c>
      <c r="BO269" t="s">
        <v>74</v>
      </c>
      <c r="BP269" t="s">
        <v>74</v>
      </c>
      <c r="BQ269" t="s">
        <v>74</v>
      </c>
      <c r="BR269" t="s">
        <v>101</v>
      </c>
      <c r="BS269" t="s">
        <v>5359</v>
      </c>
      <c r="BT269" t="str">
        <f>HYPERLINK("https%3A%2F%2Fwww.webofscience.com%2Fwos%2Fwoscc%2Ffull-record%2FWOS:000308331600009","View Full Record in Web of Science")</f>
        <v>View Full Record in Web of Science</v>
      </c>
    </row>
    <row r="270" spans="1:72" x14ac:dyDescent="0.15">
      <c r="A270" t="s">
        <v>72</v>
      </c>
      <c r="B270" t="s">
        <v>5360</v>
      </c>
      <c r="C270" t="s">
        <v>74</v>
      </c>
      <c r="D270" t="s">
        <v>74</v>
      </c>
      <c r="E270" t="s">
        <v>74</v>
      </c>
      <c r="F270" t="s">
        <v>5361</v>
      </c>
      <c r="G270" t="s">
        <v>74</v>
      </c>
      <c r="H270" t="s">
        <v>74</v>
      </c>
      <c r="I270" t="s">
        <v>5362</v>
      </c>
      <c r="J270" t="s">
        <v>1860</v>
      </c>
      <c r="K270" t="s">
        <v>74</v>
      </c>
      <c r="L270" t="s">
        <v>74</v>
      </c>
      <c r="M270" t="s">
        <v>78</v>
      </c>
      <c r="N270" t="s">
        <v>79</v>
      </c>
      <c r="O270" t="s">
        <v>74</v>
      </c>
      <c r="P270" t="s">
        <v>74</v>
      </c>
      <c r="Q270" t="s">
        <v>74</v>
      </c>
      <c r="R270" t="s">
        <v>74</v>
      </c>
      <c r="S270" t="s">
        <v>74</v>
      </c>
      <c r="T270" t="s">
        <v>5363</v>
      </c>
      <c r="U270" t="s">
        <v>5364</v>
      </c>
      <c r="V270" t="s">
        <v>5365</v>
      </c>
      <c r="W270" t="s">
        <v>5366</v>
      </c>
      <c r="X270" t="s">
        <v>5367</v>
      </c>
      <c r="Y270" t="s">
        <v>5368</v>
      </c>
      <c r="Z270" t="s">
        <v>5369</v>
      </c>
      <c r="AA270" t="s">
        <v>5370</v>
      </c>
      <c r="AB270" t="s">
        <v>5371</v>
      </c>
      <c r="AC270" t="s">
        <v>5372</v>
      </c>
      <c r="AD270" t="s">
        <v>5373</v>
      </c>
      <c r="AE270" t="s">
        <v>5374</v>
      </c>
      <c r="AF270" t="s">
        <v>74</v>
      </c>
      <c r="AG270">
        <v>81</v>
      </c>
      <c r="AH270">
        <v>49</v>
      </c>
      <c r="AI270">
        <v>52</v>
      </c>
      <c r="AJ270">
        <v>0</v>
      </c>
      <c r="AK270">
        <v>35</v>
      </c>
      <c r="AL270" t="s">
        <v>935</v>
      </c>
      <c r="AM270" t="s">
        <v>371</v>
      </c>
      <c r="AN270" t="s">
        <v>936</v>
      </c>
      <c r="AO270" t="s">
        <v>1874</v>
      </c>
      <c r="AP270" t="s">
        <v>1875</v>
      </c>
      <c r="AQ270" t="s">
        <v>74</v>
      </c>
      <c r="AR270" t="s">
        <v>1876</v>
      </c>
      <c r="AS270" t="s">
        <v>1877</v>
      </c>
      <c r="AT270" t="s">
        <v>4154</v>
      </c>
      <c r="AU270">
        <v>2012</v>
      </c>
      <c r="AV270">
        <v>35</v>
      </c>
      <c r="AW270">
        <v>10</v>
      </c>
      <c r="AX270" t="s">
        <v>74</v>
      </c>
      <c r="AY270" t="s">
        <v>74</v>
      </c>
      <c r="AZ270" t="s">
        <v>74</v>
      </c>
      <c r="BA270" t="s">
        <v>74</v>
      </c>
      <c r="BB270">
        <v>1573</v>
      </c>
      <c r="BC270">
        <v>1585</v>
      </c>
      <c r="BD270" t="s">
        <v>74</v>
      </c>
      <c r="BE270" t="s">
        <v>5375</v>
      </c>
      <c r="BF270" t="str">
        <f>HYPERLINK("http://dx.doi.org/10.1007/s00300-012-1199-y","http://dx.doi.org/10.1007/s00300-012-1199-y")</f>
        <v>http://dx.doi.org/10.1007/s00300-012-1199-y</v>
      </c>
      <c r="BG270" t="s">
        <v>74</v>
      </c>
      <c r="BH270" t="s">
        <v>74</v>
      </c>
      <c r="BI270">
        <v>13</v>
      </c>
      <c r="BJ270" t="s">
        <v>1879</v>
      </c>
      <c r="BK270" t="s">
        <v>98</v>
      </c>
      <c r="BL270" t="s">
        <v>1880</v>
      </c>
      <c r="BM270" t="s">
        <v>5325</v>
      </c>
      <c r="BN270" t="s">
        <v>74</v>
      </c>
      <c r="BO270" t="s">
        <v>74</v>
      </c>
      <c r="BP270" t="s">
        <v>74</v>
      </c>
      <c r="BQ270" t="s">
        <v>74</v>
      </c>
      <c r="BR270" t="s">
        <v>101</v>
      </c>
      <c r="BS270" t="s">
        <v>5376</v>
      </c>
      <c r="BT270" t="str">
        <f>HYPERLINK("https%3A%2F%2Fwww.webofscience.com%2Fwos%2Fwoscc%2Ffull-record%2FWOS:000308331600012","View Full Record in Web of Science")</f>
        <v>View Full Record in Web of Science</v>
      </c>
    </row>
    <row r="271" spans="1:72" x14ac:dyDescent="0.15">
      <c r="A271" t="s">
        <v>72</v>
      </c>
      <c r="B271" t="s">
        <v>5377</v>
      </c>
      <c r="C271" t="s">
        <v>74</v>
      </c>
      <c r="D271" t="s">
        <v>74</v>
      </c>
      <c r="E271" t="s">
        <v>74</v>
      </c>
      <c r="F271" t="s">
        <v>5378</v>
      </c>
      <c r="G271" t="s">
        <v>74</v>
      </c>
      <c r="H271" t="s">
        <v>74</v>
      </c>
      <c r="I271" t="s">
        <v>5379</v>
      </c>
      <c r="J271" t="s">
        <v>1860</v>
      </c>
      <c r="K271" t="s">
        <v>74</v>
      </c>
      <c r="L271" t="s">
        <v>74</v>
      </c>
      <c r="M271" t="s">
        <v>78</v>
      </c>
      <c r="N271" t="s">
        <v>79</v>
      </c>
      <c r="O271" t="s">
        <v>74</v>
      </c>
      <c r="P271" t="s">
        <v>74</v>
      </c>
      <c r="Q271" t="s">
        <v>74</v>
      </c>
      <c r="R271" t="s">
        <v>74</v>
      </c>
      <c r="S271" t="s">
        <v>74</v>
      </c>
      <c r="T271" t="s">
        <v>5380</v>
      </c>
      <c r="U271" t="s">
        <v>5381</v>
      </c>
      <c r="V271" t="s">
        <v>5382</v>
      </c>
      <c r="W271" t="s">
        <v>5383</v>
      </c>
      <c r="X271" t="s">
        <v>5384</v>
      </c>
      <c r="Y271" t="s">
        <v>5385</v>
      </c>
      <c r="Z271" t="s">
        <v>5386</v>
      </c>
      <c r="AA271" t="s">
        <v>74</v>
      </c>
      <c r="AB271" t="s">
        <v>5387</v>
      </c>
      <c r="AC271" t="s">
        <v>74</v>
      </c>
      <c r="AD271" t="s">
        <v>74</v>
      </c>
      <c r="AE271" t="s">
        <v>74</v>
      </c>
      <c r="AF271" t="s">
        <v>74</v>
      </c>
      <c r="AG271">
        <v>36</v>
      </c>
      <c r="AH271">
        <v>1</v>
      </c>
      <c r="AI271">
        <v>2</v>
      </c>
      <c r="AJ271">
        <v>0</v>
      </c>
      <c r="AK271">
        <v>33</v>
      </c>
      <c r="AL271" t="s">
        <v>935</v>
      </c>
      <c r="AM271" t="s">
        <v>371</v>
      </c>
      <c r="AN271" t="s">
        <v>936</v>
      </c>
      <c r="AO271" t="s">
        <v>1874</v>
      </c>
      <c r="AP271" t="s">
        <v>74</v>
      </c>
      <c r="AQ271" t="s">
        <v>74</v>
      </c>
      <c r="AR271" t="s">
        <v>1876</v>
      </c>
      <c r="AS271" t="s">
        <v>1877</v>
      </c>
      <c r="AT271" t="s">
        <v>4154</v>
      </c>
      <c r="AU271">
        <v>2012</v>
      </c>
      <c r="AV271">
        <v>35</v>
      </c>
      <c r="AW271">
        <v>10</v>
      </c>
      <c r="AX271" t="s">
        <v>74</v>
      </c>
      <c r="AY271" t="s">
        <v>74</v>
      </c>
      <c r="AZ271" t="s">
        <v>74</v>
      </c>
      <c r="BA271" t="s">
        <v>74</v>
      </c>
      <c r="BB271">
        <v>1601</v>
      </c>
      <c r="BC271">
        <v>1606</v>
      </c>
      <c r="BD271" t="s">
        <v>74</v>
      </c>
      <c r="BE271" t="s">
        <v>5388</v>
      </c>
      <c r="BF271" t="str">
        <f>HYPERLINK("http://dx.doi.org/10.1007/s00300-012-1201-8","http://dx.doi.org/10.1007/s00300-012-1201-8")</f>
        <v>http://dx.doi.org/10.1007/s00300-012-1201-8</v>
      </c>
      <c r="BG271" t="s">
        <v>74</v>
      </c>
      <c r="BH271" t="s">
        <v>74</v>
      </c>
      <c r="BI271">
        <v>6</v>
      </c>
      <c r="BJ271" t="s">
        <v>1879</v>
      </c>
      <c r="BK271" t="s">
        <v>98</v>
      </c>
      <c r="BL271" t="s">
        <v>1880</v>
      </c>
      <c r="BM271" t="s">
        <v>5325</v>
      </c>
      <c r="BN271" t="s">
        <v>74</v>
      </c>
      <c r="BO271" t="s">
        <v>74</v>
      </c>
      <c r="BP271" t="s">
        <v>74</v>
      </c>
      <c r="BQ271" t="s">
        <v>74</v>
      </c>
      <c r="BR271" t="s">
        <v>101</v>
      </c>
      <c r="BS271" t="s">
        <v>5389</v>
      </c>
      <c r="BT271" t="str">
        <f>HYPERLINK("https%3A%2F%2Fwww.webofscience.com%2Fwos%2Fwoscc%2Ffull-record%2FWOS:000308331600014","View Full Record in Web of Science")</f>
        <v>View Full Record in Web of Science</v>
      </c>
    </row>
    <row r="272" spans="1:72" x14ac:dyDescent="0.15">
      <c r="A272" t="s">
        <v>72</v>
      </c>
      <c r="B272" t="s">
        <v>5390</v>
      </c>
      <c r="C272" t="s">
        <v>74</v>
      </c>
      <c r="D272" t="s">
        <v>74</v>
      </c>
      <c r="E272" t="s">
        <v>74</v>
      </c>
      <c r="F272" t="s">
        <v>5391</v>
      </c>
      <c r="G272" t="s">
        <v>74</v>
      </c>
      <c r="H272" t="s">
        <v>74</v>
      </c>
      <c r="I272" t="s">
        <v>5392</v>
      </c>
      <c r="J272" t="s">
        <v>5393</v>
      </c>
      <c r="K272" t="s">
        <v>74</v>
      </c>
      <c r="L272" t="s">
        <v>74</v>
      </c>
      <c r="M272" t="s">
        <v>78</v>
      </c>
      <c r="N272" t="s">
        <v>79</v>
      </c>
      <c r="O272" t="s">
        <v>74</v>
      </c>
      <c r="P272" t="s">
        <v>74</v>
      </c>
      <c r="Q272" t="s">
        <v>74</v>
      </c>
      <c r="R272" t="s">
        <v>74</v>
      </c>
      <c r="S272" t="s">
        <v>74</v>
      </c>
      <c r="T272" t="s">
        <v>5394</v>
      </c>
      <c r="U272" t="s">
        <v>5395</v>
      </c>
      <c r="V272" t="s">
        <v>5396</v>
      </c>
      <c r="W272" t="s">
        <v>5397</v>
      </c>
      <c r="X272" t="s">
        <v>5398</v>
      </c>
      <c r="Y272" t="s">
        <v>5399</v>
      </c>
      <c r="Z272" t="s">
        <v>74</v>
      </c>
      <c r="AA272" t="s">
        <v>74</v>
      </c>
      <c r="AB272" t="s">
        <v>74</v>
      </c>
      <c r="AC272" t="s">
        <v>5400</v>
      </c>
      <c r="AD272" t="s">
        <v>5401</v>
      </c>
      <c r="AE272" t="s">
        <v>5402</v>
      </c>
      <c r="AF272" t="s">
        <v>74</v>
      </c>
      <c r="AG272">
        <v>48</v>
      </c>
      <c r="AH272">
        <v>5</v>
      </c>
      <c r="AI272">
        <v>6</v>
      </c>
      <c r="AJ272">
        <v>2</v>
      </c>
      <c r="AK272">
        <v>23</v>
      </c>
      <c r="AL272" t="s">
        <v>5403</v>
      </c>
      <c r="AM272" t="s">
        <v>5404</v>
      </c>
      <c r="AN272" t="s">
        <v>5405</v>
      </c>
      <c r="AO272" t="s">
        <v>5406</v>
      </c>
      <c r="AP272" t="s">
        <v>5407</v>
      </c>
      <c r="AQ272" t="s">
        <v>74</v>
      </c>
      <c r="AR272" t="s">
        <v>5408</v>
      </c>
      <c r="AS272" t="s">
        <v>5409</v>
      </c>
      <c r="AT272" t="s">
        <v>4154</v>
      </c>
      <c r="AU272">
        <v>2012</v>
      </c>
      <c r="AV272">
        <v>47</v>
      </c>
      <c r="AW272">
        <v>2</v>
      </c>
      <c r="AX272" t="s">
        <v>74</v>
      </c>
      <c r="AY272" t="s">
        <v>74</v>
      </c>
      <c r="AZ272" t="s">
        <v>74</v>
      </c>
      <c r="BA272" t="s">
        <v>74</v>
      </c>
      <c r="BB272">
        <v>203</v>
      </c>
      <c r="BC272">
        <v>215</v>
      </c>
      <c r="BD272" t="s">
        <v>74</v>
      </c>
      <c r="BE272" t="s">
        <v>5410</v>
      </c>
      <c r="BF272" t="str">
        <f>HYPERLINK("http://dx.doi.org/10.3377/004.047.0207","http://dx.doi.org/10.3377/004.047.0207")</f>
        <v>http://dx.doi.org/10.3377/004.047.0207</v>
      </c>
      <c r="BG272" t="s">
        <v>74</v>
      </c>
      <c r="BH272" t="s">
        <v>74</v>
      </c>
      <c r="BI272">
        <v>13</v>
      </c>
      <c r="BJ272" t="s">
        <v>675</v>
      </c>
      <c r="BK272" t="s">
        <v>98</v>
      </c>
      <c r="BL272" t="s">
        <v>675</v>
      </c>
      <c r="BM272" t="s">
        <v>5411</v>
      </c>
      <c r="BN272" t="s">
        <v>74</v>
      </c>
      <c r="BO272" t="s">
        <v>74</v>
      </c>
      <c r="BP272" t="s">
        <v>74</v>
      </c>
      <c r="BQ272" t="s">
        <v>74</v>
      </c>
      <c r="BR272" t="s">
        <v>101</v>
      </c>
      <c r="BS272" t="s">
        <v>5412</v>
      </c>
      <c r="BT272" t="str">
        <f>HYPERLINK("https%3A%2F%2Fwww.webofscience.com%2Fwos%2Fwoscc%2Ffull-record%2FWOS:000208843600002","View Full Record in Web of Science")</f>
        <v>View Full Record in Web of Science</v>
      </c>
    </row>
    <row r="273" spans="1:72" x14ac:dyDescent="0.15">
      <c r="A273" t="s">
        <v>72</v>
      </c>
      <c r="B273" t="s">
        <v>5413</v>
      </c>
      <c r="C273" t="s">
        <v>74</v>
      </c>
      <c r="D273" t="s">
        <v>74</v>
      </c>
      <c r="E273" t="s">
        <v>74</v>
      </c>
      <c r="F273" t="s">
        <v>5414</v>
      </c>
      <c r="G273" t="s">
        <v>74</v>
      </c>
      <c r="H273" t="s">
        <v>74</v>
      </c>
      <c r="I273" t="s">
        <v>5415</v>
      </c>
      <c r="J273" t="s">
        <v>5416</v>
      </c>
      <c r="K273" t="s">
        <v>74</v>
      </c>
      <c r="L273" t="s">
        <v>74</v>
      </c>
      <c r="M273" t="s">
        <v>78</v>
      </c>
      <c r="N273" t="s">
        <v>79</v>
      </c>
      <c r="O273" t="s">
        <v>74</v>
      </c>
      <c r="P273" t="s">
        <v>74</v>
      </c>
      <c r="Q273" t="s">
        <v>74</v>
      </c>
      <c r="R273" t="s">
        <v>74</v>
      </c>
      <c r="S273" t="s">
        <v>74</v>
      </c>
      <c r="T273" t="s">
        <v>5417</v>
      </c>
      <c r="U273" t="s">
        <v>5418</v>
      </c>
      <c r="V273" t="s">
        <v>5419</v>
      </c>
      <c r="W273" t="s">
        <v>5420</v>
      </c>
      <c r="X273" t="s">
        <v>5421</v>
      </c>
      <c r="Y273" t="s">
        <v>5422</v>
      </c>
      <c r="Z273" t="s">
        <v>5423</v>
      </c>
      <c r="AA273" t="s">
        <v>5424</v>
      </c>
      <c r="AB273" t="s">
        <v>5425</v>
      </c>
      <c r="AC273" t="s">
        <v>5426</v>
      </c>
      <c r="AD273" t="s">
        <v>5427</v>
      </c>
      <c r="AE273" t="s">
        <v>5428</v>
      </c>
      <c r="AF273" t="s">
        <v>74</v>
      </c>
      <c r="AG273">
        <v>41</v>
      </c>
      <c r="AH273">
        <v>36</v>
      </c>
      <c r="AI273">
        <v>40</v>
      </c>
      <c r="AJ273">
        <v>0</v>
      </c>
      <c r="AK273">
        <v>78</v>
      </c>
      <c r="AL273" t="s">
        <v>898</v>
      </c>
      <c r="AM273" t="s">
        <v>899</v>
      </c>
      <c r="AN273" t="s">
        <v>900</v>
      </c>
      <c r="AO273" t="s">
        <v>5429</v>
      </c>
      <c r="AP273" t="s">
        <v>5430</v>
      </c>
      <c r="AQ273" t="s">
        <v>74</v>
      </c>
      <c r="AR273" t="s">
        <v>5431</v>
      </c>
      <c r="AS273" t="s">
        <v>5432</v>
      </c>
      <c r="AT273" t="s">
        <v>4154</v>
      </c>
      <c r="AU273">
        <v>2012</v>
      </c>
      <c r="AV273">
        <v>15</v>
      </c>
      <c r="AW273">
        <v>5</v>
      </c>
      <c r="AX273" t="s">
        <v>74</v>
      </c>
      <c r="AY273" t="s">
        <v>74</v>
      </c>
      <c r="AZ273" t="s">
        <v>74</v>
      </c>
      <c r="BA273" t="s">
        <v>74</v>
      </c>
      <c r="BB273">
        <v>472</v>
      </c>
      <c r="BC273">
        <v>479</v>
      </c>
      <c r="BD273" t="s">
        <v>74</v>
      </c>
      <c r="BE273" t="s">
        <v>5433</v>
      </c>
      <c r="BF273" t="str">
        <f>HYPERLINK("http://dx.doi.org/10.1111/j.1469-1795.2012.00534.x","http://dx.doi.org/10.1111/j.1469-1795.2012.00534.x")</f>
        <v>http://dx.doi.org/10.1111/j.1469-1795.2012.00534.x</v>
      </c>
      <c r="BG273" t="s">
        <v>74</v>
      </c>
      <c r="BH273" t="s">
        <v>74</v>
      </c>
      <c r="BI273">
        <v>8</v>
      </c>
      <c r="BJ273" t="s">
        <v>1879</v>
      </c>
      <c r="BK273" t="s">
        <v>98</v>
      </c>
      <c r="BL273" t="s">
        <v>1880</v>
      </c>
      <c r="BM273" t="s">
        <v>5434</v>
      </c>
      <c r="BN273" t="s">
        <v>74</v>
      </c>
      <c r="BO273" t="s">
        <v>74</v>
      </c>
      <c r="BP273" t="s">
        <v>74</v>
      </c>
      <c r="BQ273" t="s">
        <v>74</v>
      </c>
      <c r="BR273" t="s">
        <v>101</v>
      </c>
      <c r="BS273" t="s">
        <v>5435</v>
      </c>
      <c r="BT273" t="str">
        <f>HYPERLINK("https%3A%2F%2Fwww.webofscience.com%2Fwos%2Fwoscc%2Ffull-record%2FWOS:000309402600009","View Full Record in Web of Science")</f>
        <v>View Full Record in Web of Science</v>
      </c>
    </row>
    <row r="274" spans="1:72" x14ac:dyDescent="0.15">
      <c r="A274" t="s">
        <v>72</v>
      </c>
      <c r="B274" t="s">
        <v>5436</v>
      </c>
      <c r="C274" t="s">
        <v>74</v>
      </c>
      <c r="D274" t="s">
        <v>74</v>
      </c>
      <c r="E274" t="s">
        <v>74</v>
      </c>
      <c r="F274" t="s">
        <v>5437</v>
      </c>
      <c r="G274" t="s">
        <v>74</v>
      </c>
      <c r="H274" t="s">
        <v>74</v>
      </c>
      <c r="I274" t="s">
        <v>5438</v>
      </c>
      <c r="J274" t="s">
        <v>5097</v>
      </c>
      <c r="K274" t="s">
        <v>74</v>
      </c>
      <c r="L274" t="s">
        <v>74</v>
      </c>
      <c r="M274" t="s">
        <v>78</v>
      </c>
      <c r="N274" t="s">
        <v>2829</v>
      </c>
      <c r="O274" t="s">
        <v>74</v>
      </c>
      <c r="P274" t="s">
        <v>74</v>
      </c>
      <c r="Q274" t="s">
        <v>74</v>
      </c>
      <c r="R274" t="s">
        <v>74</v>
      </c>
      <c r="S274" t="s">
        <v>74</v>
      </c>
      <c r="T274" t="s">
        <v>74</v>
      </c>
      <c r="U274" t="s">
        <v>74</v>
      </c>
      <c r="V274" t="s">
        <v>74</v>
      </c>
      <c r="W274" t="s">
        <v>74</v>
      </c>
      <c r="X274" t="s">
        <v>74</v>
      </c>
      <c r="Y274" t="s">
        <v>74</v>
      </c>
      <c r="Z274" t="s">
        <v>74</v>
      </c>
      <c r="AA274" t="s">
        <v>74</v>
      </c>
      <c r="AB274" t="s">
        <v>74</v>
      </c>
      <c r="AC274" t="s">
        <v>74</v>
      </c>
      <c r="AD274" t="s">
        <v>74</v>
      </c>
      <c r="AE274" t="s">
        <v>74</v>
      </c>
      <c r="AF274" t="s">
        <v>74</v>
      </c>
      <c r="AG274">
        <v>0</v>
      </c>
      <c r="AH274">
        <v>0</v>
      </c>
      <c r="AI274">
        <v>0</v>
      </c>
      <c r="AJ274">
        <v>0</v>
      </c>
      <c r="AK274">
        <v>2</v>
      </c>
      <c r="AL274" t="s">
        <v>2780</v>
      </c>
      <c r="AM274" t="s">
        <v>371</v>
      </c>
      <c r="AN274" t="s">
        <v>2781</v>
      </c>
      <c r="AO274" t="s">
        <v>5108</v>
      </c>
      <c r="AP274" t="s">
        <v>74</v>
      </c>
      <c r="AQ274" t="s">
        <v>74</v>
      </c>
      <c r="AR274" t="s">
        <v>5110</v>
      </c>
      <c r="AS274" t="s">
        <v>5111</v>
      </c>
      <c r="AT274" t="s">
        <v>4154</v>
      </c>
      <c r="AU274">
        <v>2012</v>
      </c>
      <c r="AV274">
        <v>24</v>
      </c>
      <c r="AW274">
        <v>5</v>
      </c>
      <c r="AX274" t="s">
        <v>74</v>
      </c>
      <c r="AY274" t="s">
        <v>74</v>
      </c>
      <c r="AZ274" t="s">
        <v>74</v>
      </c>
      <c r="BA274" t="s">
        <v>74</v>
      </c>
      <c r="BB274">
        <v>433</v>
      </c>
      <c r="BC274">
        <v>433</v>
      </c>
      <c r="BD274" t="s">
        <v>74</v>
      </c>
      <c r="BE274" t="s">
        <v>5439</v>
      </c>
      <c r="BF274" t="str">
        <f>HYPERLINK("http://dx.doi.org/10.1017/S0954102012000661","http://dx.doi.org/10.1017/S0954102012000661")</f>
        <v>http://dx.doi.org/10.1017/S0954102012000661</v>
      </c>
      <c r="BG274" t="s">
        <v>74</v>
      </c>
      <c r="BH274" t="s">
        <v>74</v>
      </c>
      <c r="BI274">
        <v>1</v>
      </c>
      <c r="BJ274" t="s">
        <v>5113</v>
      </c>
      <c r="BK274" t="s">
        <v>98</v>
      </c>
      <c r="BL274" t="s">
        <v>5114</v>
      </c>
      <c r="BM274" t="s">
        <v>5115</v>
      </c>
      <c r="BN274" t="s">
        <v>74</v>
      </c>
      <c r="BO274" t="s">
        <v>607</v>
      </c>
      <c r="BP274" t="s">
        <v>74</v>
      </c>
      <c r="BQ274" t="s">
        <v>74</v>
      </c>
      <c r="BR274" t="s">
        <v>101</v>
      </c>
      <c r="BS274" t="s">
        <v>5440</v>
      </c>
      <c r="BT274" t="str">
        <f>HYPERLINK("https%3A%2F%2Fwww.webofscience.com%2Fwos%2Fwoscc%2Ffull-record%2FWOS:000308721400001","View Full Record in Web of Science")</f>
        <v>View Full Record in Web of Science</v>
      </c>
    </row>
    <row r="275" spans="1:72" x14ac:dyDescent="0.15">
      <c r="A275" t="s">
        <v>72</v>
      </c>
      <c r="B275" t="s">
        <v>5441</v>
      </c>
      <c r="C275" t="s">
        <v>74</v>
      </c>
      <c r="D275" t="s">
        <v>74</v>
      </c>
      <c r="E275" t="s">
        <v>74</v>
      </c>
      <c r="F275" t="s">
        <v>5442</v>
      </c>
      <c r="G275" t="s">
        <v>74</v>
      </c>
      <c r="H275" t="s">
        <v>74</v>
      </c>
      <c r="I275" t="s">
        <v>5443</v>
      </c>
      <c r="J275" t="s">
        <v>5097</v>
      </c>
      <c r="K275" t="s">
        <v>74</v>
      </c>
      <c r="L275" t="s">
        <v>74</v>
      </c>
      <c r="M275" t="s">
        <v>78</v>
      </c>
      <c r="N275" t="s">
        <v>79</v>
      </c>
      <c r="O275" t="s">
        <v>74</v>
      </c>
      <c r="P275" t="s">
        <v>74</v>
      </c>
      <c r="Q275" t="s">
        <v>74</v>
      </c>
      <c r="R275" t="s">
        <v>74</v>
      </c>
      <c r="S275" t="s">
        <v>74</v>
      </c>
      <c r="T275" t="s">
        <v>5444</v>
      </c>
      <c r="U275" t="s">
        <v>5445</v>
      </c>
      <c r="V275" t="s">
        <v>5446</v>
      </c>
      <c r="W275" t="s">
        <v>5447</v>
      </c>
      <c r="X275" t="s">
        <v>5448</v>
      </c>
      <c r="Y275" t="s">
        <v>5449</v>
      </c>
      <c r="Z275" t="s">
        <v>5450</v>
      </c>
      <c r="AA275" t="s">
        <v>5451</v>
      </c>
      <c r="AB275" t="s">
        <v>5452</v>
      </c>
      <c r="AC275" t="s">
        <v>5453</v>
      </c>
      <c r="AD275" t="s">
        <v>5453</v>
      </c>
      <c r="AE275" t="s">
        <v>5454</v>
      </c>
      <c r="AF275" t="s">
        <v>74</v>
      </c>
      <c r="AG275">
        <v>40</v>
      </c>
      <c r="AH275">
        <v>12</v>
      </c>
      <c r="AI275">
        <v>14</v>
      </c>
      <c r="AJ275">
        <v>0</v>
      </c>
      <c r="AK275">
        <v>17</v>
      </c>
      <c r="AL275" t="s">
        <v>2780</v>
      </c>
      <c r="AM275" t="s">
        <v>371</v>
      </c>
      <c r="AN275" t="s">
        <v>2781</v>
      </c>
      <c r="AO275" t="s">
        <v>5108</v>
      </c>
      <c r="AP275" t="s">
        <v>74</v>
      </c>
      <c r="AQ275" t="s">
        <v>74</v>
      </c>
      <c r="AR275" t="s">
        <v>5110</v>
      </c>
      <c r="AS275" t="s">
        <v>5111</v>
      </c>
      <c r="AT275" t="s">
        <v>4154</v>
      </c>
      <c r="AU275">
        <v>2012</v>
      </c>
      <c r="AV275">
        <v>24</v>
      </c>
      <c r="AW275">
        <v>5</v>
      </c>
      <c r="AX275" t="s">
        <v>74</v>
      </c>
      <c r="AY275" t="s">
        <v>74</v>
      </c>
      <c r="AZ275" t="s">
        <v>74</v>
      </c>
      <c r="BA275" t="s">
        <v>74</v>
      </c>
      <c r="BB275">
        <v>435</v>
      </c>
      <c r="BC275">
        <v>440</v>
      </c>
      <c r="BD275" t="s">
        <v>74</v>
      </c>
      <c r="BE275" t="s">
        <v>5455</v>
      </c>
      <c r="BF275" t="str">
        <f>HYPERLINK("http://dx.doi.org/10.1017/S0954102012000302","http://dx.doi.org/10.1017/S0954102012000302")</f>
        <v>http://dx.doi.org/10.1017/S0954102012000302</v>
      </c>
      <c r="BG275" t="s">
        <v>74</v>
      </c>
      <c r="BH275" t="s">
        <v>74</v>
      </c>
      <c r="BI275">
        <v>6</v>
      </c>
      <c r="BJ275" t="s">
        <v>5113</v>
      </c>
      <c r="BK275" t="s">
        <v>98</v>
      </c>
      <c r="BL275" t="s">
        <v>5114</v>
      </c>
      <c r="BM275" t="s">
        <v>5115</v>
      </c>
      <c r="BN275" t="s">
        <v>74</v>
      </c>
      <c r="BO275" t="s">
        <v>74</v>
      </c>
      <c r="BP275" t="s">
        <v>74</v>
      </c>
      <c r="BQ275" t="s">
        <v>74</v>
      </c>
      <c r="BR275" t="s">
        <v>101</v>
      </c>
      <c r="BS275" t="s">
        <v>5456</v>
      </c>
      <c r="BT275" t="str">
        <f>HYPERLINK("https%3A%2F%2Fwww.webofscience.com%2Fwos%2Fwoscc%2Ffull-record%2FWOS:000308721400002","View Full Record in Web of Science")</f>
        <v>View Full Record in Web of Science</v>
      </c>
    </row>
    <row r="276" spans="1:72" x14ac:dyDescent="0.15">
      <c r="A276" t="s">
        <v>72</v>
      </c>
      <c r="B276" t="s">
        <v>5457</v>
      </c>
      <c r="C276" t="s">
        <v>74</v>
      </c>
      <c r="D276" t="s">
        <v>74</v>
      </c>
      <c r="E276" t="s">
        <v>74</v>
      </c>
      <c r="F276" t="s">
        <v>5458</v>
      </c>
      <c r="G276" t="s">
        <v>74</v>
      </c>
      <c r="H276" t="s">
        <v>74</v>
      </c>
      <c r="I276" t="s">
        <v>5459</v>
      </c>
      <c r="J276" t="s">
        <v>5097</v>
      </c>
      <c r="K276" t="s">
        <v>74</v>
      </c>
      <c r="L276" t="s">
        <v>74</v>
      </c>
      <c r="M276" t="s">
        <v>78</v>
      </c>
      <c r="N276" t="s">
        <v>79</v>
      </c>
      <c r="O276" t="s">
        <v>74</v>
      </c>
      <c r="P276" t="s">
        <v>74</v>
      </c>
      <c r="Q276" t="s">
        <v>74</v>
      </c>
      <c r="R276" t="s">
        <v>74</v>
      </c>
      <c r="S276" t="s">
        <v>74</v>
      </c>
      <c r="T276" t="s">
        <v>5460</v>
      </c>
      <c r="U276" t="s">
        <v>5461</v>
      </c>
      <c r="V276" t="s">
        <v>5462</v>
      </c>
      <c r="W276" t="s">
        <v>5463</v>
      </c>
      <c r="X276" t="s">
        <v>5464</v>
      </c>
      <c r="Y276" t="s">
        <v>5465</v>
      </c>
      <c r="Z276" t="s">
        <v>5466</v>
      </c>
      <c r="AA276" t="s">
        <v>5467</v>
      </c>
      <c r="AB276" t="s">
        <v>5468</v>
      </c>
      <c r="AC276" t="s">
        <v>5469</v>
      </c>
      <c r="AD276" t="s">
        <v>5470</v>
      </c>
      <c r="AE276" t="s">
        <v>5471</v>
      </c>
      <c r="AF276" t="s">
        <v>74</v>
      </c>
      <c r="AG276">
        <v>37</v>
      </c>
      <c r="AH276">
        <v>15</v>
      </c>
      <c r="AI276">
        <v>18</v>
      </c>
      <c r="AJ276">
        <v>1</v>
      </c>
      <c r="AK276">
        <v>26</v>
      </c>
      <c r="AL276" t="s">
        <v>2780</v>
      </c>
      <c r="AM276" t="s">
        <v>371</v>
      </c>
      <c r="AN276" t="s">
        <v>2781</v>
      </c>
      <c r="AO276" t="s">
        <v>5108</v>
      </c>
      <c r="AP276" t="s">
        <v>5109</v>
      </c>
      <c r="AQ276" t="s">
        <v>74</v>
      </c>
      <c r="AR276" t="s">
        <v>5110</v>
      </c>
      <c r="AS276" t="s">
        <v>5111</v>
      </c>
      <c r="AT276" t="s">
        <v>4154</v>
      </c>
      <c r="AU276">
        <v>2012</v>
      </c>
      <c r="AV276">
        <v>24</v>
      </c>
      <c r="AW276">
        <v>5</v>
      </c>
      <c r="AX276" t="s">
        <v>74</v>
      </c>
      <c r="AY276" t="s">
        <v>74</v>
      </c>
      <c r="AZ276" t="s">
        <v>74</v>
      </c>
      <c r="BA276" t="s">
        <v>74</v>
      </c>
      <c r="BB276">
        <v>450</v>
      </c>
      <c r="BC276">
        <v>466</v>
      </c>
      <c r="BD276" t="s">
        <v>74</v>
      </c>
      <c r="BE276" t="s">
        <v>5472</v>
      </c>
      <c r="BF276" t="str">
        <f>HYPERLINK("http://dx.doi.org/10.1017/S0954102012000429","http://dx.doi.org/10.1017/S0954102012000429")</f>
        <v>http://dx.doi.org/10.1017/S0954102012000429</v>
      </c>
      <c r="BG276" t="s">
        <v>74</v>
      </c>
      <c r="BH276" t="s">
        <v>74</v>
      </c>
      <c r="BI276">
        <v>17</v>
      </c>
      <c r="BJ276" t="s">
        <v>5113</v>
      </c>
      <c r="BK276" t="s">
        <v>98</v>
      </c>
      <c r="BL276" t="s">
        <v>5114</v>
      </c>
      <c r="BM276" t="s">
        <v>5115</v>
      </c>
      <c r="BN276" t="s">
        <v>74</v>
      </c>
      <c r="BO276" t="s">
        <v>74</v>
      </c>
      <c r="BP276" t="s">
        <v>74</v>
      </c>
      <c r="BQ276" t="s">
        <v>74</v>
      </c>
      <c r="BR276" t="s">
        <v>101</v>
      </c>
      <c r="BS276" t="s">
        <v>5473</v>
      </c>
      <c r="BT276" t="str">
        <f>HYPERLINK("https%3A%2F%2Fwww.webofscience.com%2Fwos%2Fwoscc%2Ffull-record%2FWOS:000308721400004","View Full Record in Web of Science")</f>
        <v>View Full Record in Web of Science</v>
      </c>
    </row>
    <row r="277" spans="1:72" x14ac:dyDescent="0.15">
      <c r="A277" t="s">
        <v>72</v>
      </c>
      <c r="B277" t="s">
        <v>5474</v>
      </c>
      <c r="C277" t="s">
        <v>74</v>
      </c>
      <c r="D277" t="s">
        <v>74</v>
      </c>
      <c r="E277" t="s">
        <v>74</v>
      </c>
      <c r="F277" t="s">
        <v>5475</v>
      </c>
      <c r="G277" t="s">
        <v>74</v>
      </c>
      <c r="H277" t="s">
        <v>74</v>
      </c>
      <c r="I277" t="s">
        <v>5476</v>
      </c>
      <c r="J277" t="s">
        <v>4239</v>
      </c>
      <c r="K277" t="s">
        <v>74</v>
      </c>
      <c r="L277" t="s">
        <v>74</v>
      </c>
      <c r="M277" t="s">
        <v>78</v>
      </c>
      <c r="N277" t="s">
        <v>79</v>
      </c>
      <c r="O277" t="s">
        <v>74</v>
      </c>
      <c r="P277" t="s">
        <v>74</v>
      </c>
      <c r="Q277" t="s">
        <v>74</v>
      </c>
      <c r="R277" t="s">
        <v>74</v>
      </c>
      <c r="S277" t="s">
        <v>74</v>
      </c>
      <c r="T277" t="s">
        <v>5477</v>
      </c>
      <c r="U277" t="s">
        <v>5478</v>
      </c>
      <c r="V277" t="s">
        <v>5479</v>
      </c>
      <c r="W277" t="s">
        <v>5480</v>
      </c>
      <c r="X277" t="s">
        <v>5481</v>
      </c>
      <c r="Y277" t="s">
        <v>5482</v>
      </c>
      <c r="Z277" t="s">
        <v>5483</v>
      </c>
      <c r="AA277" t="s">
        <v>5484</v>
      </c>
      <c r="AB277" t="s">
        <v>5485</v>
      </c>
      <c r="AC277" t="s">
        <v>5486</v>
      </c>
      <c r="AD277" t="s">
        <v>5487</v>
      </c>
      <c r="AE277" t="s">
        <v>5488</v>
      </c>
      <c r="AF277" t="s">
        <v>74</v>
      </c>
      <c r="AG277">
        <v>29</v>
      </c>
      <c r="AH277">
        <v>55</v>
      </c>
      <c r="AI277">
        <v>64</v>
      </c>
      <c r="AJ277">
        <v>8</v>
      </c>
      <c r="AK277">
        <v>151</v>
      </c>
      <c r="AL277" t="s">
        <v>4249</v>
      </c>
      <c r="AM277" t="s">
        <v>4250</v>
      </c>
      <c r="AN277" t="s">
        <v>4251</v>
      </c>
      <c r="AO277" t="s">
        <v>4252</v>
      </c>
      <c r="AP277" t="s">
        <v>74</v>
      </c>
      <c r="AQ277" t="s">
        <v>74</v>
      </c>
      <c r="AR277" t="s">
        <v>4253</v>
      </c>
      <c r="AS277" t="s">
        <v>4254</v>
      </c>
      <c r="AT277" t="s">
        <v>4154</v>
      </c>
      <c r="AU277">
        <v>2012</v>
      </c>
      <c r="AV277">
        <v>3</v>
      </c>
      <c r="AW277">
        <v>4</v>
      </c>
      <c r="AX277" t="s">
        <v>74</v>
      </c>
      <c r="AY277" t="s">
        <v>74</v>
      </c>
      <c r="AZ277" t="s">
        <v>1019</v>
      </c>
      <c r="BA277" t="s">
        <v>74</v>
      </c>
      <c r="BB277">
        <v>450</v>
      </c>
      <c r="BC277">
        <v>455</v>
      </c>
      <c r="BD277" t="s">
        <v>74</v>
      </c>
      <c r="BE277" t="s">
        <v>5489</v>
      </c>
      <c r="BF277" t="str">
        <f>HYPERLINK("http://dx.doi.org/10.5094/APR.2012.051","http://dx.doi.org/10.5094/APR.2012.051")</f>
        <v>http://dx.doi.org/10.5094/APR.2012.051</v>
      </c>
      <c r="BG277" t="s">
        <v>74</v>
      </c>
      <c r="BH277" t="s">
        <v>74</v>
      </c>
      <c r="BI277">
        <v>6</v>
      </c>
      <c r="BJ277" t="s">
        <v>332</v>
      </c>
      <c r="BK277" t="s">
        <v>98</v>
      </c>
      <c r="BL277" t="s">
        <v>333</v>
      </c>
      <c r="BM277" t="s">
        <v>4256</v>
      </c>
      <c r="BN277" t="s">
        <v>74</v>
      </c>
      <c r="BO277" t="s">
        <v>5490</v>
      </c>
      <c r="BP277" t="s">
        <v>74</v>
      </c>
      <c r="BQ277" t="s">
        <v>74</v>
      </c>
      <c r="BR277" t="s">
        <v>101</v>
      </c>
      <c r="BS277" t="s">
        <v>5491</v>
      </c>
      <c r="BT277" t="str">
        <f>HYPERLINK("https%3A%2F%2Fwww.webofscience.com%2Fwos%2Fwoscc%2Ffull-record%2FWOS:000310516300013","View Full Record in Web of Science")</f>
        <v>View Full Record in Web of Science</v>
      </c>
    </row>
    <row r="278" spans="1:72" x14ac:dyDescent="0.15">
      <c r="A278" t="s">
        <v>72</v>
      </c>
      <c r="B278" t="s">
        <v>5492</v>
      </c>
      <c r="C278" t="s">
        <v>74</v>
      </c>
      <c r="D278" t="s">
        <v>74</v>
      </c>
      <c r="E278" t="s">
        <v>74</v>
      </c>
      <c r="F278" t="s">
        <v>5493</v>
      </c>
      <c r="G278" t="s">
        <v>74</v>
      </c>
      <c r="H278" t="s">
        <v>74</v>
      </c>
      <c r="I278" t="s">
        <v>5494</v>
      </c>
      <c r="J278" t="s">
        <v>5495</v>
      </c>
      <c r="K278" t="s">
        <v>74</v>
      </c>
      <c r="L278" t="s">
        <v>74</v>
      </c>
      <c r="M278" t="s">
        <v>78</v>
      </c>
      <c r="N278" t="s">
        <v>79</v>
      </c>
      <c r="O278" t="s">
        <v>74</v>
      </c>
      <c r="P278" t="s">
        <v>74</v>
      </c>
      <c r="Q278" t="s">
        <v>74</v>
      </c>
      <c r="R278" t="s">
        <v>74</v>
      </c>
      <c r="S278" t="s">
        <v>74</v>
      </c>
      <c r="T278" t="s">
        <v>4703</v>
      </c>
      <c r="U278" t="s">
        <v>5496</v>
      </c>
      <c r="V278" t="s">
        <v>5497</v>
      </c>
      <c r="W278" t="s">
        <v>5498</v>
      </c>
      <c r="X278" t="s">
        <v>5499</v>
      </c>
      <c r="Y278" t="s">
        <v>5500</v>
      </c>
      <c r="Z278" t="s">
        <v>5501</v>
      </c>
      <c r="AA278" t="s">
        <v>4710</v>
      </c>
      <c r="AB278" t="s">
        <v>5502</v>
      </c>
      <c r="AC278" t="s">
        <v>5503</v>
      </c>
      <c r="AD278" t="s">
        <v>5504</v>
      </c>
      <c r="AE278" t="s">
        <v>5505</v>
      </c>
      <c r="AF278" t="s">
        <v>74</v>
      </c>
      <c r="AG278">
        <v>88</v>
      </c>
      <c r="AH278">
        <v>20</v>
      </c>
      <c r="AI278">
        <v>21</v>
      </c>
      <c r="AJ278">
        <v>0</v>
      </c>
      <c r="AK278">
        <v>63</v>
      </c>
      <c r="AL278" t="s">
        <v>5506</v>
      </c>
      <c r="AM278" t="s">
        <v>5507</v>
      </c>
      <c r="AN278" t="s">
        <v>5508</v>
      </c>
      <c r="AO278" t="s">
        <v>5509</v>
      </c>
      <c r="AP278" t="s">
        <v>5510</v>
      </c>
      <c r="AQ278" t="s">
        <v>74</v>
      </c>
      <c r="AR278" t="s">
        <v>5511</v>
      </c>
      <c r="AS278" t="s">
        <v>5512</v>
      </c>
      <c r="AT278" t="s">
        <v>4154</v>
      </c>
      <c r="AU278">
        <v>2012</v>
      </c>
      <c r="AV278">
        <v>18</v>
      </c>
      <c r="AW278">
        <v>40</v>
      </c>
      <c r="AX278" t="s">
        <v>74</v>
      </c>
      <c r="AY278" t="s">
        <v>74</v>
      </c>
      <c r="AZ278" t="s">
        <v>74</v>
      </c>
      <c r="BA278" t="s">
        <v>74</v>
      </c>
      <c r="BB278">
        <v>12783</v>
      </c>
      <c r="BC278">
        <v>12793</v>
      </c>
      <c r="BD278" t="s">
        <v>74</v>
      </c>
      <c r="BE278" t="s">
        <v>5513</v>
      </c>
      <c r="BF278" t="str">
        <f>HYPERLINK("http://dx.doi.org/10.1002/chem.201202119","http://dx.doi.org/10.1002/chem.201202119")</f>
        <v>http://dx.doi.org/10.1002/chem.201202119</v>
      </c>
      <c r="BG278" t="s">
        <v>74</v>
      </c>
      <c r="BH278" t="s">
        <v>74</v>
      </c>
      <c r="BI278">
        <v>11</v>
      </c>
      <c r="BJ278" t="s">
        <v>5514</v>
      </c>
      <c r="BK278" t="s">
        <v>800</v>
      </c>
      <c r="BL278" t="s">
        <v>801</v>
      </c>
      <c r="BM278" t="s">
        <v>5515</v>
      </c>
      <c r="BN278">
        <v>22930587</v>
      </c>
      <c r="BO278" t="s">
        <v>607</v>
      </c>
      <c r="BP278" t="s">
        <v>74</v>
      </c>
      <c r="BQ278" t="s">
        <v>74</v>
      </c>
      <c r="BR278" t="s">
        <v>101</v>
      </c>
      <c r="BS278" t="s">
        <v>5516</v>
      </c>
      <c r="BT278" t="str">
        <f>HYPERLINK("https%3A%2F%2Fwww.webofscience.com%2Fwos%2Fwoscc%2Ffull-record%2FWOS:000309238400030","View Full Record in Web of Science")</f>
        <v>View Full Record in Web of Science</v>
      </c>
    </row>
    <row r="279" spans="1:72" x14ac:dyDescent="0.15">
      <c r="A279" t="s">
        <v>72</v>
      </c>
      <c r="B279" t="s">
        <v>5517</v>
      </c>
      <c r="C279" t="s">
        <v>74</v>
      </c>
      <c r="D279" t="s">
        <v>74</v>
      </c>
      <c r="E279" t="s">
        <v>74</v>
      </c>
      <c r="F279" t="s">
        <v>5518</v>
      </c>
      <c r="G279" t="s">
        <v>74</v>
      </c>
      <c r="H279" t="s">
        <v>74</v>
      </c>
      <c r="I279" t="s">
        <v>5519</v>
      </c>
      <c r="J279" t="s">
        <v>1709</v>
      </c>
      <c r="K279" t="s">
        <v>74</v>
      </c>
      <c r="L279" t="s">
        <v>74</v>
      </c>
      <c r="M279" t="s">
        <v>78</v>
      </c>
      <c r="N279" t="s">
        <v>79</v>
      </c>
      <c r="O279" t="s">
        <v>74</v>
      </c>
      <c r="P279" t="s">
        <v>74</v>
      </c>
      <c r="Q279" t="s">
        <v>74</v>
      </c>
      <c r="R279" t="s">
        <v>74</v>
      </c>
      <c r="S279" t="s">
        <v>74</v>
      </c>
      <c r="T279" t="s">
        <v>5520</v>
      </c>
      <c r="U279" t="s">
        <v>5521</v>
      </c>
      <c r="V279" t="s">
        <v>5522</v>
      </c>
      <c r="W279" t="s">
        <v>5523</v>
      </c>
      <c r="X279" t="s">
        <v>5524</v>
      </c>
      <c r="Y279" t="s">
        <v>5525</v>
      </c>
      <c r="Z279" t="s">
        <v>5526</v>
      </c>
      <c r="AA279" t="s">
        <v>5527</v>
      </c>
      <c r="AB279" t="s">
        <v>5528</v>
      </c>
      <c r="AC279" t="s">
        <v>5529</v>
      </c>
      <c r="AD279" t="s">
        <v>5530</v>
      </c>
      <c r="AE279" t="s">
        <v>5531</v>
      </c>
      <c r="AF279" t="s">
        <v>74</v>
      </c>
      <c r="AG279">
        <v>29</v>
      </c>
      <c r="AH279">
        <v>50</v>
      </c>
      <c r="AI279">
        <v>51</v>
      </c>
      <c r="AJ279">
        <v>0</v>
      </c>
      <c r="AK279">
        <v>12</v>
      </c>
      <c r="AL279" t="s">
        <v>935</v>
      </c>
      <c r="AM279" t="s">
        <v>371</v>
      </c>
      <c r="AN279" t="s">
        <v>936</v>
      </c>
      <c r="AO279" t="s">
        <v>1722</v>
      </c>
      <c r="AP279" t="s">
        <v>1723</v>
      </c>
      <c r="AQ279" t="s">
        <v>74</v>
      </c>
      <c r="AR279" t="s">
        <v>1724</v>
      </c>
      <c r="AS279" t="s">
        <v>1725</v>
      </c>
      <c r="AT279" t="s">
        <v>4154</v>
      </c>
      <c r="AU279">
        <v>2012</v>
      </c>
      <c r="AV279">
        <v>39</v>
      </c>
      <c r="AW279" t="s">
        <v>4814</v>
      </c>
      <c r="AX279" t="s">
        <v>74</v>
      </c>
      <c r="AY279" t="s">
        <v>74</v>
      </c>
      <c r="AZ279" t="s">
        <v>74</v>
      </c>
      <c r="BA279" t="s">
        <v>74</v>
      </c>
      <c r="BB279">
        <v>2013</v>
      </c>
      <c r="BC279">
        <v>2023</v>
      </c>
      <c r="BD279" t="s">
        <v>74</v>
      </c>
      <c r="BE279" t="s">
        <v>5532</v>
      </c>
      <c r="BF279" t="str">
        <f>HYPERLINK("http://dx.doi.org/10.1007/s00382-011-1285-9","http://dx.doi.org/10.1007/s00382-011-1285-9")</f>
        <v>http://dx.doi.org/10.1007/s00382-011-1285-9</v>
      </c>
      <c r="BG279" t="s">
        <v>74</v>
      </c>
      <c r="BH279" t="s">
        <v>74</v>
      </c>
      <c r="BI279">
        <v>11</v>
      </c>
      <c r="BJ279" t="s">
        <v>378</v>
      </c>
      <c r="BK279" t="s">
        <v>98</v>
      </c>
      <c r="BL279" t="s">
        <v>378</v>
      </c>
      <c r="BM279" t="s">
        <v>4816</v>
      </c>
      <c r="BN279" t="s">
        <v>74</v>
      </c>
      <c r="BO279" t="s">
        <v>74</v>
      </c>
      <c r="BP279" t="s">
        <v>74</v>
      </c>
      <c r="BQ279" t="s">
        <v>74</v>
      </c>
      <c r="BR279" t="s">
        <v>101</v>
      </c>
      <c r="BS279" t="s">
        <v>5533</v>
      </c>
      <c r="BT279" t="str">
        <f>HYPERLINK("https%3A%2F%2Fwww.webofscience.com%2Fwos%2Fwoscc%2Ffull-record%2FWOS:000309346100028","View Full Record in Web of Science")</f>
        <v>View Full Record in Web of Science</v>
      </c>
    </row>
    <row r="280" spans="1:72" x14ac:dyDescent="0.15">
      <c r="A280" t="s">
        <v>72</v>
      </c>
      <c r="B280" t="s">
        <v>5534</v>
      </c>
      <c r="C280" t="s">
        <v>74</v>
      </c>
      <c r="D280" t="s">
        <v>74</v>
      </c>
      <c r="E280" t="s">
        <v>74</v>
      </c>
      <c r="F280" t="s">
        <v>5535</v>
      </c>
      <c r="G280" t="s">
        <v>74</v>
      </c>
      <c r="H280" t="s">
        <v>74</v>
      </c>
      <c r="I280" t="s">
        <v>5536</v>
      </c>
      <c r="J280" t="s">
        <v>5537</v>
      </c>
      <c r="K280" t="s">
        <v>74</v>
      </c>
      <c r="L280" t="s">
        <v>74</v>
      </c>
      <c r="M280" t="s">
        <v>78</v>
      </c>
      <c r="N280" t="s">
        <v>79</v>
      </c>
      <c r="O280" t="s">
        <v>74</v>
      </c>
      <c r="P280" t="s">
        <v>74</v>
      </c>
      <c r="Q280" t="s">
        <v>74</v>
      </c>
      <c r="R280" t="s">
        <v>74</v>
      </c>
      <c r="S280" t="s">
        <v>74</v>
      </c>
      <c r="T280" t="s">
        <v>74</v>
      </c>
      <c r="U280" t="s">
        <v>5538</v>
      </c>
      <c r="V280" t="s">
        <v>5539</v>
      </c>
      <c r="W280" t="s">
        <v>5540</v>
      </c>
      <c r="X280" t="s">
        <v>5541</v>
      </c>
      <c r="Y280" t="s">
        <v>5542</v>
      </c>
      <c r="Z280" t="s">
        <v>5543</v>
      </c>
      <c r="AA280" t="s">
        <v>5544</v>
      </c>
      <c r="AB280" t="s">
        <v>5545</v>
      </c>
      <c r="AC280" t="s">
        <v>5546</v>
      </c>
      <c r="AD280" t="s">
        <v>5547</v>
      </c>
      <c r="AE280" t="s">
        <v>5548</v>
      </c>
      <c r="AF280" t="s">
        <v>74</v>
      </c>
      <c r="AG280">
        <v>31</v>
      </c>
      <c r="AH280">
        <v>14</v>
      </c>
      <c r="AI280">
        <v>14</v>
      </c>
      <c r="AJ280">
        <v>2</v>
      </c>
      <c r="AK280">
        <v>29</v>
      </c>
      <c r="AL280" t="s">
        <v>898</v>
      </c>
      <c r="AM280" t="s">
        <v>899</v>
      </c>
      <c r="AN280" t="s">
        <v>900</v>
      </c>
      <c r="AO280" t="s">
        <v>5549</v>
      </c>
      <c r="AP280" t="s">
        <v>74</v>
      </c>
      <c r="AQ280" t="s">
        <v>74</v>
      </c>
      <c r="AR280" t="s">
        <v>5550</v>
      </c>
      <c r="AS280" t="s">
        <v>5551</v>
      </c>
      <c r="AT280" t="s">
        <v>4154</v>
      </c>
      <c r="AU280">
        <v>2012</v>
      </c>
      <c r="AV280">
        <v>4</v>
      </c>
      <c r="AW280">
        <v>5</v>
      </c>
      <c r="AX280" t="s">
        <v>74</v>
      </c>
      <c r="AY280" t="s">
        <v>74</v>
      </c>
      <c r="AZ280" t="s">
        <v>74</v>
      </c>
      <c r="BA280" t="s">
        <v>74</v>
      </c>
      <c r="BB280">
        <v>479</v>
      </c>
      <c r="BC280">
        <v>483</v>
      </c>
      <c r="BD280" t="s">
        <v>74</v>
      </c>
      <c r="BE280" t="s">
        <v>5552</v>
      </c>
      <c r="BF280" t="str">
        <f>HYPERLINK("http://dx.doi.org/10.1111/j.1758-2229.2012.00346.x","http://dx.doi.org/10.1111/j.1758-2229.2012.00346.x")</f>
        <v>http://dx.doi.org/10.1111/j.1758-2229.2012.00346.x</v>
      </c>
      <c r="BG280" t="s">
        <v>74</v>
      </c>
      <c r="BH280" t="s">
        <v>74</v>
      </c>
      <c r="BI280">
        <v>5</v>
      </c>
      <c r="BJ280" t="s">
        <v>5553</v>
      </c>
      <c r="BK280" t="s">
        <v>98</v>
      </c>
      <c r="BL280" t="s">
        <v>5554</v>
      </c>
      <c r="BM280" t="s">
        <v>5555</v>
      </c>
      <c r="BN280">
        <v>23760892</v>
      </c>
      <c r="BO280" t="s">
        <v>74</v>
      </c>
      <c r="BP280" t="s">
        <v>74</v>
      </c>
      <c r="BQ280" t="s">
        <v>74</v>
      </c>
      <c r="BR280" t="s">
        <v>101</v>
      </c>
      <c r="BS280" t="s">
        <v>5556</v>
      </c>
      <c r="BT280" t="str">
        <f>HYPERLINK("https%3A%2F%2Fwww.webofscience.com%2Fwos%2Fwoscc%2Ffull-record%2FWOS:000309445800002","View Full Record in Web of Science")</f>
        <v>View Full Record in Web of Science</v>
      </c>
    </row>
    <row r="281" spans="1:72" x14ac:dyDescent="0.15">
      <c r="A281" t="s">
        <v>72</v>
      </c>
      <c r="B281" t="s">
        <v>5557</v>
      </c>
      <c r="C281" t="s">
        <v>74</v>
      </c>
      <c r="D281" t="s">
        <v>74</v>
      </c>
      <c r="E281" t="s">
        <v>74</v>
      </c>
      <c r="F281" t="s">
        <v>5558</v>
      </c>
      <c r="G281" t="s">
        <v>74</v>
      </c>
      <c r="H281" t="s">
        <v>74</v>
      </c>
      <c r="I281" t="s">
        <v>5559</v>
      </c>
      <c r="J281" t="s">
        <v>2370</v>
      </c>
      <c r="K281" t="s">
        <v>74</v>
      </c>
      <c r="L281" t="s">
        <v>74</v>
      </c>
      <c r="M281" t="s">
        <v>78</v>
      </c>
      <c r="N281" t="s">
        <v>79</v>
      </c>
      <c r="O281" t="s">
        <v>74</v>
      </c>
      <c r="P281" t="s">
        <v>74</v>
      </c>
      <c r="Q281" t="s">
        <v>74</v>
      </c>
      <c r="R281" t="s">
        <v>74</v>
      </c>
      <c r="S281" t="s">
        <v>74</v>
      </c>
      <c r="T281" t="s">
        <v>5560</v>
      </c>
      <c r="U281" t="s">
        <v>5561</v>
      </c>
      <c r="V281" t="s">
        <v>5562</v>
      </c>
      <c r="W281" t="s">
        <v>5563</v>
      </c>
      <c r="X281" t="s">
        <v>3864</v>
      </c>
      <c r="Y281" t="s">
        <v>5564</v>
      </c>
      <c r="Z281" t="s">
        <v>5565</v>
      </c>
      <c r="AA281" t="s">
        <v>5566</v>
      </c>
      <c r="AB281" t="s">
        <v>5567</v>
      </c>
      <c r="AC281" t="s">
        <v>74</v>
      </c>
      <c r="AD281" t="s">
        <v>74</v>
      </c>
      <c r="AE281" t="s">
        <v>74</v>
      </c>
      <c r="AF281" t="s">
        <v>74</v>
      </c>
      <c r="AG281">
        <v>31</v>
      </c>
      <c r="AH281">
        <v>11</v>
      </c>
      <c r="AI281">
        <v>15</v>
      </c>
      <c r="AJ281">
        <v>0</v>
      </c>
      <c r="AK281">
        <v>31</v>
      </c>
      <c r="AL281" t="s">
        <v>935</v>
      </c>
      <c r="AM281" t="s">
        <v>2382</v>
      </c>
      <c r="AN281" t="s">
        <v>2383</v>
      </c>
      <c r="AO281" t="s">
        <v>2384</v>
      </c>
      <c r="AP281" t="s">
        <v>74</v>
      </c>
      <c r="AQ281" t="s">
        <v>74</v>
      </c>
      <c r="AR281" t="s">
        <v>2385</v>
      </c>
      <c r="AS281" t="s">
        <v>2386</v>
      </c>
      <c r="AT281" t="s">
        <v>4154</v>
      </c>
      <c r="AU281">
        <v>2012</v>
      </c>
      <c r="AV281">
        <v>184</v>
      </c>
      <c r="AW281">
        <v>10</v>
      </c>
      <c r="AX281" t="s">
        <v>74</v>
      </c>
      <c r="AY281" t="s">
        <v>74</v>
      </c>
      <c r="AZ281" t="s">
        <v>74</v>
      </c>
      <c r="BA281" t="s">
        <v>74</v>
      </c>
      <c r="BB281">
        <v>5929</v>
      </c>
      <c r="BC281">
        <v>5943</v>
      </c>
      <c r="BD281" t="s">
        <v>74</v>
      </c>
      <c r="BE281" t="s">
        <v>5568</v>
      </c>
      <c r="BF281" t="str">
        <f>HYPERLINK("http://dx.doi.org/10.1007/s10661-011-2391-1","http://dx.doi.org/10.1007/s10661-011-2391-1")</f>
        <v>http://dx.doi.org/10.1007/s10661-011-2391-1</v>
      </c>
      <c r="BG281" t="s">
        <v>74</v>
      </c>
      <c r="BH281" t="s">
        <v>74</v>
      </c>
      <c r="BI281">
        <v>15</v>
      </c>
      <c r="BJ281" t="s">
        <v>332</v>
      </c>
      <c r="BK281" t="s">
        <v>98</v>
      </c>
      <c r="BL281" t="s">
        <v>333</v>
      </c>
      <c r="BM281" t="s">
        <v>5569</v>
      </c>
      <c r="BN281">
        <v>22037862</v>
      </c>
      <c r="BO281" t="s">
        <v>74</v>
      </c>
      <c r="BP281" t="s">
        <v>74</v>
      </c>
      <c r="BQ281" t="s">
        <v>74</v>
      </c>
      <c r="BR281" t="s">
        <v>101</v>
      </c>
      <c r="BS281" t="s">
        <v>5570</v>
      </c>
      <c r="BT281" t="str">
        <f>HYPERLINK("https%3A%2F%2Fwww.webofscience.com%2Fwos%2Fwoscc%2Ffull-record%2FWOS:000308439900008","View Full Record in Web of Science")</f>
        <v>View Full Record in Web of Science</v>
      </c>
    </row>
    <row r="282" spans="1:72" x14ac:dyDescent="0.15">
      <c r="A282" t="s">
        <v>72</v>
      </c>
      <c r="B282" t="s">
        <v>5571</v>
      </c>
      <c r="C282" t="s">
        <v>74</v>
      </c>
      <c r="D282" t="s">
        <v>74</v>
      </c>
      <c r="E282" t="s">
        <v>74</v>
      </c>
      <c r="F282" t="s">
        <v>5572</v>
      </c>
      <c r="G282" t="s">
        <v>74</v>
      </c>
      <c r="H282" t="s">
        <v>74</v>
      </c>
      <c r="I282" t="s">
        <v>5573</v>
      </c>
      <c r="J282" t="s">
        <v>5574</v>
      </c>
      <c r="K282" t="s">
        <v>74</v>
      </c>
      <c r="L282" t="s">
        <v>74</v>
      </c>
      <c r="M282" t="s">
        <v>78</v>
      </c>
      <c r="N282" t="s">
        <v>79</v>
      </c>
      <c r="O282" t="s">
        <v>74</v>
      </c>
      <c r="P282" t="s">
        <v>74</v>
      </c>
      <c r="Q282" t="s">
        <v>74</v>
      </c>
      <c r="R282" t="s">
        <v>74</v>
      </c>
      <c r="S282" t="s">
        <v>74</v>
      </c>
      <c r="T282" t="s">
        <v>5575</v>
      </c>
      <c r="U282" t="s">
        <v>5576</v>
      </c>
      <c r="V282" t="s">
        <v>5577</v>
      </c>
      <c r="W282" t="s">
        <v>5578</v>
      </c>
      <c r="X282" t="s">
        <v>5579</v>
      </c>
      <c r="Y282" t="s">
        <v>5580</v>
      </c>
      <c r="Z282" t="s">
        <v>5581</v>
      </c>
      <c r="AA282" t="s">
        <v>5582</v>
      </c>
      <c r="AB282" t="s">
        <v>5583</v>
      </c>
      <c r="AC282" t="s">
        <v>5584</v>
      </c>
      <c r="AD282" t="s">
        <v>5585</v>
      </c>
      <c r="AE282" t="s">
        <v>5586</v>
      </c>
      <c r="AF282" t="s">
        <v>74</v>
      </c>
      <c r="AG282">
        <v>55</v>
      </c>
      <c r="AH282">
        <v>18</v>
      </c>
      <c r="AI282">
        <v>21</v>
      </c>
      <c r="AJ282">
        <v>2</v>
      </c>
      <c r="AK282">
        <v>63</v>
      </c>
      <c r="AL282" t="s">
        <v>898</v>
      </c>
      <c r="AM282" t="s">
        <v>899</v>
      </c>
      <c r="AN282" t="s">
        <v>900</v>
      </c>
      <c r="AO282" t="s">
        <v>5587</v>
      </c>
      <c r="AP282" t="s">
        <v>5588</v>
      </c>
      <c r="AQ282" t="s">
        <v>74</v>
      </c>
      <c r="AR282" t="s">
        <v>5589</v>
      </c>
      <c r="AS282" t="s">
        <v>5590</v>
      </c>
      <c r="AT282" t="s">
        <v>4154</v>
      </c>
      <c r="AU282">
        <v>2012</v>
      </c>
      <c r="AV282">
        <v>26</v>
      </c>
      <c r="AW282">
        <v>5</v>
      </c>
      <c r="AX282" t="s">
        <v>74</v>
      </c>
      <c r="AY282" t="s">
        <v>74</v>
      </c>
      <c r="AZ282" t="s">
        <v>74</v>
      </c>
      <c r="BA282" t="s">
        <v>74</v>
      </c>
      <c r="BB282">
        <v>1001</v>
      </c>
      <c r="BC282">
        <v>1006</v>
      </c>
      <c r="BD282" t="s">
        <v>74</v>
      </c>
      <c r="BE282" t="s">
        <v>5591</v>
      </c>
      <c r="BF282" t="str">
        <f>HYPERLINK("http://dx.doi.org/10.1111/j.1365-2435.2012.02048.x","http://dx.doi.org/10.1111/j.1365-2435.2012.02048.x")</f>
        <v>http://dx.doi.org/10.1111/j.1365-2435.2012.02048.x</v>
      </c>
      <c r="BG282" t="s">
        <v>74</v>
      </c>
      <c r="BH282" t="s">
        <v>74</v>
      </c>
      <c r="BI282">
        <v>6</v>
      </c>
      <c r="BJ282" t="s">
        <v>515</v>
      </c>
      <c r="BK282" t="s">
        <v>98</v>
      </c>
      <c r="BL282" t="s">
        <v>333</v>
      </c>
      <c r="BM282" t="s">
        <v>5592</v>
      </c>
      <c r="BN282" t="s">
        <v>74</v>
      </c>
      <c r="BO282" t="s">
        <v>607</v>
      </c>
      <c r="BP282" t="s">
        <v>74</v>
      </c>
      <c r="BQ282" t="s">
        <v>74</v>
      </c>
      <c r="BR282" t="s">
        <v>101</v>
      </c>
      <c r="BS282" t="s">
        <v>5593</v>
      </c>
      <c r="BT282" t="str">
        <f>HYPERLINK("https%3A%2F%2Fwww.webofscience.com%2Fwos%2Fwoscc%2Ffull-record%2FWOS:000309391500002","View Full Record in Web of Science")</f>
        <v>View Full Record in Web of Science</v>
      </c>
    </row>
    <row r="283" spans="1:72" x14ac:dyDescent="0.15">
      <c r="A283" t="s">
        <v>72</v>
      </c>
      <c r="B283" t="s">
        <v>5594</v>
      </c>
      <c r="C283" t="s">
        <v>74</v>
      </c>
      <c r="D283" t="s">
        <v>74</v>
      </c>
      <c r="E283" t="s">
        <v>74</v>
      </c>
      <c r="F283" t="s">
        <v>5595</v>
      </c>
      <c r="G283" t="s">
        <v>74</v>
      </c>
      <c r="H283" t="s">
        <v>74</v>
      </c>
      <c r="I283" t="s">
        <v>5596</v>
      </c>
      <c r="J283" t="s">
        <v>2580</v>
      </c>
      <c r="K283" t="s">
        <v>74</v>
      </c>
      <c r="L283" t="s">
        <v>74</v>
      </c>
      <c r="M283" t="s">
        <v>78</v>
      </c>
      <c r="N283" t="s">
        <v>79</v>
      </c>
      <c r="O283" t="s">
        <v>74</v>
      </c>
      <c r="P283" t="s">
        <v>74</v>
      </c>
      <c r="Q283" t="s">
        <v>74</v>
      </c>
      <c r="R283" t="s">
        <v>74</v>
      </c>
      <c r="S283" t="s">
        <v>74</v>
      </c>
      <c r="T283" t="s">
        <v>74</v>
      </c>
      <c r="U283" t="s">
        <v>5597</v>
      </c>
      <c r="V283" t="s">
        <v>5598</v>
      </c>
      <c r="W283" t="s">
        <v>5599</v>
      </c>
      <c r="X283" t="s">
        <v>5600</v>
      </c>
      <c r="Y283" t="s">
        <v>5601</v>
      </c>
      <c r="Z283" t="s">
        <v>5602</v>
      </c>
      <c r="AA283" t="s">
        <v>5603</v>
      </c>
      <c r="AB283" t="s">
        <v>5604</v>
      </c>
      <c r="AC283" t="s">
        <v>5605</v>
      </c>
      <c r="AD283" t="s">
        <v>5606</v>
      </c>
      <c r="AE283" t="s">
        <v>5607</v>
      </c>
      <c r="AF283" t="s">
        <v>74</v>
      </c>
      <c r="AG283">
        <v>100</v>
      </c>
      <c r="AH283">
        <v>99</v>
      </c>
      <c r="AI283">
        <v>109</v>
      </c>
      <c r="AJ283">
        <v>1</v>
      </c>
      <c r="AK283">
        <v>28</v>
      </c>
      <c r="AL283" t="s">
        <v>89</v>
      </c>
      <c r="AM283" t="s">
        <v>90</v>
      </c>
      <c r="AN283" t="s">
        <v>91</v>
      </c>
      <c r="AO283" t="s">
        <v>2592</v>
      </c>
      <c r="AP283" t="s">
        <v>2593</v>
      </c>
      <c r="AQ283" t="s">
        <v>74</v>
      </c>
      <c r="AR283" t="s">
        <v>2594</v>
      </c>
      <c r="AS283" t="s">
        <v>2595</v>
      </c>
      <c r="AT283" t="s">
        <v>4174</v>
      </c>
      <c r="AU283">
        <v>2012</v>
      </c>
      <c r="AV283">
        <v>94</v>
      </c>
      <c r="AW283" t="s">
        <v>74</v>
      </c>
      <c r="AX283" t="s">
        <v>74</v>
      </c>
      <c r="AY283" t="s">
        <v>74</v>
      </c>
      <c r="AZ283" t="s">
        <v>74</v>
      </c>
      <c r="BA283" t="s">
        <v>74</v>
      </c>
      <c r="BB283">
        <v>146</v>
      </c>
      <c r="BC283">
        <v>163</v>
      </c>
      <c r="BD283" t="s">
        <v>74</v>
      </c>
      <c r="BE283" t="s">
        <v>5608</v>
      </c>
      <c r="BF283" t="str">
        <f>HYPERLINK("http://dx.doi.org/10.1016/j.gca.2012.06.025","http://dx.doi.org/10.1016/j.gca.2012.06.025")</f>
        <v>http://dx.doi.org/10.1016/j.gca.2012.06.025</v>
      </c>
      <c r="BG283" t="s">
        <v>74</v>
      </c>
      <c r="BH283" t="s">
        <v>74</v>
      </c>
      <c r="BI283">
        <v>18</v>
      </c>
      <c r="BJ283" t="s">
        <v>241</v>
      </c>
      <c r="BK283" t="s">
        <v>98</v>
      </c>
      <c r="BL283" t="s">
        <v>241</v>
      </c>
      <c r="BM283" t="s">
        <v>4234</v>
      </c>
      <c r="BN283" t="s">
        <v>74</v>
      </c>
      <c r="BO283" t="s">
        <v>74</v>
      </c>
      <c r="BP283" t="s">
        <v>74</v>
      </c>
      <c r="BQ283" t="s">
        <v>74</v>
      </c>
      <c r="BR283" t="s">
        <v>101</v>
      </c>
      <c r="BS283" t="s">
        <v>5609</v>
      </c>
      <c r="BT283" t="str">
        <f>HYPERLINK("https%3A%2F%2Fwww.webofscience.com%2Fwos%2Fwoscc%2Ffull-record%2FWOS:000309509400010","View Full Record in Web of Science")</f>
        <v>View Full Record in Web of Science</v>
      </c>
    </row>
    <row r="284" spans="1:72" x14ac:dyDescent="0.15">
      <c r="A284" t="s">
        <v>72</v>
      </c>
      <c r="B284" t="s">
        <v>5610</v>
      </c>
      <c r="C284" t="s">
        <v>74</v>
      </c>
      <c r="D284" t="s">
        <v>74</v>
      </c>
      <c r="E284" t="s">
        <v>74</v>
      </c>
      <c r="F284" t="s">
        <v>5611</v>
      </c>
      <c r="G284" t="s">
        <v>74</v>
      </c>
      <c r="H284" t="s">
        <v>74</v>
      </c>
      <c r="I284" t="s">
        <v>5612</v>
      </c>
      <c r="J284" t="s">
        <v>4280</v>
      </c>
      <c r="K284" t="s">
        <v>74</v>
      </c>
      <c r="L284" t="s">
        <v>74</v>
      </c>
      <c r="M284" t="s">
        <v>78</v>
      </c>
      <c r="N284" t="s">
        <v>2829</v>
      </c>
      <c r="O284" t="s">
        <v>74</v>
      </c>
      <c r="P284" t="s">
        <v>74</v>
      </c>
      <c r="Q284" t="s">
        <v>74</v>
      </c>
      <c r="R284" t="s">
        <v>74</v>
      </c>
      <c r="S284" t="s">
        <v>74</v>
      </c>
      <c r="T284" t="s">
        <v>74</v>
      </c>
      <c r="U284" t="s">
        <v>5613</v>
      </c>
      <c r="V284" t="s">
        <v>74</v>
      </c>
      <c r="W284" t="s">
        <v>5614</v>
      </c>
      <c r="X284" t="s">
        <v>5615</v>
      </c>
      <c r="Y284" t="s">
        <v>5616</v>
      </c>
      <c r="Z284" t="s">
        <v>4287</v>
      </c>
      <c r="AA284" t="s">
        <v>5617</v>
      </c>
      <c r="AB284" t="s">
        <v>5618</v>
      </c>
      <c r="AC284" t="s">
        <v>74</v>
      </c>
      <c r="AD284" t="s">
        <v>74</v>
      </c>
      <c r="AE284" t="s">
        <v>74</v>
      </c>
      <c r="AF284" t="s">
        <v>74</v>
      </c>
      <c r="AG284">
        <v>74</v>
      </c>
      <c r="AH284">
        <v>1</v>
      </c>
      <c r="AI284">
        <v>3</v>
      </c>
      <c r="AJ284">
        <v>3</v>
      </c>
      <c r="AK284">
        <v>18</v>
      </c>
      <c r="AL284" t="s">
        <v>188</v>
      </c>
      <c r="AM284" t="s">
        <v>189</v>
      </c>
      <c r="AN284" t="s">
        <v>190</v>
      </c>
      <c r="AO284" t="s">
        <v>4293</v>
      </c>
      <c r="AP284" t="s">
        <v>4294</v>
      </c>
      <c r="AQ284" t="s">
        <v>74</v>
      </c>
      <c r="AR284" t="s">
        <v>4295</v>
      </c>
      <c r="AS284" t="s">
        <v>4296</v>
      </c>
      <c r="AT284" t="s">
        <v>4297</v>
      </c>
      <c r="AU284">
        <v>2012</v>
      </c>
      <c r="AV284" t="s">
        <v>4298</v>
      </c>
      <c r="AW284" t="s">
        <v>74</v>
      </c>
      <c r="AX284" t="s">
        <v>74</v>
      </c>
      <c r="AY284" t="s">
        <v>74</v>
      </c>
      <c r="AZ284" t="s">
        <v>1019</v>
      </c>
      <c r="BA284" t="s">
        <v>74</v>
      </c>
      <c r="BB284">
        <v>1</v>
      </c>
      <c r="BC284">
        <v>8</v>
      </c>
      <c r="BD284" t="s">
        <v>74</v>
      </c>
      <c r="BE284" t="s">
        <v>5619</v>
      </c>
      <c r="BF284" t="str">
        <f>HYPERLINK("http://dx.doi.org/10.1016/j.gloplacha.2012.05.007","http://dx.doi.org/10.1016/j.gloplacha.2012.05.007")</f>
        <v>http://dx.doi.org/10.1016/j.gloplacha.2012.05.007</v>
      </c>
      <c r="BG284" t="s">
        <v>74</v>
      </c>
      <c r="BH284" t="s">
        <v>74</v>
      </c>
      <c r="BI284">
        <v>8</v>
      </c>
      <c r="BJ284" t="s">
        <v>97</v>
      </c>
      <c r="BK284" t="s">
        <v>98</v>
      </c>
      <c r="BL284" t="s">
        <v>99</v>
      </c>
      <c r="BM284" t="s">
        <v>4300</v>
      </c>
      <c r="BN284" t="s">
        <v>74</v>
      </c>
      <c r="BO284" t="s">
        <v>74</v>
      </c>
      <c r="BP284" t="s">
        <v>74</v>
      </c>
      <c r="BQ284" t="s">
        <v>74</v>
      </c>
      <c r="BR284" t="s">
        <v>101</v>
      </c>
      <c r="BS284" t="s">
        <v>5620</v>
      </c>
      <c r="BT284" t="str">
        <f>HYPERLINK("https%3A%2F%2Fwww.webofscience.com%2Fwos%2Fwoscc%2Ffull-record%2FWOS:000309896800001","View Full Record in Web of Science")</f>
        <v>View Full Record in Web of Science</v>
      </c>
    </row>
    <row r="285" spans="1:72" x14ac:dyDescent="0.15">
      <c r="A285" t="s">
        <v>72</v>
      </c>
      <c r="B285" t="s">
        <v>5621</v>
      </c>
      <c r="C285" t="s">
        <v>74</v>
      </c>
      <c r="D285" t="s">
        <v>74</v>
      </c>
      <c r="E285" t="s">
        <v>74</v>
      </c>
      <c r="F285" t="s">
        <v>5622</v>
      </c>
      <c r="G285" t="s">
        <v>74</v>
      </c>
      <c r="H285" t="s">
        <v>74</v>
      </c>
      <c r="I285" t="s">
        <v>5623</v>
      </c>
      <c r="J285" t="s">
        <v>2648</v>
      </c>
      <c r="K285" t="s">
        <v>74</v>
      </c>
      <c r="L285" t="s">
        <v>74</v>
      </c>
      <c r="M285" t="s">
        <v>78</v>
      </c>
      <c r="N285" t="s">
        <v>79</v>
      </c>
      <c r="O285" t="s">
        <v>74</v>
      </c>
      <c r="P285" t="s">
        <v>74</v>
      </c>
      <c r="Q285" t="s">
        <v>74</v>
      </c>
      <c r="R285" t="s">
        <v>74</v>
      </c>
      <c r="S285" t="s">
        <v>74</v>
      </c>
      <c r="T285" t="s">
        <v>5624</v>
      </c>
      <c r="U285" t="s">
        <v>5625</v>
      </c>
      <c r="V285" t="s">
        <v>5626</v>
      </c>
      <c r="W285" t="s">
        <v>5627</v>
      </c>
      <c r="X285" t="s">
        <v>5628</v>
      </c>
      <c r="Y285" t="s">
        <v>5629</v>
      </c>
      <c r="Z285" t="s">
        <v>5630</v>
      </c>
      <c r="AA285" t="s">
        <v>5631</v>
      </c>
      <c r="AB285" t="s">
        <v>5632</v>
      </c>
      <c r="AC285" t="s">
        <v>5633</v>
      </c>
      <c r="AD285" t="s">
        <v>5634</v>
      </c>
      <c r="AE285" t="s">
        <v>5635</v>
      </c>
      <c r="AF285" t="s">
        <v>74</v>
      </c>
      <c r="AG285">
        <v>62</v>
      </c>
      <c r="AH285">
        <v>105</v>
      </c>
      <c r="AI285">
        <v>111</v>
      </c>
      <c r="AJ285">
        <v>0</v>
      </c>
      <c r="AK285">
        <v>173</v>
      </c>
      <c r="AL285" t="s">
        <v>916</v>
      </c>
      <c r="AM285" t="s">
        <v>899</v>
      </c>
      <c r="AN285" t="s">
        <v>900</v>
      </c>
      <c r="AO285" t="s">
        <v>2661</v>
      </c>
      <c r="AP285" t="s">
        <v>74</v>
      </c>
      <c r="AQ285" t="s">
        <v>74</v>
      </c>
      <c r="AR285" t="s">
        <v>2663</v>
      </c>
      <c r="AS285" t="s">
        <v>2664</v>
      </c>
      <c r="AT285" t="s">
        <v>4154</v>
      </c>
      <c r="AU285">
        <v>2012</v>
      </c>
      <c r="AV285">
        <v>18</v>
      </c>
      <c r="AW285">
        <v>10</v>
      </c>
      <c r="AX285" t="s">
        <v>74</v>
      </c>
      <c r="AY285" t="s">
        <v>74</v>
      </c>
      <c r="AZ285" t="s">
        <v>74</v>
      </c>
      <c r="BA285" t="s">
        <v>74</v>
      </c>
      <c r="BB285">
        <v>3026</v>
      </c>
      <c r="BC285">
        <v>3038</v>
      </c>
      <c r="BD285" t="s">
        <v>74</v>
      </c>
      <c r="BE285" t="s">
        <v>5636</v>
      </c>
      <c r="BF285" t="str">
        <f>HYPERLINK("http://dx.doi.org/10.1111/j.1365-2486.2012.02755.x","http://dx.doi.org/10.1111/j.1365-2486.2012.02755.x")</f>
        <v>http://dx.doi.org/10.1111/j.1365-2486.2012.02755.x</v>
      </c>
      <c r="BG285" t="s">
        <v>74</v>
      </c>
      <c r="BH285" t="s">
        <v>74</v>
      </c>
      <c r="BI285">
        <v>13</v>
      </c>
      <c r="BJ285" t="s">
        <v>2203</v>
      </c>
      <c r="BK285" t="s">
        <v>98</v>
      </c>
      <c r="BL285" t="s">
        <v>1880</v>
      </c>
      <c r="BM285" t="s">
        <v>5637</v>
      </c>
      <c r="BN285">
        <v>28741833</v>
      </c>
      <c r="BO285" t="s">
        <v>74</v>
      </c>
      <c r="BP285" t="s">
        <v>74</v>
      </c>
      <c r="BQ285" t="s">
        <v>74</v>
      </c>
      <c r="BR285" t="s">
        <v>101</v>
      </c>
      <c r="BS285" t="s">
        <v>5638</v>
      </c>
      <c r="BT285" t="str">
        <f>HYPERLINK("https%3A%2F%2Fwww.webofscience.com%2Fwos%2Fwoscc%2Ffull-record%2FWOS:000308443800005","View Full Record in Web of Science")</f>
        <v>View Full Record in Web of Science</v>
      </c>
    </row>
    <row r="286" spans="1:72" x14ac:dyDescent="0.15">
      <c r="A286" t="s">
        <v>72</v>
      </c>
      <c r="B286" t="s">
        <v>5639</v>
      </c>
      <c r="C286" t="s">
        <v>74</v>
      </c>
      <c r="D286" t="s">
        <v>74</v>
      </c>
      <c r="E286" t="s">
        <v>74</v>
      </c>
      <c r="F286" t="s">
        <v>5640</v>
      </c>
      <c r="G286" t="s">
        <v>74</v>
      </c>
      <c r="H286" t="s">
        <v>74</v>
      </c>
      <c r="I286" t="s">
        <v>5641</v>
      </c>
      <c r="J286" t="s">
        <v>2648</v>
      </c>
      <c r="K286" t="s">
        <v>74</v>
      </c>
      <c r="L286" t="s">
        <v>74</v>
      </c>
      <c r="M286" t="s">
        <v>78</v>
      </c>
      <c r="N286" t="s">
        <v>79</v>
      </c>
      <c r="O286" t="s">
        <v>74</v>
      </c>
      <c r="P286" t="s">
        <v>74</v>
      </c>
      <c r="Q286" t="s">
        <v>74</v>
      </c>
      <c r="R286" t="s">
        <v>74</v>
      </c>
      <c r="S286" t="s">
        <v>74</v>
      </c>
      <c r="T286" t="s">
        <v>5642</v>
      </c>
      <c r="U286" t="s">
        <v>5643</v>
      </c>
      <c r="V286" t="s">
        <v>5644</v>
      </c>
      <c r="W286" t="s">
        <v>5645</v>
      </c>
      <c r="X286" t="s">
        <v>5646</v>
      </c>
      <c r="Y286" t="s">
        <v>5647</v>
      </c>
      <c r="Z286" t="s">
        <v>5648</v>
      </c>
      <c r="AA286" t="s">
        <v>5649</v>
      </c>
      <c r="AB286" t="s">
        <v>5650</v>
      </c>
      <c r="AC286" t="s">
        <v>5651</v>
      </c>
      <c r="AD286" t="s">
        <v>5652</v>
      </c>
      <c r="AE286" t="s">
        <v>5653</v>
      </c>
      <c r="AF286" t="s">
        <v>74</v>
      </c>
      <c r="AG286">
        <v>62</v>
      </c>
      <c r="AH286">
        <v>52</v>
      </c>
      <c r="AI286">
        <v>55</v>
      </c>
      <c r="AJ286">
        <v>1</v>
      </c>
      <c r="AK286">
        <v>67</v>
      </c>
      <c r="AL286" t="s">
        <v>898</v>
      </c>
      <c r="AM286" t="s">
        <v>899</v>
      </c>
      <c r="AN286" t="s">
        <v>900</v>
      </c>
      <c r="AO286" t="s">
        <v>2661</v>
      </c>
      <c r="AP286" t="s">
        <v>2662</v>
      </c>
      <c r="AQ286" t="s">
        <v>74</v>
      </c>
      <c r="AR286" t="s">
        <v>2663</v>
      </c>
      <c r="AS286" t="s">
        <v>2664</v>
      </c>
      <c r="AT286" t="s">
        <v>4154</v>
      </c>
      <c r="AU286">
        <v>2012</v>
      </c>
      <c r="AV286">
        <v>18</v>
      </c>
      <c r="AW286">
        <v>10</v>
      </c>
      <c r="AX286" t="s">
        <v>74</v>
      </c>
      <c r="AY286" t="s">
        <v>74</v>
      </c>
      <c r="AZ286" t="s">
        <v>74</v>
      </c>
      <c r="BA286" t="s">
        <v>74</v>
      </c>
      <c r="BB286">
        <v>3112</v>
      </c>
      <c r="BC286">
        <v>3124</v>
      </c>
      <c r="BD286" t="s">
        <v>74</v>
      </c>
      <c r="BE286" t="s">
        <v>5654</v>
      </c>
      <c r="BF286" t="str">
        <f>HYPERLINK("http://dx.doi.org/10.1111/j.1365-2486.2012.02750.x","http://dx.doi.org/10.1111/j.1365-2486.2012.02750.x")</f>
        <v>http://dx.doi.org/10.1111/j.1365-2486.2012.02750.x</v>
      </c>
      <c r="BG286" t="s">
        <v>74</v>
      </c>
      <c r="BH286" t="s">
        <v>74</v>
      </c>
      <c r="BI286">
        <v>13</v>
      </c>
      <c r="BJ286" t="s">
        <v>2203</v>
      </c>
      <c r="BK286" t="s">
        <v>98</v>
      </c>
      <c r="BL286" t="s">
        <v>1880</v>
      </c>
      <c r="BM286" t="s">
        <v>5637</v>
      </c>
      <c r="BN286">
        <v>28741814</v>
      </c>
      <c r="BO286" t="s">
        <v>74</v>
      </c>
      <c r="BP286" t="s">
        <v>74</v>
      </c>
      <c r="BQ286" t="s">
        <v>74</v>
      </c>
      <c r="BR286" t="s">
        <v>101</v>
      </c>
      <c r="BS286" t="s">
        <v>5655</v>
      </c>
      <c r="BT286" t="str">
        <f>HYPERLINK("https%3A%2F%2Fwww.webofscience.com%2Fwos%2Fwoscc%2Ffull-record%2FWOS:000308443800012","View Full Record in Web of Science")</f>
        <v>View Full Record in Web of Science</v>
      </c>
    </row>
    <row r="287" spans="1:72" x14ac:dyDescent="0.15">
      <c r="A287" t="s">
        <v>72</v>
      </c>
      <c r="B287" t="s">
        <v>5656</v>
      </c>
      <c r="C287" t="s">
        <v>74</v>
      </c>
      <c r="D287" t="s">
        <v>74</v>
      </c>
      <c r="E287" t="s">
        <v>74</v>
      </c>
      <c r="F287" t="s">
        <v>5657</v>
      </c>
      <c r="G287" t="s">
        <v>74</v>
      </c>
      <c r="H287" t="s">
        <v>74</v>
      </c>
      <c r="I287" t="s">
        <v>5658</v>
      </c>
      <c r="J287" t="s">
        <v>5659</v>
      </c>
      <c r="K287" t="s">
        <v>74</v>
      </c>
      <c r="L287" t="s">
        <v>74</v>
      </c>
      <c r="M287" t="s">
        <v>78</v>
      </c>
      <c r="N287" t="s">
        <v>79</v>
      </c>
      <c r="O287" t="s">
        <v>74</v>
      </c>
      <c r="P287" t="s">
        <v>74</v>
      </c>
      <c r="Q287" t="s">
        <v>74</v>
      </c>
      <c r="R287" t="s">
        <v>74</v>
      </c>
      <c r="S287" t="s">
        <v>74</v>
      </c>
      <c r="T287" t="s">
        <v>5660</v>
      </c>
      <c r="U287" t="s">
        <v>5661</v>
      </c>
      <c r="V287" t="s">
        <v>5662</v>
      </c>
      <c r="W287" t="s">
        <v>5663</v>
      </c>
      <c r="X287" t="s">
        <v>5664</v>
      </c>
      <c r="Y287" t="s">
        <v>5665</v>
      </c>
      <c r="Z287" t="s">
        <v>5666</v>
      </c>
      <c r="AA287" t="s">
        <v>74</v>
      </c>
      <c r="AB287" t="s">
        <v>5667</v>
      </c>
      <c r="AC287" t="s">
        <v>5668</v>
      </c>
      <c r="AD287" t="s">
        <v>5669</v>
      </c>
      <c r="AE287" t="s">
        <v>5670</v>
      </c>
      <c r="AF287" t="s">
        <v>74</v>
      </c>
      <c r="AG287">
        <v>36</v>
      </c>
      <c r="AH287">
        <v>9</v>
      </c>
      <c r="AI287">
        <v>9</v>
      </c>
      <c r="AJ287">
        <v>0</v>
      </c>
      <c r="AK287">
        <v>39</v>
      </c>
      <c r="AL287" t="s">
        <v>5018</v>
      </c>
      <c r="AM287" t="s">
        <v>434</v>
      </c>
      <c r="AN287" t="s">
        <v>5019</v>
      </c>
      <c r="AO287" t="s">
        <v>5671</v>
      </c>
      <c r="AP287" t="s">
        <v>5672</v>
      </c>
      <c r="AQ287" t="s">
        <v>74</v>
      </c>
      <c r="AR287" t="s">
        <v>5659</v>
      </c>
      <c r="AS287" t="s">
        <v>5673</v>
      </c>
      <c r="AT287" t="s">
        <v>4154</v>
      </c>
      <c r="AU287">
        <v>2012</v>
      </c>
      <c r="AV287">
        <v>22</v>
      </c>
      <c r="AW287">
        <v>10</v>
      </c>
      <c r="AX287" t="s">
        <v>74</v>
      </c>
      <c r="AY287" t="s">
        <v>74</v>
      </c>
      <c r="AZ287" t="s">
        <v>74</v>
      </c>
      <c r="BA287" t="s">
        <v>74</v>
      </c>
      <c r="BB287">
        <v>1113</v>
      </c>
      <c r="BC287">
        <v>1121</v>
      </c>
      <c r="BD287" t="s">
        <v>74</v>
      </c>
      <c r="BE287" t="s">
        <v>5674</v>
      </c>
      <c r="BF287" t="str">
        <f>HYPERLINK("http://dx.doi.org/10.1177/0959683612441804","http://dx.doi.org/10.1177/0959683612441804")</f>
        <v>http://dx.doi.org/10.1177/0959683612441804</v>
      </c>
      <c r="BG287" t="s">
        <v>74</v>
      </c>
      <c r="BH287" t="s">
        <v>74</v>
      </c>
      <c r="BI287">
        <v>9</v>
      </c>
      <c r="BJ287" t="s">
        <v>97</v>
      </c>
      <c r="BK287" t="s">
        <v>98</v>
      </c>
      <c r="BL287" t="s">
        <v>99</v>
      </c>
      <c r="BM287" t="s">
        <v>5675</v>
      </c>
      <c r="BN287" t="s">
        <v>74</v>
      </c>
      <c r="BO287" t="s">
        <v>1499</v>
      </c>
      <c r="BP287" t="s">
        <v>74</v>
      </c>
      <c r="BQ287" t="s">
        <v>74</v>
      </c>
      <c r="BR287" t="s">
        <v>101</v>
      </c>
      <c r="BS287" t="s">
        <v>5676</v>
      </c>
      <c r="BT287" t="str">
        <f>HYPERLINK("https%3A%2F%2Fwww.webofscience.com%2Fwos%2Fwoscc%2Ffull-record%2FWOS:000308883300004","View Full Record in Web of Science")</f>
        <v>View Full Record in Web of Science</v>
      </c>
    </row>
    <row r="288" spans="1:72" x14ac:dyDescent="0.15">
      <c r="A288" t="s">
        <v>72</v>
      </c>
      <c r="B288" t="s">
        <v>5677</v>
      </c>
      <c r="C288" t="s">
        <v>74</v>
      </c>
      <c r="D288" t="s">
        <v>74</v>
      </c>
      <c r="E288" t="s">
        <v>74</v>
      </c>
      <c r="F288" t="s">
        <v>5678</v>
      </c>
      <c r="G288" t="s">
        <v>74</v>
      </c>
      <c r="H288" t="s">
        <v>74</v>
      </c>
      <c r="I288" t="s">
        <v>5679</v>
      </c>
      <c r="J288" t="s">
        <v>5680</v>
      </c>
      <c r="K288" t="s">
        <v>74</v>
      </c>
      <c r="L288" t="s">
        <v>74</v>
      </c>
      <c r="M288" t="s">
        <v>78</v>
      </c>
      <c r="N288" t="s">
        <v>79</v>
      </c>
      <c r="O288" t="s">
        <v>74</v>
      </c>
      <c r="P288" t="s">
        <v>74</v>
      </c>
      <c r="Q288" t="s">
        <v>74</v>
      </c>
      <c r="R288" t="s">
        <v>74</v>
      </c>
      <c r="S288" t="s">
        <v>74</v>
      </c>
      <c r="T288" t="s">
        <v>5681</v>
      </c>
      <c r="U288" t="s">
        <v>5682</v>
      </c>
      <c r="V288" t="s">
        <v>5683</v>
      </c>
      <c r="W288" t="s">
        <v>5684</v>
      </c>
      <c r="X288" t="s">
        <v>5685</v>
      </c>
      <c r="Y288" t="s">
        <v>5686</v>
      </c>
      <c r="Z288" t="s">
        <v>5687</v>
      </c>
      <c r="AA288" t="s">
        <v>5688</v>
      </c>
      <c r="AB288" t="s">
        <v>5689</v>
      </c>
      <c r="AC288" t="s">
        <v>5690</v>
      </c>
      <c r="AD288" t="s">
        <v>5691</v>
      </c>
      <c r="AE288" t="s">
        <v>5692</v>
      </c>
      <c r="AF288" t="s">
        <v>74</v>
      </c>
      <c r="AG288">
        <v>40</v>
      </c>
      <c r="AH288">
        <v>4</v>
      </c>
      <c r="AI288">
        <v>5</v>
      </c>
      <c r="AJ288">
        <v>0</v>
      </c>
      <c r="AK288">
        <v>11</v>
      </c>
      <c r="AL288" t="s">
        <v>1771</v>
      </c>
      <c r="AM288" t="s">
        <v>90</v>
      </c>
      <c r="AN288" t="s">
        <v>1772</v>
      </c>
      <c r="AO288" t="s">
        <v>5693</v>
      </c>
      <c r="AP288" t="s">
        <v>5694</v>
      </c>
      <c r="AQ288" t="s">
        <v>74</v>
      </c>
      <c r="AR288" t="s">
        <v>5695</v>
      </c>
      <c r="AS288" t="s">
        <v>5696</v>
      </c>
      <c r="AT288" t="s">
        <v>4154</v>
      </c>
      <c r="AU288">
        <v>2012</v>
      </c>
      <c r="AV288">
        <v>77</v>
      </c>
      <c r="AW288">
        <v>5</v>
      </c>
      <c r="AX288" t="s">
        <v>74</v>
      </c>
      <c r="AY288" t="s">
        <v>74</v>
      </c>
      <c r="AZ288" t="s">
        <v>1019</v>
      </c>
      <c r="BA288" t="s">
        <v>74</v>
      </c>
      <c r="BB288">
        <v>626</v>
      </c>
      <c r="BC288">
        <v>651</v>
      </c>
      <c r="BD288" t="s">
        <v>74</v>
      </c>
      <c r="BE288" t="s">
        <v>5697</v>
      </c>
      <c r="BF288" t="str">
        <f>HYPERLINK("http://dx.doi.org/10.1093/imamat/hxs045","http://dx.doi.org/10.1093/imamat/hxs045")</f>
        <v>http://dx.doi.org/10.1093/imamat/hxs045</v>
      </c>
      <c r="BG288" t="s">
        <v>74</v>
      </c>
      <c r="BH288" t="s">
        <v>74</v>
      </c>
      <c r="BI288">
        <v>26</v>
      </c>
      <c r="BJ288" t="s">
        <v>5698</v>
      </c>
      <c r="BK288" t="s">
        <v>98</v>
      </c>
      <c r="BL288" t="s">
        <v>5699</v>
      </c>
      <c r="BM288" t="s">
        <v>5700</v>
      </c>
      <c r="BN288" t="s">
        <v>74</v>
      </c>
      <c r="BO288" t="s">
        <v>74</v>
      </c>
      <c r="BP288" t="s">
        <v>74</v>
      </c>
      <c r="BQ288" t="s">
        <v>74</v>
      </c>
      <c r="BR288" t="s">
        <v>101</v>
      </c>
      <c r="BS288" t="s">
        <v>5701</v>
      </c>
      <c r="BT288" t="str">
        <f>HYPERLINK("https%3A%2F%2Fwww.webofscience.com%2Fwos%2Fwoscc%2Ffull-record%2FWOS:000309128300003","View Full Record in Web of Science")</f>
        <v>View Full Record in Web of Science</v>
      </c>
    </row>
    <row r="289" spans="1:72" x14ac:dyDescent="0.15">
      <c r="A289" t="s">
        <v>72</v>
      </c>
      <c r="B289" t="s">
        <v>5702</v>
      </c>
      <c r="C289" t="s">
        <v>74</v>
      </c>
      <c r="D289" t="s">
        <v>74</v>
      </c>
      <c r="E289" t="s">
        <v>74</v>
      </c>
      <c r="F289" t="s">
        <v>5703</v>
      </c>
      <c r="G289" t="s">
        <v>74</v>
      </c>
      <c r="H289" t="s">
        <v>74</v>
      </c>
      <c r="I289" t="s">
        <v>5704</v>
      </c>
      <c r="J289" t="s">
        <v>5705</v>
      </c>
      <c r="K289" t="s">
        <v>74</v>
      </c>
      <c r="L289" t="s">
        <v>74</v>
      </c>
      <c r="M289" t="s">
        <v>78</v>
      </c>
      <c r="N289" t="s">
        <v>79</v>
      </c>
      <c r="O289" t="s">
        <v>74</v>
      </c>
      <c r="P289" t="s">
        <v>74</v>
      </c>
      <c r="Q289" t="s">
        <v>74</v>
      </c>
      <c r="R289" t="s">
        <v>74</v>
      </c>
      <c r="S289" t="s">
        <v>74</v>
      </c>
      <c r="T289" t="s">
        <v>5706</v>
      </c>
      <c r="U289" t="s">
        <v>74</v>
      </c>
      <c r="V289" t="s">
        <v>5707</v>
      </c>
      <c r="W289" t="s">
        <v>5708</v>
      </c>
      <c r="X289" t="s">
        <v>5709</v>
      </c>
      <c r="Y289" t="s">
        <v>5710</v>
      </c>
      <c r="Z289" t="s">
        <v>5711</v>
      </c>
      <c r="AA289" t="s">
        <v>74</v>
      </c>
      <c r="AB289" t="s">
        <v>5712</v>
      </c>
      <c r="AC289" t="s">
        <v>5713</v>
      </c>
      <c r="AD289" t="s">
        <v>5714</v>
      </c>
      <c r="AE289" t="s">
        <v>5715</v>
      </c>
      <c r="AF289" t="s">
        <v>74</v>
      </c>
      <c r="AG289">
        <v>30</v>
      </c>
      <c r="AH289">
        <v>3</v>
      </c>
      <c r="AI289">
        <v>3</v>
      </c>
      <c r="AJ289">
        <v>0</v>
      </c>
      <c r="AK289">
        <v>0</v>
      </c>
      <c r="AL289" t="s">
        <v>5716</v>
      </c>
      <c r="AM289" t="s">
        <v>5717</v>
      </c>
      <c r="AN289" t="s">
        <v>5718</v>
      </c>
      <c r="AO289" t="s">
        <v>5719</v>
      </c>
      <c r="AP289" t="s">
        <v>5720</v>
      </c>
      <c r="AQ289" t="s">
        <v>74</v>
      </c>
      <c r="AR289" t="s">
        <v>5721</v>
      </c>
      <c r="AS289" t="s">
        <v>5722</v>
      </c>
      <c r="AT289" t="s">
        <v>4154</v>
      </c>
      <c r="AU289">
        <v>2012</v>
      </c>
      <c r="AV289">
        <v>27</v>
      </c>
      <c r="AW289">
        <v>4</v>
      </c>
      <c r="AX289" t="s">
        <v>74</v>
      </c>
      <c r="AY289" t="s">
        <v>74</v>
      </c>
      <c r="AZ289" t="s">
        <v>74</v>
      </c>
      <c r="BA289" t="s">
        <v>74</v>
      </c>
      <c r="BB289">
        <v>357</v>
      </c>
      <c r="BC289">
        <v>362</v>
      </c>
      <c r="BD289" t="s">
        <v>74</v>
      </c>
      <c r="BE289" t="s">
        <v>5723</v>
      </c>
      <c r="BF289" t="str">
        <f>HYPERLINK("http://dx.doi.org/10.1007/s12291-012-0213-z","http://dx.doi.org/10.1007/s12291-012-0213-z")</f>
        <v>http://dx.doi.org/10.1007/s12291-012-0213-z</v>
      </c>
      <c r="BG289" t="s">
        <v>74</v>
      </c>
      <c r="BH289" t="s">
        <v>74</v>
      </c>
      <c r="BI289">
        <v>6</v>
      </c>
      <c r="BJ289" t="s">
        <v>3727</v>
      </c>
      <c r="BK289" t="s">
        <v>2920</v>
      </c>
      <c r="BL289" t="s">
        <v>3727</v>
      </c>
      <c r="BM289" t="s">
        <v>5724</v>
      </c>
      <c r="BN289">
        <v>24082460</v>
      </c>
      <c r="BO289" t="s">
        <v>1499</v>
      </c>
      <c r="BP289" t="s">
        <v>74</v>
      </c>
      <c r="BQ289" t="s">
        <v>74</v>
      </c>
      <c r="BR289" t="s">
        <v>101</v>
      </c>
      <c r="BS289" t="s">
        <v>5725</v>
      </c>
      <c r="BT289" t="str">
        <f>HYPERLINK("https%3A%2F%2Fwww.webofscience.com%2Fwos%2Fwoscc%2Ffull-record%2FWOS:000217499400007","View Full Record in Web of Science")</f>
        <v>View Full Record in Web of Science</v>
      </c>
    </row>
    <row r="290" spans="1:72" x14ac:dyDescent="0.15">
      <c r="A290" t="s">
        <v>72</v>
      </c>
      <c r="B290" t="s">
        <v>5726</v>
      </c>
      <c r="C290" t="s">
        <v>74</v>
      </c>
      <c r="D290" t="s">
        <v>74</v>
      </c>
      <c r="E290" t="s">
        <v>74</v>
      </c>
      <c r="F290" t="s">
        <v>5727</v>
      </c>
      <c r="G290" t="s">
        <v>74</v>
      </c>
      <c r="H290" t="s">
        <v>74</v>
      </c>
      <c r="I290" t="s">
        <v>5728</v>
      </c>
      <c r="J290" t="s">
        <v>5729</v>
      </c>
      <c r="K290" t="s">
        <v>74</v>
      </c>
      <c r="L290" t="s">
        <v>74</v>
      </c>
      <c r="M290" t="s">
        <v>78</v>
      </c>
      <c r="N290" t="s">
        <v>79</v>
      </c>
      <c r="O290" t="s">
        <v>74</v>
      </c>
      <c r="P290" t="s">
        <v>74</v>
      </c>
      <c r="Q290" t="s">
        <v>74</v>
      </c>
      <c r="R290" t="s">
        <v>74</v>
      </c>
      <c r="S290" t="s">
        <v>74</v>
      </c>
      <c r="T290" t="s">
        <v>74</v>
      </c>
      <c r="U290" t="s">
        <v>5730</v>
      </c>
      <c r="V290" t="s">
        <v>5731</v>
      </c>
      <c r="W290" t="s">
        <v>5732</v>
      </c>
      <c r="X290" t="s">
        <v>5733</v>
      </c>
      <c r="Y290" t="s">
        <v>5734</v>
      </c>
      <c r="Z290" t="s">
        <v>5735</v>
      </c>
      <c r="AA290" t="s">
        <v>74</v>
      </c>
      <c r="AB290" t="s">
        <v>74</v>
      </c>
      <c r="AC290" t="s">
        <v>5736</v>
      </c>
      <c r="AD290" t="s">
        <v>5737</v>
      </c>
      <c r="AE290" t="s">
        <v>5738</v>
      </c>
      <c r="AF290" t="s">
        <v>74</v>
      </c>
      <c r="AG290">
        <v>106</v>
      </c>
      <c r="AH290">
        <v>49</v>
      </c>
      <c r="AI290">
        <v>53</v>
      </c>
      <c r="AJ290">
        <v>0</v>
      </c>
      <c r="AK290">
        <v>35</v>
      </c>
      <c r="AL290" t="s">
        <v>1694</v>
      </c>
      <c r="AM290" t="s">
        <v>1695</v>
      </c>
      <c r="AN290" t="s">
        <v>1696</v>
      </c>
      <c r="AO290" t="s">
        <v>5739</v>
      </c>
      <c r="AP290" t="s">
        <v>5740</v>
      </c>
      <c r="AQ290" t="s">
        <v>74</v>
      </c>
      <c r="AR290" t="s">
        <v>5741</v>
      </c>
      <c r="AS290" t="s">
        <v>5742</v>
      </c>
      <c r="AT290" t="s">
        <v>4154</v>
      </c>
      <c r="AU290">
        <v>2012</v>
      </c>
      <c r="AV290">
        <v>52</v>
      </c>
      <c r="AW290">
        <v>4</v>
      </c>
      <c r="AX290" t="s">
        <v>74</v>
      </c>
      <c r="AY290" t="s">
        <v>74</v>
      </c>
      <c r="AZ290" t="s">
        <v>74</v>
      </c>
      <c r="BA290" t="s">
        <v>74</v>
      </c>
      <c r="BB290">
        <v>470</v>
      </c>
      <c r="BC290">
        <v>482</v>
      </c>
      <c r="BD290" t="s">
        <v>74</v>
      </c>
      <c r="BE290" t="s">
        <v>5743</v>
      </c>
      <c r="BF290" t="str">
        <f>HYPERLINK("http://dx.doi.org/10.1093/icb/ics105","http://dx.doi.org/10.1093/icb/ics105")</f>
        <v>http://dx.doi.org/10.1093/icb/ics105</v>
      </c>
      <c r="BG290" t="s">
        <v>74</v>
      </c>
      <c r="BH290" t="s">
        <v>74</v>
      </c>
      <c r="BI290">
        <v>13</v>
      </c>
      <c r="BJ290" t="s">
        <v>675</v>
      </c>
      <c r="BK290" t="s">
        <v>98</v>
      </c>
      <c r="BL290" t="s">
        <v>675</v>
      </c>
      <c r="BM290" t="s">
        <v>5744</v>
      </c>
      <c r="BN290">
        <v>22821584</v>
      </c>
      <c r="BO290" t="s">
        <v>607</v>
      </c>
      <c r="BP290" t="s">
        <v>74</v>
      </c>
      <c r="BQ290" t="s">
        <v>74</v>
      </c>
      <c r="BR290" t="s">
        <v>101</v>
      </c>
      <c r="BS290" t="s">
        <v>5745</v>
      </c>
      <c r="BT290" t="str">
        <f>HYPERLINK("https%3A%2F%2Fwww.webofscience.com%2Fwos%2Fwoscc%2Ffull-record%2FWOS:000309374400004","View Full Record in Web of Science")</f>
        <v>View Full Record in Web of Science</v>
      </c>
    </row>
    <row r="291" spans="1:72" x14ac:dyDescent="0.15">
      <c r="A291" t="s">
        <v>72</v>
      </c>
      <c r="B291" t="s">
        <v>5746</v>
      </c>
      <c r="C291" t="s">
        <v>74</v>
      </c>
      <c r="D291" t="s">
        <v>74</v>
      </c>
      <c r="E291" t="s">
        <v>74</v>
      </c>
      <c r="F291" t="s">
        <v>5747</v>
      </c>
      <c r="G291" t="s">
        <v>74</v>
      </c>
      <c r="H291" t="s">
        <v>74</v>
      </c>
      <c r="I291" t="s">
        <v>5748</v>
      </c>
      <c r="J291" t="s">
        <v>4677</v>
      </c>
      <c r="K291" t="s">
        <v>74</v>
      </c>
      <c r="L291" t="s">
        <v>74</v>
      </c>
      <c r="M291" t="s">
        <v>78</v>
      </c>
      <c r="N291" t="s">
        <v>79</v>
      </c>
      <c r="O291" t="s">
        <v>74</v>
      </c>
      <c r="P291" t="s">
        <v>74</v>
      </c>
      <c r="Q291" t="s">
        <v>74</v>
      </c>
      <c r="R291" t="s">
        <v>74</v>
      </c>
      <c r="S291" t="s">
        <v>74</v>
      </c>
      <c r="T291" t="s">
        <v>5749</v>
      </c>
      <c r="U291" t="s">
        <v>5750</v>
      </c>
      <c r="V291" t="s">
        <v>5751</v>
      </c>
      <c r="W291" t="s">
        <v>5752</v>
      </c>
      <c r="X291" t="s">
        <v>5753</v>
      </c>
      <c r="Y291" t="s">
        <v>5754</v>
      </c>
      <c r="Z291" t="s">
        <v>5755</v>
      </c>
      <c r="AA291" t="s">
        <v>74</v>
      </c>
      <c r="AB291" t="s">
        <v>74</v>
      </c>
      <c r="AC291" t="s">
        <v>5756</v>
      </c>
      <c r="AD291" t="s">
        <v>5757</v>
      </c>
      <c r="AE291" t="s">
        <v>5758</v>
      </c>
      <c r="AF291" t="s">
        <v>74</v>
      </c>
      <c r="AG291">
        <v>22</v>
      </c>
      <c r="AH291">
        <v>14</v>
      </c>
      <c r="AI291">
        <v>14</v>
      </c>
      <c r="AJ291">
        <v>0</v>
      </c>
      <c r="AK291">
        <v>59</v>
      </c>
      <c r="AL291" t="s">
        <v>2780</v>
      </c>
      <c r="AM291" t="s">
        <v>371</v>
      </c>
      <c r="AN291" t="s">
        <v>2781</v>
      </c>
      <c r="AO291" t="s">
        <v>4690</v>
      </c>
      <c r="AP291" t="s">
        <v>74</v>
      </c>
      <c r="AQ291" t="s">
        <v>74</v>
      </c>
      <c r="AR291" t="s">
        <v>4692</v>
      </c>
      <c r="AS291" t="s">
        <v>4693</v>
      </c>
      <c r="AT291" t="s">
        <v>4154</v>
      </c>
      <c r="AU291">
        <v>2012</v>
      </c>
      <c r="AV291">
        <v>11</v>
      </c>
      <c r="AW291">
        <v>4</v>
      </c>
      <c r="AX291" t="s">
        <v>74</v>
      </c>
      <c r="AY291" t="s">
        <v>74</v>
      </c>
      <c r="AZ291" t="s">
        <v>1019</v>
      </c>
      <c r="BA291" t="s">
        <v>74</v>
      </c>
      <c r="BB291">
        <v>269</v>
      </c>
      <c r="BC291">
        <v>278</v>
      </c>
      <c r="BD291" t="s">
        <v>74</v>
      </c>
      <c r="BE291" t="s">
        <v>5759</v>
      </c>
      <c r="BF291" t="str">
        <f>HYPERLINK("http://dx.doi.org/10.1017/S1473550412000201","http://dx.doi.org/10.1017/S1473550412000201")</f>
        <v>http://dx.doi.org/10.1017/S1473550412000201</v>
      </c>
      <c r="BG291" t="s">
        <v>74</v>
      </c>
      <c r="BH291" t="s">
        <v>74</v>
      </c>
      <c r="BI291">
        <v>10</v>
      </c>
      <c r="BJ291" t="s">
        <v>4695</v>
      </c>
      <c r="BK291" t="s">
        <v>98</v>
      </c>
      <c r="BL291" t="s">
        <v>4696</v>
      </c>
      <c r="BM291" t="s">
        <v>4697</v>
      </c>
      <c r="BN291" t="s">
        <v>74</v>
      </c>
      <c r="BO291" t="s">
        <v>74</v>
      </c>
      <c r="BP291" t="s">
        <v>74</v>
      </c>
      <c r="BQ291" t="s">
        <v>74</v>
      </c>
      <c r="BR291" t="s">
        <v>101</v>
      </c>
      <c r="BS291" t="s">
        <v>5760</v>
      </c>
      <c r="BT291" t="str">
        <f>HYPERLINK("https%3A%2F%2Fwww.webofscience.com%2Fwos%2Fwoscc%2Ffull-record%2FWOS:000309724800010","View Full Record in Web of Science")</f>
        <v>View Full Record in Web of Science</v>
      </c>
    </row>
    <row r="292" spans="1:72" x14ac:dyDescent="0.15">
      <c r="A292" t="s">
        <v>72</v>
      </c>
      <c r="B292" t="s">
        <v>5761</v>
      </c>
      <c r="C292" t="s">
        <v>74</v>
      </c>
      <c r="D292" t="s">
        <v>74</v>
      </c>
      <c r="E292" t="s">
        <v>74</v>
      </c>
      <c r="F292" t="s">
        <v>5762</v>
      </c>
      <c r="G292" t="s">
        <v>74</v>
      </c>
      <c r="H292" t="s">
        <v>74</v>
      </c>
      <c r="I292" t="s">
        <v>5763</v>
      </c>
      <c r="J292" t="s">
        <v>4677</v>
      </c>
      <c r="K292" t="s">
        <v>74</v>
      </c>
      <c r="L292" t="s">
        <v>74</v>
      </c>
      <c r="M292" t="s">
        <v>78</v>
      </c>
      <c r="N292" t="s">
        <v>79</v>
      </c>
      <c r="O292" t="s">
        <v>74</v>
      </c>
      <c r="P292" t="s">
        <v>74</v>
      </c>
      <c r="Q292" t="s">
        <v>74</v>
      </c>
      <c r="R292" t="s">
        <v>74</v>
      </c>
      <c r="S292" t="s">
        <v>74</v>
      </c>
      <c r="T292" t="s">
        <v>5764</v>
      </c>
      <c r="U292" t="s">
        <v>5765</v>
      </c>
      <c r="V292" t="s">
        <v>5766</v>
      </c>
      <c r="W292" t="s">
        <v>5767</v>
      </c>
      <c r="X292" t="s">
        <v>5768</v>
      </c>
      <c r="Y292" t="s">
        <v>5769</v>
      </c>
      <c r="Z292" t="s">
        <v>5770</v>
      </c>
      <c r="AA292" t="s">
        <v>5771</v>
      </c>
      <c r="AB292" t="s">
        <v>5772</v>
      </c>
      <c r="AC292" t="s">
        <v>5773</v>
      </c>
      <c r="AD292" t="s">
        <v>5774</v>
      </c>
      <c r="AE292" t="s">
        <v>5775</v>
      </c>
      <c r="AF292" t="s">
        <v>74</v>
      </c>
      <c r="AG292">
        <v>80</v>
      </c>
      <c r="AH292">
        <v>7</v>
      </c>
      <c r="AI292">
        <v>7</v>
      </c>
      <c r="AJ292">
        <v>2</v>
      </c>
      <c r="AK292">
        <v>105</v>
      </c>
      <c r="AL292" t="s">
        <v>2780</v>
      </c>
      <c r="AM292" t="s">
        <v>371</v>
      </c>
      <c r="AN292" t="s">
        <v>2781</v>
      </c>
      <c r="AO292" t="s">
        <v>4690</v>
      </c>
      <c r="AP292" t="s">
        <v>4691</v>
      </c>
      <c r="AQ292" t="s">
        <v>74</v>
      </c>
      <c r="AR292" t="s">
        <v>4692</v>
      </c>
      <c r="AS292" t="s">
        <v>4693</v>
      </c>
      <c r="AT292" t="s">
        <v>4154</v>
      </c>
      <c r="AU292">
        <v>2012</v>
      </c>
      <c r="AV292">
        <v>11</v>
      </c>
      <c r="AW292">
        <v>4</v>
      </c>
      <c r="AX292" t="s">
        <v>74</v>
      </c>
      <c r="AY292" t="s">
        <v>74</v>
      </c>
      <c r="AZ292" t="s">
        <v>1019</v>
      </c>
      <c r="BA292" t="s">
        <v>74</v>
      </c>
      <c r="BB292">
        <v>325</v>
      </c>
      <c r="BC292">
        <v>333</v>
      </c>
      <c r="BD292" t="s">
        <v>74</v>
      </c>
      <c r="BE292" t="s">
        <v>5776</v>
      </c>
      <c r="BF292" t="str">
        <f>HYPERLINK("http://dx.doi.org/10.1017/S1473550412000249","http://dx.doi.org/10.1017/S1473550412000249")</f>
        <v>http://dx.doi.org/10.1017/S1473550412000249</v>
      </c>
      <c r="BG292" t="s">
        <v>74</v>
      </c>
      <c r="BH292" t="s">
        <v>74</v>
      </c>
      <c r="BI292">
        <v>9</v>
      </c>
      <c r="BJ292" t="s">
        <v>4695</v>
      </c>
      <c r="BK292" t="s">
        <v>98</v>
      </c>
      <c r="BL292" t="s">
        <v>4696</v>
      </c>
      <c r="BM292" t="s">
        <v>4697</v>
      </c>
      <c r="BN292" t="s">
        <v>74</v>
      </c>
      <c r="BO292" t="s">
        <v>74</v>
      </c>
      <c r="BP292" t="s">
        <v>74</v>
      </c>
      <c r="BQ292" t="s">
        <v>74</v>
      </c>
      <c r="BR292" t="s">
        <v>101</v>
      </c>
      <c r="BS292" t="s">
        <v>5777</v>
      </c>
      <c r="BT292" t="str">
        <f>HYPERLINK("https%3A%2F%2Fwww.webofscience.com%2Fwos%2Fwoscc%2Ffull-record%2FWOS:000309724800015","View Full Record in Web of Science")</f>
        <v>View Full Record in Web of Science</v>
      </c>
    </row>
    <row r="293" spans="1:72" x14ac:dyDescent="0.15">
      <c r="A293" t="s">
        <v>72</v>
      </c>
      <c r="B293" t="s">
        <v>5778</v>
      </c>
      <c r="C293" t="s">
        <v>74</v>
      </c>
      <c r="D293" t="s">
        <v>74</v>
      </c>
      <c r="E293" t="s">
        <v>74</v>
      </c>
      <c r="F293" t="s">
        <v>5779</v>
      </c>
      <c r="G293" t="s">
        <v>74</v>
      </c>
      <c r="H293" t="s">
        <v>74</v>
      </c>
      <c r="I293" t="s">
        <v>5780</v>
      </c>
      <c r="J293" t="s">
        <v>5781</v>
      </c>
      <c r="K293" t="s">
        <v>74</v>
      </c>
      <c r="L293" t="s">
        <v>74</v>
      </c>
      <c r="M293" t="s">
        <v>78</v>
      </c>
      <c r="N293" t="s">
        <v>79</v>
      </c>
      <c r="O293" t="s">
        <v>74</v>
      </c>
      <c r="P293" t="s">
        <v>74</v>
      </c>
      <c r="Q293" t="s">
        <v>74</v>
      </c>
      <c r="R293" t="s">
        <v>74</v>
      </c>
      <c r="S293" t="s">
        <v>74</v>
      </c>
      <c r="T293" t="s">
        <v>5782</v>
      </c>
      <c r="U293" t="s">
        <v>5783</v>
      </c>
      <c r="V293" t="s">
        <v>5784</v>
      </c>
      <c r="W293" t="s">
        <v>5785</v>
      </c>
      <c r="X293" t="s">
        <v>5786</v>
      </c>
      <c r="Y293" t="s">
        <v>5787</v>
      </c>
      <c r="Z293" t="s">
        <v>5788</v>
      </c>
      <c r="AA293" t="s">
        <v>5789</v>
      </c>
      <c r="AB293" t="s">
        <v>5790</v>
      </c>
      <c r="AC293" t="s">
        <v>5791</v>
      </c>
      <c r="AD293" t="s">
        <v>5792</v>
      </c>
      <c r="AE293" t="s">
        <v>5793</v>
      </c>
      <c r="AF293" t="s">
        <v>74</v>
      </c>
      <c r="AG293">
        <v>89</v>
      </c>
      <c r="AH293">
        <v>148</v>
      </c>
      <c r="AI293">
        <v>162</v>
      </c>
      <c r="AJ293">
        <v>2</v>
      </c>
      <c r="AK293">
        <v>101</v>
      </c>
      <c r="AL293" t="s">
        <v>5794</v>
      </c>
      <c r="AM293" t="s">
        <v>434</v>
      </c>
      <c r="AN293" t="s">
        <v>5795</v>
      </c>
      <c r="AO293" t="s">
        <v>5796</v>
      </c>
      <c r="AP293" t="s">
        <v>5797</v>
      </c>
      <c r="AQ293" t="s">
        <v>74</v>
      </c>
      <c r="AR293" t="s">
        <v>5798</v>
      </c>
      <c r="AS293" t="s">
        <v>5799</v>
      </c>
      <c r="AT293" t="s">
        <v>4154</v>
      </c>
      <c r="AU293">
        <v>2012</v>
      </c>
      <c r="AV293">
        <v>6</v>
      </c>
      <c r="AW293">
        <v>10</v>
      </c>
      <c r="AX293" t="s">
        <v>74</v>
      </c>
      <c r="AY293" t="s">
        <v>74</v>
      </c>
      <c r="AZ293" t="s">
        <v>74</v>
      </c>
      <c r="BA293" t="s">
        <v>74</v>
      </c>
      <c r="BB293">
        <v>1883</v>
      </c>
      <c r="BC293">
        <v>1900</v>
      </c>
      <c r="BD293" t="s">
        <v>74</v>
      </c>
      <c r="BE293" t="s">
        <v>5800</v>
      </c>
      <c r="BF293" t="str">
        <f>HYPERLINK("http://dx.doi.org/10.1038/ismej.2012.28","http://dx.doi.org/10.1038/ismej.2012.28")</f>
        <v>http://dx.doi.org/10.1038/ismej.2012.28</v>
      </c>
      <c r="BG293" t="s">
        <v>74</v>
      </c>
      <c r="BH293" t="s">
        <v>74</v>
      </c>
      <c r="BI293">
        <v>18</v>
      </c>
      <c r="BJ293" t="s">
        <v>5801</v>
      </c>
      <c r="BK293" t="s">
        <v>98</v>
      </c>
      <c r="BL293" t="s">
        <v>5554</v>
      </c>
      <c r="BM293" t="s">
        <v>5802</v>
      </c>
      <c r="BN293">
        <v>22534610</v>
      </c>
      <c r="BO293" t="s">
        <v>1458</v>
      </c>
      <c r="BP293" t="s">
        <v>74</v>
      </c>
      <c r="BQ293" t="s">
        <v>74</v>
      </c>
      <c r="BR293" t="s">
        <v>101</v>
      </c>
      <c r="BS293" t="s">
        <v>5803</v>
      </c>
      <c r="BT293" t="str">
        <f>HYPERLINK("https%3A%2F%2Fwww.webofscience.com%2Fwos%2Fwoscc%2Ffull-record%2FWOS:000309056300008","View Full Record in Web of Science")</f>
        <v>View Full Record in Web of Science</v>
      </c>
    </row>
    <row r="294" spans="1:72" x14ac:dyDescent="0.15">
      <c r="A294" t="s">
        <v>72</v>
      </c>
      <c r="B294" t="s">
        <v>5804</v>
      </c>
      <c r="C294" t="s">
        <v>74</v>
      </c>
      <c r="D294" t="s">
        <v>74</v>
      </c>
      <c r="E294" t="s">
        <v>74</v>
      </c>
      <c r="F294" t="s">
        <v>5805</v>
      </c>
      <c r="G294" t="s">
        <v>74</v>
      </c>
      <c r="H294" t="s">
        <v>74</v>
      </c>
      <c r="I294" t="s">
        <v>5806</v>
      </c>
      <c r="J294" t="s">
        <v>5781</v>
      </c>
      <c r="K294" t="s">
        <v>74</v>
      </c>
      <c r="L294" t="s">
        <v>74</v>
      </c>
      <c r="M294" t="s">
        <v>78</v>
      </c>
      <c r="N294" t="s">
        <v>79</v>
      </c>
      <c r="O294" t="s">
        <v>74</v>
      </c>
      <c r="P294" t="s">
        <v>74</v>
      </c>
      <c r="Q294" t="s">
        <v>74</v>
      </c>
      <c r="R294" t="s">
        <v>74</v>
      </c>
      <c r="S294" t="s">
        <v>74</v>
      </c>
      <c r="T294" t="s">
        <v>5807</v>
      </c>
      <c r="U294" t="s">
        <v>5808</v>
      </c>
      <c r="V294" t="s">
        <v>5809</v>
      </c>
      <c r="W294" t="s">
        <v>5810</v>
      </c>
      <c r="X294" t="s">
        <v>5811</v>
      </c>
      <c r="Y294" t="s">
        <v>5812</v>
      </c>
      <c r="Z294" t="s">
        <v>5813</v>
      </c>
      <c r="AA294" t="s">
        <v>5814</v>
      </c>
      <c r="AB294" t="s">
        <v>5815</v>
      </c>
      <c r="AC294" t="s">
        <v>5816</v>
      </c>
      <c r="AD294" t="s">
        <v>5817</v>
      </c>
      <c r="AE294" t="s">
        <v>5818</v>
      </c>
      <c r="AF294" t="s">
        <v>74</v>
      </c>
      <c r="AG294">
        <v>69</v>
      </c>
      <c r="AH294">
        <v>124</v>
      </c>
      <c r="AI294">
        <v>140</v>
      </c>
      <c r="AJ294">
        <v>4</v>
      </c>
      <c r="AK294">
        <v>87</v>
      </c>
      <c r="AL294" t="s">
        <v>5794</v>
      </c>
      <c r="AM294" t="s">
        <v>434</v>
      </c>
      <c r="AN294" t="s">
        <v>5795</v>
      </c>
      <c r="AO294" t="s">
        <v>5796</v>
      </c>
      <c r="AP294" t="s">
        <v>5797</v>
      </c>
      <c r="AQ294" t="s">
        <v>74</v>
      </c>
      <c r="AR294" t="s">
        <v>5798</v>
      </c>
      <c r="AS294" t="s">
        <v>5799</v>
      </c>
      <c r="AT294" t="s">
        <v>4154</v>
      </c>
      <c r="AU294">
        <v>2012</v>
      </c>
      <c r="AV294">
        <v>6</v>
      </c>
      <c r="AW294">
        <v>10</v>
      </c>
      <c r="AX294" t="s">
        <v>74</v>
      </c>
      <c r="AY294" t="s">
        <v>74</v>
      </c>
      <c r="AZ294" t="s">
        <v>74</v>
      </c>
      <c r="BA294" t="s">
        <v>74</v>
      </c>
      <c r="BB294">
        <v>1901</v>
      </c>
      <c r="BC294">
        <v>1915</v>
      </c>
      <c r="BD294" t="s">
        <v>74</v>
      </c>
      <c r="BE294" t="s">
        <v>5819</v>
      </c>
      <c r="BF294" t="str">
        <f>HYPERLINK("http://dx.doi.org/10.1038/ismej.2012.31","http://dx.doi.org/10.1038/ismej.2012.31")</f>
        <v>http://dx.doi.org/10.1038/ismej.2012.31</v>
      </c>
      <c r="BG294" t="s">
        <v>74</v>
      </c>
      <c r="BH294" t="s">
        <v>74</v>
      </c>
      <c r="BI294">
        <v>15</v>
      </c>
      <c r="BJ294" t="s">
        <v>5801</v>
      </c>
      <c r="BK294" t="s">
        <v>98</v>
      </c>
      <c r="BL294" t="s">
        <v>5554</v>
      </c>
      <c r="BM294" t="s">
        <v>5802</v>
      </c>
      <c r="BN294">
        <v>22534611</v>
      </c>
      <c r="BO294" t="s">
        <v>5820</v>
      </c>
      <c r="BP294" t="s">
        <v>74</v>
      </c>
      <c r="BQ294" t="s">
        <v>74</v>
      </c>
      <c r="BR294" t="s">
        <v>101</v>
      </c>
      <c r="BS294" t="s">
        <v>5821</v>
      </c>
      <c r="BT294" t="str">
        <f>HYPERLINK("https%3A%2F%2Fwww.webofscience.com%2Fwos%2Fwoscc%2Ffull-record%2FWOS:000309056300009","View Full Record in Web of Science")</f>
        <v>View Full Record in Web of Science</v>
      </c>
    </row>
    <row r="295" spans="1:72" x14ac:dyDescent="0.15">
      <c r="A295" t="s">
        <v>72</v>
      </c>
      <c r="B295" t="s">
        <v>5822</v>
      </c>
      <c r="C295" t="s">
        <v>74</v>
      </c>
      <c r="D295" t="s">
        <v>74</v>
      </c>
      <c r="E295" t="s">
        <v>74</v>
      </c>
      <c r="F295" t="s">
        <v>5823</v>
      </c>
      <c r="G295" t="s">
        <v>74</v>
      </c>
      <c r="H295" t="s">
        <v>74</v>
      </c>
      <c r="I295" t="s">
        <v>5824</v>
      </c>
      <c r="J295" t="s">
        <v>5825</v>
      </c>
      <c r="K295" t="s">
        <v>74</v>
      </c>
      <c r="L295" t="s">
        <v>74</v>
      </c>
      <c r="M295" t="s">
        <v>78</v>
      </c>
      <c r="N295" t="s">
        <v>79</v>
      </c>
      <c r="O295" t="s">
        <v>74</v>
      </c>
      <c r="P295" t="s">
        <v>74</v>
      </c>
      <c r="Q295" t="s">
        <v>74</v>
      </c>
      <c r="R295" t="s">
        <v>74</v>
      </c>
      <c r="S295" t="s">
        <v>74</v>
      </c>
      <c r="T295" t="s">
        <v>5826</v>
      </c>
      <c r="U295" t="s">
        <v>5827</v>
      </c>
      <c r="V295" t="s">
        <v>5828</v>
      </c>
      <c r="W295" t="s">
        <v>5829</v>
      </c>
      <c r="X295" t="s">
        <v>5830</v>
      </c>
      <c r="Y295" t="s">
        <v>5831</v>
      </c>
      <c r="Z295" t="s">
        <v>5832</v>
      </c>
      <c r="AA295" t="s">
        <v>5833</v>
      </c>
      <c r="AB295" t="s">
        <v>5834</v>
      </c>
      <c r="AC295" t="s">
        <v>5835</v>
      </c>
      <c r="AD295" t="s">
        <v>3768</v>
      </c>
      <c r="AE295" t="s">
        <v>5836</v>
      </c>
      <c r="AF295" t="s">
        <v>74</v>
      </c>
      <c r="AG295">
        <v>72</v>
      </c>
      <c r="AH295">
        <v>55</v>
      </c>
      <c r="AI295">
        <v>64</v>
      </c>
      <c r="AJ295">
        <v>0</v>
      </c>
      <c r="AK295">
        <v>71</v>
      </c>
      <c r="AL295" t="s">
        <v>898</v>
      </c>
      <c r="AM295" t="s">
        <v>899</v>
      </c>
      <c r="AN295" t="s">
        <v>900</v>
      </c>
      <c r="AO295" t="s">
        <v>5837</v>
      </c>
      <c r="AP295" t="s">
        <v>5838</v>
      </c>
      <c r="AQ295" t="s">
        <v>74</v>
      </c>
      <c r="AR295" t="s">
        <v>5839</v>
      </c>
      <c r="AS295" t="s">
        <v>5840</v>
      </c>
      <c r="AT295" t="s">
        <v>4154</v>
      </c>
      <c r="AU295">
        <v>2012</v>
      </c>
      <c r="AV295">
        <v>39</v>
      </c>
      <c r="AW295">
        <v>10</v>
      </c>
      <c r="AX295" t="s">
        <v>74</v>
      </c>
      <c r="AY295" t="s">
        <v>74</v>
      </c>
      <c r="AZ295" t="s">
        <v>74</v>
      </c>
      <c r="BA295" t="s">
        <v>74</v>
      </c>
      <c r="BB295">
        <v>1806</v>
      </c>
      <c r="BC295">
        <v>1818</v>
      </c>
      <c r="BD295" t="s">
        <v>74</v>
      </c>
      <c r="BE295" t="s">
        <v>5841</v>
      </c>
      <c r="BF295" t="str">
        <f>HYPERLINK("http://dx.doi.org/10.1111/j.1365-2699.2012.02749.x","http://dx.doi.org/10.1111/j.1365-2699.2012.02749.x")</f>
        <v>http://dx.doi.org/10.1111/j.1365-2699.2012.02749.x</v>
      </c>
      <c r="BG295" t="s">
        <v>74</v>
      </c>
      <c r="BH295" t="s">
        <v>74</v>
      </c>
      <c r="BI295">
        <v>13</v>
      </c>
      <c r="BJ295" t="s">
        <v>5842</v>
      </c>
      <c r="BK295" t="s">
        <v>98</v>
      </c>
      <c r="BL295" t="s">
        <v>996</v>
      </c>
      <c r="BM295" t="s">
        <v>5843</v>
      </c>
      <c r="BN295" t="s">
        <v>74</v>
      </c>
      <c r="BO295" t="s">
        <v>74</v>
      </c>
      <c r="BP295" t="s">
        <v>74</v>
      </c>
      <c r="BQ295" t="s">
        <v>74</v>
      </c>
      <c r="BR295" t="s">
        <v>101</v>
      </c>
      <c r="BS295" t="s">
        <v>5844</v>
      </c>
      <c r="BT295" t="str">
        <f>HYPERLINK("https%3A%2F%2Fwww.webofscience.com%2Fwos%2Fwoscc%2Ffull-record%2FWOS:000308876600006","View Full Record in Web of Science")</f>
        <v>View Full Record in Web of Science</v>
      </c>
    </row>
    <row r="296" spans="1:72" x14ac:dyDescent="0.15">
      <c r="A296" t="s">
        <v>72</v>
      </c>
      <c r="B296" t="s">
        <v>5845</v>
      </c>
      <c r="C296" t="s">
        <v>74</v>
      </c>
      <c r="D296" t="s">
        <v>74</v>
      </c>
      <c r="E296" t="s">
        <v>74</v>
      </c>
      <c r="F296" t="s">
        <v>5846</v>
      </c>
      <c r="G296" t="s">
        <v>74</v>
      </c>
      <c r="H296" t="s">
        <v>74</v>
      </c>
      <c r="I296" t="s">
        <v>5847</v>
      </c>
      <c r="J296" t="s">
        <v>5848</v>
      </c>
      <c r="K296" t="s">
        <v>74</v>
      </c>
      <c r="L296" t="s">
        <v>74</v>
      </c>
      <c r="M296" t="s">
        <v>78</v>
      </c>
      <c r="N296" t="s">
        <v>79</v>
      </c>
      <c r="O296" t="s">
        <v>74</v>
      </c>
      <c r="P296" t="s">
        <v>74</v>
      </c>
      <c r="Q296" t="s">
        <v>74</v>
      </c>
      <c r="R296" t="s">
        <v>74</v>
      </c>
      <c r="S296" t="s">
        <v>74</v>
      </c>
      <c r="T296" t="s">
        <v>5849</v>
      </c>
      <c r="U296" t="s">
        <v>5850</v>
      </c>
      <c r="V296" t="s">
        <v>5851</v>
      </c>
      <c r="W296" t="s">
        <v>5852</v>
      </c>
      <c r="X296" t="s">
        <v>5853</v>
      </c>
      <c r="Y296" t="s">
        <v>5854</v>
      </c>
      <c r="Z296" t="s">
        <v>5855</v>
      </c>
      <c r="AA296" t="s">
        <v>5856</v>
      </c>
      <c r="AB296" t="s">
        <v>74</v>
      </c>
      <c r="AC296" t="s">
        <v>74</v>
      </c>
      <c r="AD296" t="s">
        <v>74</v>
      </c>
      <c r="AE296" t="s">
        <v>74</v>
      </c>
      <c r="AF296" t="s">
        <v>74</v>
      </c>
      <c r="AG296">
        <v>12</v>
      </c>
      <c r="AH296">
        <v>3</v>
      </c>
      <c r="AI296">
        <v>4</v>
      </c>
      <c r="AJ296">
        <v>1</v>
      </c>
      <c r="AK296">
        <v>5</v>
      </c>
      <c r="AL296" t="s">
        <v>3871</v>
      </c>
      <c r="AM296" t="s">
        <v>3872</v>
      </c>
      <c r="AN296" t="s">
        <v>3873</v>
      </c>
      <c r="AO296" t="s">
        <v>5857</v>
      </c>
      <c r="AP296" t="s">
        <v>74</v>
      </c>
      <c r="AQ296" t="s">
        <v>74</v>
      </c>
      <c r="AR296" t="s">
        <v>5858</v>
      </c>
      <c r="AS296" t="s">
        <v>5859</v>
      </c>
      <c r="AT296" t="s">
        <v>4154</v>
      </c>
      <c r="AU296">
        <v>2012</v>
      </c>
      <c r="AV296">
        <v>121</v>
      </c>
      <c r="AW296">
        <v>5</v>
      </c>
      <c r="AX296" t="s">
        <v>74</v>
      </c>
      <c r="AY296" t="s">
        <v>74</v>
      </c>
      <c r="AZ296" t="s">
        <v>74</v>
      </c>
      <c r="BA296" t="s">
        <v>74</v>
      </c>
      <c r="BB296">
        <v>1125</v>
      </c>
      <c r="BC296">
        <v>1143</v>
      </c>
      <c r="BD296" t="s">
        <v>74</v>
      </c>
      <c r="BE296" t="s">
        <v>5860</v>
      </c>
      <c r="BF296" t="str">
        <f>HYPERLINK("http://dx.doi.org/10.1007/s12040-012-0217-3","http://dx.doi.org/10.1007/s12040-012-0217-3")</f>
        <v>http://dx.doi.org/10.1007/s12040-012-0217-3</v>
      </c>
      <c r="BG296" t="s">
        <v>74</v>
      </c>
      <c r="BH296" t="s">
        <v>74</v>
      </c>
      <c r="BI296">
        <v>19</v>
      </c>
      <c r="BJ296" t="s">
        <v>5861</v>
      </c>
      <c r="BK296" t="s">
        <v>98</v>
      </c>
      <c r="BL296" t="s">
        <v>5862</v>
      </c>
      <c r="BM296" t="s">
        <v>5863</v>
      </c>
      <c r="BN296" t="s">
        <v>74</v>
      </c>
      <c r="BO296" t="s">
        <v>1347</v>
      </c>
      <c r="BP296" t="s">
        <v>74</v>
      </c>
      <c r="BQ296" t="s">
        <v>74</v>
      </c>
      <c r="BR296" t="s">
        <v>101</v>
      </c>
      <c r="BS296" t="s">
        <v>5864</v>
      </c>
      <c r="BT296" t="str">
        <f>HYPERLINK("https%3A%2F%2Fwww.webofscience.com%2Fwos%2Fwoscc%2Ffull-record%2FWOS:000311002300003","View Full Record in Web of Science")</f>
        <v>View Full Record in Web of Science</v>
      </c>
    </row>
    <row r="297" spans="1:72" x14ac:dyDescent="0.15">
      <c r="A297" t="s">
        <v>72</v>
      </c>
      <c r="B297" t="s">
        <v>5865</v>
      </c>
      <c r="C297" t="s">
        <v>74</v>
      </c>
      <c r="D297" t="s">
        <v>74</v>
      </c>
      <c r="E297" t="s">
        <v>74</v>
      </c>
      <c r="F297" t="s">
        <v>5866</v>
      </c>
      <c r="G297" t="s">
        <v>74</v>
      </c>
      <c r="H297" t="s">
        <v>74</v>
      </c>
      <c r="I297" t="s">
        <v>5867</v>
      </c>
      <c r="J297" t="s">
        <v>4181</v>
      </c>
      <c r="K297" t="s">
        <v>74</v>
      </c>
      <c r="L297" t="s">
        <v>74</v>
      </c>
      <c r="M297" t="s">
        <v>78</v>
      </c>
      <c r="N297" t="s">
        <v>79</v>
      </c>
      <c r="O297" t="s">
        <v>74</v>
      </c>
      <c r="P297" t="s">
        <v>74</v>
      </c>
      <c r="Q297" t="s">
        <v>74</v>
      </c>
      <c r="R297" t="s">
        <v>74</v>
      </c>
      <c r="S297" t="s">
        <v>74</v>
      </c>
      <c r="T297" t="s">
        <v>74</v>
      </c>
      <c r="U297" t="s">
        <v>5868</v>
      </c>
      <c r="V297" t="s">
        <v>5869</v>
      </c>
      <c r="W297" t="s">
        <v>5870</v>
      </c>
      <c r="X297" t="s">
        <v>5871</v>
      </c>
      <c r="Y297" t="s">
        <v>5872</v>
      </c>
      <c r="Z297" t="s">
        <v>5873</v>
      </c>
      <c r="AA297" t="s">
        <v>5874</v>
      </c>
      <c r="AB297" t="s">
        <v>5875</v>
      </c>
      <c r="AC297" t="s">
        <v>5876</v>
      </c>
      <c r="AD297" t="s">
        <v>5877</v>
      </c>
      <c r="AE297" t="s">
        <v>5878</v>
      </c>
      <c r="AF297" t="s">
        <v>74</v>
      </c>
      <c r="AG297">
        <v>43</v>
      </c>
      <c r="AH297">
        <v>12</v>
      </c>
      <c r="AI297">
        <v>13</v>
      </c>
      <c r="AJ297">
        <v>0</v>
      </c>
      <c r="AK297">
        <v>4</v>
      </c>
      <c r="AL297" t="s">
        <v>4193</v>
      </c>
      <c r="AM297" t="s">
        <v>4194</v>
      </c>
      <c r="AN297" t="s">
        <v>4195</v>
      </c>
      <c r="AO297" t="s">
        <v>4196</v>
      </c>
      <c r="AP297" t="s">
        <v>74</v>
      </c>
      <c r="AQ297" t="s">
        <v>74</v>
      </c>
      <c r="AR297" t="s">
        <v>4197</v>
      </c>
      <c r="AS297" t="s">
        <v>4198</v>
      </c>
      <c r="AT297" t="s">
        <v>4154</v>
      </c>
      <c r="AU297">
        <v>2012</v>
      </c>
      <c r="AV297">
        <v>42</v>
      </c>
      <c r="AW297">
        <v>4</v>
      </c>
      <c r="AX297" t="s">
        <v>74</v>
      </c>
      <c r="AY297" t="s">
        <v>74</v>
      </c>
      <c r="AZ297" t="s">
        <v>74</v>
      </c>
      <c r="BA297" t="s">
        <v>74</v>
      </c>
      <c r="BB297">
        <v>340</v>
      </c>
      <c r="BC297">
        <v>344</v>
      </c>
      <c r="BD297" t="s">
        <v>74</v>
      </c>
      <c r="BE297" t="s">
        <v>5879</v>
      </c>
      <c r="BF297" t="str">
        <f>HYPERLINK("http://dx.doi.org/10.2113/gsjfr.42.4.340","http://dx.doi.org/10.2113/gsjfr.42.4.340")</f>
        <v>http://dx.doi.org/10.2113/gsjfr.42.4.340</v>
      </c>
      <c r="BG297" t="s">
        <v>74</v>
      </c>
      <c r="BH297" t="s">
        <v>74</v>
      </c>
      <c r="BI297">
        <v>5</v>
      </c>
      <c r="BJ297" t="s">
        <v>4200</v>
      </c>
      <c r="BK297" t="s">
        <v>98</v>
      </c>
      <c r="BL297" t="s">
        <v>4200</v>
      </c>
      <c r="BM297" t="s">
        <v>4201</v>
      </c>
      <c r="BN297" t="s">
        <v>74</v>
      </c>
      <c r="BO297" t="s">
        <v>74</v>
      </c>
      <c r="BP297" t="s">
        <v>74</v>
      </c>
      <c r="BQ297" t="s">
        <v>74</v>
      </c>
      <c r="BR297" t="s">
        <v>101</v>
      </c>
      <c r="BS297" t="s">
        <v>5880</v>
      </c>
      <c r="BT297" t="str">
        <f>HYPERLINK("https%3A%2F%2Fwww.webofscience.com%2Fwos%2Fwoscc%2Ffull-record%2FWOS:000311013400005","View Full Record in Web of Science")</f>
        <v>View Full Record in Web of Science</v>
      </c>
    </row>
    <row r="298" spans="1:72" x14ac:dyDescent="0.15">
      <c r="A298" t="s">
        <v>72</v>
      </c>
      <c r="B298" t="s">
        <v>5881</v>
      </c>
      <c r="C298" t="s">
        <v>74</v>
      </c>
      <c r="D298" t="s">
        <v>74</v>
      </c>
      <c r="E298" t="s">
        <v>74</v>
      </c>
      <c r="F298" t="s">
        <v>5882</v>
      </c>
      <c r="G298" t="s">
        <v>74</v>
      </c>
      <c r="H298" t="s">
        <v>74</v>
      </c>
      <c r="I298" t="s">
        <v>5883</v>
      </c>
      <c r="J298" t="s">
        <v>1567</v>
      </c>
      <c r="K298" t="s">
        <v>74</v>
      </c>
      <c r="L298" t="s">
        <v>74</v>
      </c>
      <c r="M298" t="s">
        <v>78</v>
      </c>
      <c r="N298" t="s">
        <v>79</v>
      </c>
      <c r="O298" t="s">
        <v>74</v>
      </c>
      <c r="P298" t="s">
        <v>74</v>
      </c>
      <c r="Q298" t="s">
        <v>74</v>
      </c>
      <c r="R298" t="s">
        <v>74</v>
      </c>
      <c r="S298" t="s">
        <v>74</v>
      </c>
      <c r="T298" t="s">
        <v>74</v>
      </c>
      <c r="U298" t="s">
        <v>5884</v>
      </c>
      <c r="V298" t="s">
        <v>5885</v>
      </c>
      <c r="W298" t="s">
        <v>5886</v>
      </c>
      <c r="X298" t="s">
        <v>5887</v>
      </c>
      <c r="Y298" t="s">
        <v>5888</v>
      </c>
      <c r="Z298" t="s">
        <v>5889</v>
      </c>
      <c r="AA298" t="s">
        <v>5890</v>
      </c>
      <c r="AB298" t="s">
        <v>5891</v>
      </c>
      <c r="AC298" t="s">
        <v>5892</v>
      </c>
      <c r="AD298" t="s">
        <v>5893</v>
      </c>
      <c r="AE298" t="s">
        <v>5894</v>
      </c>
      <c r="AF298" t="s">
        <v>74</v>
      </c>
      <c r="AG298">
        <v>51</v>
      </c>
      <c r="AH298">
        <v>20</v>
      </c>
      <c r="AI298">
        <v>22</v>
      </c>
      <c r="AJ298">
        <v>0</v>
      </c>
      <c r="AK298">
        <v>11</v>
      </c>
      <c r="AL298" t="s">
        <v>1429</v>
      </c>
      <c r="AM298" t="s">
        <v>1430</v>
      </c>
      <c r="AN298" t="s">
        <v>1431</v>
      </c>
      <c r="AO298" t="s">
        <v>1579</v>
      </c>
      <c r="AP298" t="s">
        <v>1580</v>
      </c>
      <c r="AQ298" t="s">
        <v>74</v>
      </c>
      <c r="AR298" t="s">
        <v>1581</v>
      </c>
      <c r="AS298" t="s">
        <v>1582</v>
      </c>
      <c r="AT298" t="s">
        <v>4154</v>
      </c>
      <c r="AU298">
        <v>2012</v>
      </c>
      <c r="AV298">
        <v>42</v>
      </c>
      <c r="AW298">
        <v>10</v>
      </c>
      <c r="AX298" t="s">
        <v>74</v>
      </c>
      <c r="AY298" t="s">
        <v>74</v>
      </c>
      <c r="AZ298" t="s">
        <v>74</v>
      </c>
      <c r="BA298" t="s">
        <v>74</v>
      </c>
      <c r="BB298">
        <v>1635</v>
      </c>
      <c r="BC298">
        <v>1651</v>
      </c>
      <c r="BD298" t="s">
        <v>74</v>
      </c>
      <c r="BE298" t="s">
        <v>5895</v>
      </c>
      <c r="BF298" t="str">
        <f>HYPERLINK("http://dx.doi.org/10.1175/JPO-D-11-0152.1","http://dx.doi.org/10.1175/JPO-D-11-0152.1")</f>
        <v>http://dx.doi.org/10.1175/JPO-D-11-0152.1</v>
      </c>
      <c r="BG298" t="s">
        <v>74</v>
      </c>
      <c r="BH298" t="s">
        <v>74</v>
      </c>
      <c r="BI298">
        <v>17</v>
      </c>
      <c r="BJ298" t="s">
        <v>941</v>
      </c>
      <c r="BK298" t="s">
        <v>98</v>
      </c>
      <c r="BL298" t="s">
        <v>941</v>
      </c>
      <c r="BM298" t="s">
        <v>4565</v>
      </c>
      <c r="BN298" t="s">
        <v>74</v>
      </c>
      <c r="BO298" t="s">
        <v>464</v>
      </c>
      <c r="BP298" t="s">
        <v>74</v>
      </c>
      <c r="BQ298" t="s">
        <v>74</v>
      </c>
      <c r="BR298" t="s">
        <v>101</v>
      </c>
      <c r="BS298" t="s">
        <v>5896</v>
      </c>
      <c r="BT298" t="str">
        <f>HYPERLINK("https%3A%2F%2Fwww.webofscience.com%2Fwos%2Fwoscc%2Ffull-record%2FWOS:000310183000002","View Full Record in Web of Science")</f>
        <v>View Full Record in Web of Science</v>
      </c>
    </row>
    <row r="299" spans="1:72" x14ac:dyDescent="0.15">
      <c r="A299" t="s">
        <v>72</v>
      </c>
      <c r="B299" t="s">
        <v>5897</v>
      </c>
      <c r="C299" t="s">
        <v>74</v>
      </c>
      <c r="D299" t="s">
        <v>74</v>
      </c>
      <c r="E299" t="s">
        <v>74</v>
      </c>
      <c r="F299" t="s">
        <v>5898</v>
      </c>
      <c r="G299" t="s">
        <v>74</v>
      </c>
      <c r="H299" t="s">
        <v>74</v>
      </c>
      <c r="I299" t="s">
        <v>5899</v>
      </c>
      <c r="J299" t="s">
        <v>5900</v>
      </c>
      <c r="K299" t="s">
        <v>74</v>
      </c>
      <c r="L299" t="s">
        <v>74</v>
      </c>
      <c r="M299" t="s">
        <v>78</v>
      </c>
      <c r="N299" t="s">
        <v>79</v>
      </c>
      <c r="O299" t="s">
        <v>74</v>
      </c>
      <c r="P299" t="s">
        <v>74</v>
      </c>
      <c r="Q299" t="s">
        <v>74</v>
      </c>
      <c r="R299" t="s">
        <v>74</v>
      </c>
      <c r="S299" t="s">
        <v>74</v>
      </c>
      <c r="T299" t="s">
        <v>74</v>
      </c>
      <c r="U299" t="s">
        <v>5901</v>
      </c>
      <c r="V299" t="s">
        <v>5902</v>
      </c>
      <c r="W299" t="s">
        <v>5903</v>
      </c>
      <c r="X299" t="s">
        <v>5904</v>
      </c>
      <c r="Y299" t="s">
        <v>5905</v>
      </c>
      <c r="Z299" t="s">
        <v>5906</v>
      </c>
      <c r="AA299" t="s">
        <v>5907</v>
      </c>
      <c r="AB299" t="s">
        <v>5908</v>
      </c>
      <c r="AC299" t="s">
        <v>5909</v>
      </c>
      <c r="AD299" t="s">
        <v>5910</v>
      </c>
      <c r="AE299" t="s">
        <v>74</v>
      </c>
      <c r="AF299" t="s">
        <v>74</v>
      </c>
      <c r="AG299">
        <v>71</v>
      </c>
      <c r="AH299">
        <v>27</v>
      </c>
      <c r="AI299">
        <v>27</v>
      </c>
      <c r="AJ299">
        <v>0</v>
      </c>
      <c r="AK299">
        <v>24</v>
      </c>
      <c r="AL299" t="s">
        <v>1429</v>
      </c>
      <c r="AM299" t="s">
        <v>1430</v>
      </c>
      <c r="AN299" t="s">
        <v>1431</v>
      </c>
      <c r="AO299" t="s">
        <v>5911</v>
      </c>
      <c r="AP299" t="s">
        <v>5912</v>
      </c>
      <c r="AQ299" t="s">
        <v>74</v>
      </c>
      <c r="AR299" t="s">
        <v>5913</v>
      </c>
      <c r="AS299" t="s">
        <v>5914</v>
      </c>
      <c r="AT299" t="s">
        <v>4154</v>
      </c>
      <c r="AU299">
        <v>2012</v>
      </c>
      <c r="AV299">
        <v>69</v>
      </c>
      <c r="AW299">
        <v>10</v>
      </c>
      <c r="AX299" t="s">
        <v>74</v>
      </c>
      <c r="AY299" t="s">
        <v>74</v>
      </c>
      <c r="AZ299" t="s">
        <v>74</v>
      </c>
      <c r="BA299" t="s">
        <v>74</v>
      </c>
      <c r="BB299">
        <v>2917</v>
      </c>
      <c r="BC299">
        <v>2932</v>
      </c>
      <c r="BD299" t="s">
        <v>74</v>
      </c>
      <c r="BE299" t="s">
        <v>5915</v>
      </c>
      <c r="BF299" t="str">
        <f>HYPERLINK("http://dx.doi.org/10.1175/JAS-D-11-0210.1","http://dx.doi.org/10.1175/JAS-D-11-0210.1")</f>
        <v>http://dx.doi.org/10.1175/JAS-D-11-0210.1</v>
      </c>
      <c r="BG299" t="s">
        <v>74</v>
      </c>
      <c r="BH299" t="s">
        <v>74</v>
      </c>
      <c r="BI299">
        <v>16</v>
      </c>
      <c r="BJ299" t="s">
        <v>378</v>
      </c>
      <c r="BK299" t="s">
        <v>98</v>
      </c>
      <c r="BL299" t="s">
        <v>378</v>
      </c>
      <c r="BM299" t="s">
        <v>5916</v>
      </c>
      <c r="BN299" t="s">
        <v>74</v>
      </c>
      <c r="BO299" t="s">
        <v>5917</v>
      </c>
      <c r="BP299" t="s">
        <v>74</v>
      </c>
      <c r="BQ299" t="s">
        <v>74</v>
      </c>
      <c r="BR299" t="s">
        <v>101</v>
      </c>
      <c r="BS299" t="s">
        <v>5918</v>
      </c>
      <c r="BT299" t="str">
        <f>HYPERLINK("https%3A%2F%2Fwww.webofscience.com%2Fwos%2Fwoscc%2Ffull-record%2FWOS:000309555200001","View Full Record in Web of Science")</f>
        <v>View Full Record in Web of Science</v>
      </c>
    </row>
    <row r="300" spans="1:72" x14ac:dyDescent="0.15">
      <c r="A300" t="s">
        <v>72</v>
      </c>
      <c r="B300" t="s">
        <v>5919</v>
      </c>
      <c r="C300" t="s">
        <v>74</v>
      </c>
      <c r="D300" t="s">
        <v>74</v>
      </c>
      <c r="E300" t="s">
        <v>74</v>
      </c>
      <c r="F300" t="s">
        <v>5920</v>
      </c>
      <c r="G300" t="s">
        <v>74</v>
      </c>
      <c r="H300" t="s">
        <v>74</v>
      </c>
      <c r="I300" t="s">
        <v>5921</v>
      </c>
      <c r="J300" t="s">
        <v>5922</v>
      </c>
      <c r="K300" t="s">
        <v>74</v>
      </c>
      <c r="L300" t="s">
        <v>74</v>
      </c>
      <c r="M300" t="s">
        <v>78</v>
      </c>
      <c r="N300" t="s">
        <v>79</v>
      </c>
      <c r="O300" t="s">
        <v>74</v>
      </c>
      <c r="P300" t="s">
        <v>74</v>
      </c>
      <c r="Q300" t="s">
        <v>74</v>
      </c>
      <c r="R300" t="s">
        <v>74</v>
      </c>
      <c r="S300" t="s">
        <v>74</v>
      </c>
      <c r="T300" t="s">
        <v>74</v>
      </c>
      <c r="U300" t="s">
        <v>5923</v>
      </c>
      <c r="V300" t="s">
        <v>5924</v>
      </c>
      <c r="W300" t="s">
        <v>5925</v>
      </c>
      <c r="X300" t="s">
        <v>636</v>
      </c>
      <c r="Y300" t="s">
        <v>5926</v>
      </c>
      <c r="Z300" t="s">
        <v>5927</v>
      </c>
      <c r="AA300" t="s">
        <v>5928</v>
      </c>
      <c r="AB300" t="s">
        <v>5929</v>
      </c>
      <c r="AC300" t="s">
        <v>5930</v>
      </c>
      <c r="AD300" t="s">
        <v>5931</v>
      </c>
      <c r="AE300" t="s">
        <v>5932</v>
      </c>
      <c r="AF300" t="s">
        <v>74</v>
      </c>
      <c r="AG300">
        <v>60</v>
      </c>
      <c r="AH300">
        <v>24</v>
      </c>
      <c r="AI300">
        <v>28</v>
      </c>
      <c r="AJ300">
        <v>0</v>
      </c>
      <c r="AK300">
        <v>37</v>
      </c>
      <c r="AL300" t="s">
        <v>4767</v>
      </c>
      <c r="AM300" t="s">
        <v>4768</v>
      </c>
      <c r="AN300" t="s">
        <v>4769</v>
      </c>
      <c r="AO300" t="s">
        <v>5933</v>
      </c>
      <c r="AP300" t="s">
        <v>5934</v>
      </c>
      <c r="AQ300" t="s">
        <v>74</v>
      </c>
      <c r="AR300" t="s">
        <v>5935</v>
      </c>
      <c r="AS300" t="s">
        <v>5936</v>
      </c>
      <c r="AT300" t="s">
        <v>4154</v>
      </c>
      <c r="AU300">
        <v>2012</v>
      </c>
      <c r="AV300">
        <v>159</v>
      </c>
      <c r="AW300">
        <v>10</v>
      </c>
      <c r="AX300" t="s">
        <v>74</v>
      </c>
      <c r="AY300" t="s">
        <v>74</v>
      </c>
      <c r="AZ300" t="s">
        <v>74</v>
      </c>
      <c r="BA300" t="s">
        <v>74</v>
      </c>
      <c r="BB300">
        <v>2299</v>
      </c>
      <c r="BC300">
        <v>2310</v>
      </c>
      <c r="BD300" t="s">
        <v>74</v>
      </c>
      <c r="BE300" t="s">
        <v>5937</v>
      </c>
      <c r="BF300" t="str">
        <f>HYPERLINK("http://dx.doi.org/10.1007/s00227-012-2015-5","http://dx.doi.org/10.1007/s00227-012-2015-5")</f>
        <v>http://dx.doi.org/10.1007/s00227-012-2015-5</v>
      </c>
      <c r="BG300" t="s">
        <v>74</v>
      </c>
      <c r="BH300" t="s">
        <v>74</v>
      </c>
      <c r="BI300">
        <v>12</v>
      </c>
      <c r="BJ300" t="s">
        <v>1753</v>
      </c>
      <c r="BK300" t="s">
        <v>98</v>
      </c>
      <c r="BL300" t="s">
        <v>1753</v>
      </c>
      <c r="BM300" t="s">
        <v>5938</v>
      </c>
      <c r="BN300" t="s">
        <v>74</v>
      </c>
      <c r="BO300" t="s">
        <v>74</v>
      </c>
      <c r="BP300" t="s">
        <v>74</v>
      </c>
      <c r="BQ300" t="s">
        <v>74</v>
      </c>
      <c r="BR300" t="s">
        <v>101</v>
      </c>
      <c r="BS300" t="s">
        <v>5939</v>
      </c>
      <c r="BT300" t="str">
        <f>HYPERLINK("https%3A%2F%2Fwww.webofscience.com%2Fwos%2Fwoscc%2Ffull-record%2FWOS:000309103900016","View Full Record in Web of Science")</f>
        <v>View Full Record in Web of Science</v>
      </c>
    </row>
    <row r="301" spans="1:72" x14ac:dyDescent="0.15">
      <c r="A301" t="s">
        <v>72</v>
      </c>
      <c r="B301" t="s">
        <v>5940</v>
      </c>
      <c r="C301" t="s">
        <v>74</v>
      </c>
      <c r="D301" t="s">
        <v>74</v>
      </c>
      <c r="E301" t="s">
        <v>74</v>
      </c>
      <c r="F301" t="s">
        <v>5941</v>
      </c>
      <c r="G301" t="s">
        <v>74</v>
      </c>
      <c r="H301" t="s">
        <v>74</v>
      </c>
      <c r="I301" t="s">
        <v>5942</v>
      </c>
      <c r="J301" t="s">
        <v>4593</v>
      </c>
      <c r="K301" t="s">
        <v>74</v>
      </c>
      <c r="L301" t="s">
        <v>74</v>
      </c>
      <c r="M301" t="s">
        <v>78</v>
      </c>
      <c r="N301" t="s">
        <v>974</v>
      </c>
      <c r="O301" t="s">
        <v>74</v>
      </c>
      <c r="P301" t="s">
        <v>74</v>
      </c>
      <c r="Q301" t="s">
        <v>74</v>
      </c>
      <c r="R301" t="s">
        <v>74</v>
      </c>
      <c r="S301" t="s">
        <v>74</v>
      </c>
      <c r="T301" t="s">
        <v>5943</v>
      </c>
      <c r="U301" t="s">
        <v>5944</v>
      </c>
      <c r="V301" t="s">
        <v>5945</v>
      </c>
      <c r="W301" t="s">
        <v>5946</v>
      </c>
      <c r="X301" t="s">
        <v>5947</v>
      </c>
      <c r="Y301" t="s">
        <v>5948</v>
      </c>
      <c r="Z301" t="s">
        <v>5949</v>
      </c>
      <c r="AA301" t="s">
        <v>74</v>
      </c>
      <c r="AB301" t="s">
        <v>74</v>
      </c>
      <c r="AC301" t="s">
        <v>74</v>
      </c>
      <c r="AD301" t="s">
        <v>74</v>
      </c>
      <c r="AE301" t="s">
        <v>74</v>
      </c>
      <c r="AF301" t="s">
        <v>74</v>
      </c>
      <c r="AG301">
        <v>113</v>
      </c>
      <c r="AH301">
        <v>86</v>
      </c>
      <c r="AI301">
        <v>98</v>
      </c>
      <c r="AJ301">
        <v>2</v>
      </c>
      <c r="AK301">
        <v>70</v>
      </c>
      <c r="AL301" t="s">
        <v>898</v>
      </c>
      <c r="AM301" t="s">
        <v>899</v>
      </c>
      <c r="AN301" t="s">
        <v>900</v>
      </c>
      <c r="AO301" t="s">
        <v>4602</v>
      </c>
      <c r="AP301" t="s">
        <v>4603</v>
      </c>
      <c r="AQ301" t="s">
        <v>74</v>
      </c>
      <c r="AR301" t="s">
        <v>4604</v>
      </c>
      <c r="AS301" t="s">
        <v>4605</v>
      </c>
      <c r="AT301" t="s">
        <v>4154</v>
      </c>
      <c r="AU301">
        <v>2012</v>
      </c>
      <c r="AV301">
        <v>28</v>
      </c>
      <c r="AW301">
        <v>4</v>
      </c>
      <c r="AX301" t="s">
        <v>74</v>
      </c>
      <c r="AY301" t="s">
        <v>74</v>
      </c>
      <c r="AZ301" t="s">
        <v>74</v>
      </c>
      <c r="BA301" t="s">
        <v>74</v>
      </c>
      <c r="BB301" t="s">
        <v>5950</v>
      </c>
      <c r="BC301" t="s">
        <v>5951</v>
      </c>
      <c r="BD301" t="s">
        <v>74</v>
      </c>
      <c r="BE301" t="s">
        <v>5952</v>
      </c>
      <c r="BF301" t="str">
        <f>HYPERLINK("http://dx.doi.org/10.1111/j.1748-7692.2011.00544.x","http://dx.doi.org/10.1111/j.1748-7692.2011.00544.x")</f>
        <v>http://dx.doi.org/10.1111/j.1748-7692.2011.00544.x</v>
      </c>
      <c r="BG301" t="s">
        <v>74</v>
      </c>
      <c r="BH301" t="s">
        <v>74</v>
      </c>
      <c r="BI301">
        <v>30</v>
      </c>
      <c r="BJ301" t="s">
        <v>1854</v>
      </c>
      <c r="BK301" t="s">
        <v>98</v>
      </c>
      <c r="BL301" t="s">
        <v>1854</v>
      </c>
      <c r="BM301" t="s">
        <v>4607</v>
      </c>
      <c r="BN301" t="s">
        <v>74</v>
      </c>
      <c r="BO301" t="s">
        <v>74</v>
      </c>
      <c r="BP301" t="s">
        <v>74</v>
      </c>
      <c r="BQ301" t="s">
        <v>74</v>
      </c>
      <c r="BR301" t="s">
        <v>101</v>
      </c>
      <c r="BS301" t="s">
        <v>5953</v>
      </c>
      <c r="BT301" t="str">
        <f>HYPERLINK("https%3A%2F%2Fwww.webofscience.com%2Fwos%2Fwoscc%2Ffull-record%2FWOS:000309612800001","View Full Record in Web of Science")</f>
        <v>View Full Record in Web of Science</v>
      </c>
    </row>
    <row r="302" spans="1:72" x14ac:dyDescent="0.15">
      <c r="A302" t="s">
        <v>72</v>
      </c>
      <c r="B302" t="s">
        <v>5954</v>
      </c>
      <c r="C302" t="s">
        <v>74</v>
      </c>
      <c r="D302" t="s">
        <v>74</v>
      </c>
      <c r="E302" t="s">
        <v>74</v>
      </c>
      <c r="F302" t="s">
        <v>5955</v>
      </c>
      <c r="G302" t="s">
        <v>74</v>
      </c>
      <c r="H302" t="s">
        <v>74</v>
      </c>
      <c r="I302" t="s">
        <v>5956</v>
      </c>
      <c r="J302" t="s">
        <v>2062</v>
      </c>
      <c r="K302" t="s">
        <v>74</v>
      </c>
      <c r="L302" t="s">
        <v>74</v>
      </c>
      <c r="M302" t="s">
        <v>78</v>
      </c>
      <c r="N302" t="s">
        <v>79</v>
      </c>
      <c r="O302" t="s">
        <v>74</v>
      </c>
      <c r="P302" t="s">
        <v>74</v>
      </c>
      <c r="Q302" t="s">
        <v>74</v>
      </c>
      <c r="R302" t="s">
        <v>74</v>
      </c>
      <c r="S302" t="s">
        <v>74</v>
      </c>
      <c r="T302" t="s">
        <v>5957</v>
      </c>
      <c r="U302" t="s">
        <v>5958</v>
      </c>
      <c r="V302" t="s">
        <v>5959</v>
      </c>
      <c r="W302" t="s">
        <v>5960</v>
      </c>
      <c r="X302" t="s">
        <v>5961</v>
      </c>
      <c r="Y302" t="s">
        <v>5962</v>
      </c>
      <c r="Z302" t="s">
        <v>5963</v>
      </c>
      <c r="AA302" t="s">
        <v>5964</v>
      </c>
      <c r="AB302" t="s">
        <v>5965</v>
      </c>
      <c r="AC302" t="s">
        <v>5966</v>
      </c>
      <c r="AD302" t="s">
        <v>5967</v>
      </c>
      <c r="AE302" t="s">
        <v>5968</v>
      </c>
      <c r="AF302" t="s">
        <v>74</v>
      </c>
      <c r="AG302">
        <v>91</v>
      </c>
      <c r="AH302">
        <v>25</v>
      </c>
      <c r="AI302">
        <v>25</v>
      </c>
      <c r="AJ302">
        <v>0</v>
      </c>
      <c r="AK302">
        <v>25</v>
      </c>
      <c r="AL302" t="s">
        <v>1081</v>
      </c>
      <c r="AM302" t="s">
        <v>1082</v>
      </c>
      <c r="AN302" t="s">
        <v>1083</v>
      </c>
      <c r="AO302" t="s">
        <v>2075</v>
      </c>
      <c r="AP302" t="s">
        <v>2076</v>
      </c>
      <c r="AQ302" t="s">
        <v>74</v>
      </c>
      <c r="AR302" t="s">
        <v>2077</v>
      </c>
      <c r="AS302" t="s">
        <v>2078</v>
      </c>
      <c r="AT302" t="s">
        <v>4154</v>
      </c>
      <c r="AU302">
        <v>2012</v>
      </c>
      <c r="AV302">
        <v>65</v>
      </c>
      <c r="AW302">
        <v>1</v>
      </c>
      <c r="AX302" t="s">
        <v>74</v>
      </c>
      <c r="AY302" t="s">
        <v>74</v>
      </c>
      <c r="AZ302" t="s">
        <v>74</v>
      </c>
      <c r="BA302" t="s">
        <v>74</v>
      </c>
      <c r="BB302">
        <v>87</v>
      </c>
      <c r="BC302">
        <v>101</v>
      </c>
      <c r="BD302" t="s">
        <v>74</v>
      </c>
      <c r="BE302" t="s">
        <v>5969</v>
      </c>
      <c r="BF302" t="str">
        <f>HYPERLINK("http://dx.doi.org/10.1016/j.ympev.2012.05.032","http://dx.doi.org/10.1016/j.ympev.2012.05.032")</f>
        <v>http://dx.doi.org/10.1016/j.ympev.2012.05.032</v>
      </c>
      <c r="BG302" t="s">
        <v>74</v>
      </c>
      <c r="BH302" t="s">
        <v>74</v>
      </c>
      <c r="BI302">
        <v>15</v>
      </c>
      <c r="BJ302" t="s">
        <v>2080</v>
      </c>
      <c r="BK302" t="s">
        <v>98</v>
      </c>
      <c r="BL302" t="s">
        <v>2080</v>
      </c>
      <c r="BM302" t="s">
        <v>5970</v>
      </c>
      <c r="BN302">
        <v>22683562</v>
      </c>
      <c r="BO302" t="s">
        <v>74</v>
      </c>
      <c r="BP302" t="s">
        <v>74</v>
      </c>
      <c r="BQ302" t="s">
        <v>74</v>
      </c>
      <c r="BR302" t="s">
        <v>101</v>
      </c>
      <c r="BS302" t="s">
        <v>5971</v>
      </c>
      <c r="BT302" t="str">
        <f>HYPERLINK("https%3A%2F%2Fwww.webofscience.com%2Fwos%2Fwoscc%2Ffull-record%2FWOS:000308061000009","View Full Record in Web of Science")</f>
        <v>View Full Record in Web of Science</v>
      </c>
    </row>
    <row r="303" spans="1:72" x14ac:dyDescent="0.15">
      <c r="A303" t="s">
        <v>72</v>
      </c>
      <c r="B303" t="s">
        <v>5972</v>
      </c>
      <c r="C303" t="s">
        <v>74</v>
      </c>
      <c r="D303" t="s">
        <v>74</v>
      </c>
      <c r="E303" t="s">
        <v>74</v>
      </c>
      <c r="F303" t="s">
        <v>5973</v>
      </c>
      <c r="G303" t="s">
        <v>74</v>
      </c>
      <c r="H303" t="s">
        <v>74</v>
      </c>
      <c r="I303" t="s">
        <v>5974</v>
      </c>
      <c r="J303" t="s">
        <v>1860</v>
      </c>
      <c r="K303" t="s">
        <v>74</v>
      </c>
      <c r="L303" t="s">
        <v>74</v>
      </c>
      <c r="M303" t="s">
        <v>78</v>
      </c>
      <c r="N303" t="s">
        <v>79</v>
      </c>
      <c r="O303" t="s">
        <v>74</v>
      </c>
      <c r="P303" t="s">
        <v>74</v>
      </c>
      <c r="Q303" t="s">
        <v>74</v>
      </c>
      <c r="R303" t="s">
        <v>74</v>
      </c>
      <c r="S303" t="s">
        <v>74</v>
      </c>
      <c r="T303" t="s">
        <v>5975</v>
      </c>
      <c r="U303" t="s">
        <v>5976</v>
      </c>
      <c r="V303" t="s">
        <v>5977</v>
      </c>
      <c r="W303" t="s">
        <v>5978</v>
      </c>
      <c r="X303" t="s">
        <v>914</v>
      </c>
      <c r="Y303" t="s">
        <v>5979</v>
      </c>
      <c r="Z303" t="s">
        <v>5980</v>
      </c>
      <c r="AA303" t="s">
        <v>5981</v>
      </c>
      <c r="AB303" t="s">
        <v>5982</v>
      </c>
      <c r="AC303" t="s">
        <v>5983</v>
      </c>
      <c r="AD303" t="s">
        <v>5263</v>
      </c>
      <c r="AE303" t="s">
        <v>5984</v>
      </c>
      <c r="AF303" t="s">
        <v>74</v>
      </c>
      <c r="AG303">
        <v>75</v>
      </c>
      <c r="AH303">
        <v>41</v>
      </c>
      <c r="AI303">
        <v>48</v>
      </c>
      <c r="AJ303">
        <v>5</v>
      </c>
      <c r="AK303">
        <v>118</v>
      </c>
      <c r="AL303" t="s">
        <v>935</v>
      </c>
      <c r="AM303" t="s">
        <v>371</v>
      </c>
      <c r="AN303" t="s">
        <v>1873</v>
      </c>
      <c r="AO303" t="s">
        <v>1874</v>
      </c>
      <c r="AP303" t="s">
        <v>1875</v>
      </c>
      <c r="AQ303" t="s">
        <v>74</v>
      </c>
      <c r="AR303" t="s">
        <v>1876</v>
      </c>
      <c r="AS303" t="s">
        <v>1877</v>
      </c>
      <c r="AT303" t="s">
        <v>4154</v>
      </c>
      <c r="AU303">
        <v>2012</v>
      </c>
      <c r="AV303">
        <v>35</v>
      </c>
      <c r="AW303">
        <v>10</v>
      </c>
      <c r="AX303" t="s">
        <v>74</v>
      </c>
      <c r="AY303" t="s">
        <v>74</v>
      </c>
      <c r="AZ303" t="s">
        <v>74</v>
      </c>
      <c r="BA303" t="s">
        <v>74</v>
      </c>
      <c r="BB303">
        <v>1459</v>
      </c>
      <c r="BC303">
        <v>1471</v>
      </c>
      <c r="BD303" t="s">
        <v>74</v>
      </c>
      <c r="BE303" t="s">
        <v>5985</v>
      </c>
      <c r="BF303" t="str">
        <f>HYPERLINK("http://dx.doi.org/10.1007/s00300-012-1184-5","http://dx.doi.org/10.1007/s00300-012-1184-5")</f>
        <v>http://dx.doi.org/10.1007/s00300-012-1184-5</v>
      </c>
      <c r="BG303" t="s">
        <v>74</v>
      </c>
      <c r="BH303" t="s">
        <v>74</v>
      </c>
      <c r="BI303">
        <v>13</v>
      </c>
      <c r="BJ303" t="s">
        <v>1879</v>
      </c>
      <c r="BK303" t="s">
        <v>98</v>
      </c>
      <c r="BL303" t="s">
        <v>1880</v>
      </c>
      <c r="BM303" t="s">
        <v>5325</v>
      </c>
      <c r="BN303" t="s">
        <v>74</v>
      </c>
      <c r="BO303" t="s">
        <v>74</v>
      </c>
      <c r="BP303" t="s">
        <v>74</v>
      </c>
      <c r="BQ303" t="s">
        <v>74</v>
      </c>
      <c r="BR303" t="s">
        <v>101</v>
      </c>
      <c r="BS303" t="s">
        <v>5986</v>
      </c>
      <c r="BT303" t="str">
        <f>HYPERLINK("https%3A%2F%2Fwww.webofscience.com%2Fwos%2Fwoscc%2Ffull-record%2FWOS:000308331600001","View Full Record in Web of Science")</f>
        <v>View Full Record in Web of Science</v>
      </c>
    </row>
    <row r="304" spans="1:72" x14ac:dyDescent="0.15">
      <c r="A304" t="s">
        <v>72</v>
      </c>
      <c r="B304" t="s">
        <v>1883</v>
      </c>
      <c r="C304" t="s">
        <v>74</v>
      </c>
      <c r="D304" t="s">
        <v>74</v>
      </c>
      <c r="E304" t="s">
        <v>74</v>
      </c>
      <c r="F304" t="s">
        <v>1884</v>
      </c>
      <c r="G304" t="s">
        <v>74</v>
      </c>
      <c r="H304" t="s">
        <v>74</v>
      </c>
      <c r="I304" t="s">
        <v>5987</v>
      </c>
      <c r="J304" t="s">
        <v>1860</v>
      </c>
      <c r="K304" t="s">
        <v>74</v>
      </c>
      <c r="L304" t="s">
        <v>74</v>
      </c>
      <c r="M304" t="s">
        <v>78</v>
      </c>
      <c r="N304" t="s">
        <v>79</v>
      </c>
      <c r="O304" t="s">
        <v>74</v>
      </c>
      <c r="P304" t="s">
        <v>74</v>
      </c>
      <c r="Q304" t="s">
        <v>74</v>
      </c>
      <c r="R304" t="s">
        <v>74</v>
      </c>
      <c r="S304" t="s">
        <v>74</v>
      </c>
      <c r="T304" t="s">
        <v>5988</v>
      </c>
      <c r="U304" t="s">
        <v>5989</v>
      </c>
      <c r="V304" t="s">
        <v>5990</v>
      </c>
      <c r="W304" t="s">
        <v>5991</v>
      </c>
      <c r="X304" t="s">
        <v>1890</v>
      </c>
      <c r="Y304" t="s">
        <v>5992</v>
      </c>
      <c r="Z304" t="s">
        <v>1892</v>
      </c>
      <c r="AA304" t="s">
        <v>5993</v>
      </c>
      <c r="AB304" t="s">
        <v>5994</v>
      </c>
      <c r="AC304" t="s">
        <v>5995</v>
      </c>
      <c r="AD304" t="s">
        <v>5996</v>
      </c>
      <c r="AE304" t="s">
        <v>5997</v>
      </c>
      <c r="AF304" t="s">
        <v>74</v>
      </c>
      <c r="AG304">
        <v>46</v>
      </c>
      <c r="AH304">
        <v>24</v>
      </c>
      <c r="AI304">
        <v>28</v>
      </c>
      <c r="AJ304">
        <v>0</v>
      </c>
      <c r="AK304">
        <v>37</v>
      </c>
      <c r="AL304" t="s">
        <v>935</v>
      </c>
      <c r="AM304" t="s">
        <v>371</v>
      </c>
      <c r="AN304" t="s">
        <v>1873</v>
      </c>
      <c r="AO304" t="s">
        <v>1874</v>
      </c>
      <c r="AP304" t="s">
        <v>1875</v>
      </c>
      <c r="AQ304" t="s">
        <v>74</v>
      </c>
      <c r="AR304" t="s">
        <v>1876</v>
      </c>
      <c r="AS304" t="s">
        <v>1877</v>
      </c>
      <c r="AT304" t="s">
        <v>4154</v>
      </c>
      <c r="AU304">
        <v>2012</v>
      </c>
      <c r="AV304">
        <v>35</v>
      </c>
      <c r="AW304">
        <v>10</v>
      </c>
      <c r="AX304" t="s">
        <v>74</v>
      </c>
      <c r="AY304" t="s">
        <v>74</v>
      </c>
      <c r="AZ304" t="s">
        <v>74</v>
      </c>
      <c r="BA304" t="s">
        <v>74</v>
      </c>
      <c r="BB304">
        <v>1495</v>
      </c>
      <c r="BC304">
        <v>1504</v>
      </c>
      <c r="BD304" t="s">
        <v>74</v>
      </c>
      <c r="BE304" t="s">
        <v>5998</v>
      </c>
      <c r="BF304" t="str">
        <f>HYPERLINK("http://dx.doi.org/10.1007/s00300-012-1188-1","http://dx.doi.org/10.1007/s00300-012-1188-1")</f>
        <v>http://dx.doi.org/10.1007/s00300-012-1188-1</v>
      </c>
      <c r="BG304" t="s">
        <v>74</v>
      </c>
      <c r="BH304" t="s">
        <v>74</v>
      </c>
      <c r="BI304">
        <v>10</v>
      </c>
      <c r="BJ304" t="s">
        <v>1879</v>
      </c>
      <c r="BK304" t="s">
        <v>98</v>
      </c>
      <c r="BL304" t="s">
        <v>1880</v>
      </c>
      <c r="BM304" t="s">
        <v>5325</v>
      </c>
      <c r="BN304" t="s">
        <v>74</v>
      </c>
      <c r="BO304" t="s">
        <v>380</v>
      </c>
      <c r="BP304" t="s">
        <v>74</v>
      </c>
      <c r="BQ304" t="s">
        <v>74</v>
      </c>
      <c r="BR304" t="s">
        <v>101</v>
      </c>
      <c r="BS304" t="s">
        <v>5999</v>
      </c>
      <c r="BT304" t="str">
        <f>HYPERLINK("https%3A%2F%2Fwww.webofscience.com%2Fwos%2Fwoscc%2Ffull-record%2FWOS:000308331600004","View Full Record in Web of Science")</f>
        <v>View Full Record in Web of Science</v>
      </c>
    </row>
    <row r="305" spans="1:72" x14ac:dyDescent="0.15">
      <c r="A305" t="s">
        <v>72</v>
      </c>
      <c r="B305" t="s">
        <v>6000</v>
      </c>
      <c r="C305" t="s">
        <v>74</v>
      </c>
      <c r="D305" t="s">
        <v>74</v>
      </c>
      <c r="E305" t="s">
        <v>74</v>
      </c>
      <c r="F305" t="s">
        <v>6001</v>
      </c>
      <c r="G305" t="s">
        <v>74</v>
      </c>
      <c r="H305" t="s">
        <v>74</v>
      </c>
      <c r="I305" t="s">
        <v>6002</v>
      </c>
      <c r="J305" t="s">
        <v>1860</v>
      </c>
      <c r="K305" t="s">
        <v>74</v>
      </c>
      <c r="L305" t="s">
        <v>74</v>
      </c>
      <c r="M305" t="s">
        <v>78</v>
      </c>
      <c r="N305" t="s">
        <v>79</v>
      </c>
      <c r="O305" t="s">
        <v>74</v>
      </c>
      <c r="P305" t="s">
        <v>74</v>
      </c>
      <c r="Q305" t="s">
        <v>74</v>
      </c>
      <c r="R305" t="s">
        <v>74</v>
      </c>
      <c r="S305" t="s">
        <v>74</v>
      </c>
      <c r="T305" t="s">
        <v>6003</v>
      </c>
      <c r="U305" t="s">
        <v>6004</v>
      </c>
      <c r="V305" t="s">
        <v>6005</v>
      </c>
      <c r="W305" t="s">
        <v>6006</v>
      </c>
      <c r="X305" t="s">
        <v>6007</v>
      </c>
      <c r="Y305" t="s">
        <v>6008</v>
      </c>
      <c r="Z305" t="s">
        <v>6009</v>
      </c>
      <c r="AA305" t="s">
        <v>6010</v>
      </c>
      <c r="AB305" t="s">
        <v>6011</v>
      </c>
      <c r="AC305" t="s">
        <v>6012</v>
      </c>
      <c r="AD305" t="s">
        <v>6013</v>
      </c>
      <c r="AE305" t="s">
        <v>6014</v>
      </c>
      <c r="AF305" t="s">
        <v>74</v>
      </c>
      <c r="AG305">
        <v>33</v>
      </c>
      <c r="AH305">
        <v>11</v>
      </c>
      <c r="AI305">
        <v>12</v>
      </c>
      <c r="AJ305">
        <v>0</v>
      </c>
      <c r="AK305">
        <v>23</v>
      </c>
      <c r="AL305" t="s">
        <v>935</v>
      </c>
      <c r="AM305" t="s">
        <v>371</v>
      </c>
      <c r="AN305" t="s">
        <v>1873</v>
      </c>
      <c r="AO305" t="s">
        <v>1874</v>
      </c>
      <c r="AP305" t="s">
        <v>1875</v>
      </c>
      <c r="AQ305" t="s">
        <v>74</v>
      </c>
      <c r="AR305" t="s">
        <v>1876</v>
      </c>
      <c r="AS305" t="s">
        <v>1877</v>
      </c>
      <c r="AT305" t="s">
        <v>4154</v>
      </c>
      <c r="AU305">
        <v>2012</v>
      </c>
      <c r="AV305">
        <v>35</v>
      </c>
      <c r="AW305">
        <v>10</v>
      </c>
      <c r="AX305" t="s">
        <v>74</v>
      </c>
      <c r="AY305" t="s">
        <v>74</v>
      </c>
      <c r="AZ305" t="s">
        <v>74</v>
      </c>
      <c r="BA305" t="s">
        <v>74</v>
      </c>
      <c r="BB305">
        <v>1563</v>
      </c>
      <c r="BC305">
        <v>1572</v>
      </c>
      <c r="BD305" t="s">
        <v>74</v>
      </c>
      <c r="BE305" t="s">
        <v>6015</v>
      </c>
      <c r="BF305" t="str">
        <f>HYPERLINK("http://dx.doi.org/10.1007/s00300-012-1197-0","http://dx.doi.org/10.1007/s00300-012-1197-0")</f>
        <v>http://dx.doi.org/10.1007/s00300-012-1197-0</v>
      </c>
      <c r="BG305" t="s">
        <v>74</v>
      </c>
      <c r="BH305" t="s">
        <v>74</v>
      </c>
      <c r="BI305">
        <v>10</v>
      </c>
      <c r="BJ305" t="s">
        <v>1879</v>
      </c>
      <c r="BK305" t="s">
        <v>98</v>
      </c>
      <c r="BL305" t="s">
        <v>1880</v>
      </c>
      <c r="BM305" t="s">
        <v>5325</v>
      </c>
      <c r="BN305" t="s">
        <v>74</v>
      </c>
      <c r="BO305" t="s">
        <v>74</v>
      </c>
      <c r="BP305" t="s">
        <v>74</v>
      </c>
      <c r="BQ305" t="s">
        <v>74</v>
      </c>
      <c r="BR305" t="s">
        <v>101</v>
      </c>
      <c r="BS305" t="s">
        <v>6016</v>
      </c>
      <c r="BT305" t="str">
        <f>HYPERLINK("https%3A%2F%2Fwww.webofscience.com%2Fwos%2Fwoscc%2Ffull-record%2FWOS:000308331600011","View Full Record in Web of Science")</f>
        <v>View Full Record in Web of Science</v>
      </c>
    </row>
    <row r="306" spans="1:72" x14ac:dyDescent="0.15">
      <c r="A306" t="s">
        <v>72</v>
      </c>
      <c r="B306" t="s">
        <v>6017</v>
      </c>
      <c r="C306" t="s">
        <v>74</v>
      </c>
      <c r="D306" t="s">
        <v>74</v>
      </c>
      <c r="E306" t="s">
        <v>74</v>
      </c>
      <c r="F306" t="s">
        <v>6018</v>
      </c>
      <c r="G306" t="s">
        <v>74</v>
      </c>
      <c r="H306" t="s">
        <v>74</v>
      </c>
      <c r="I306" t="s">
        <v>6019</v>
      </c>
      <c r="J306" t="s">
        <v>1860</v>
      </c>
      <c r="K306" t="s">
        <v>74</v>
      </c>
      <c r="L306" t="s">
        <v>74</v>
      </c>
      <c r="M306" t="s">
        <v>78</v>
      </c>
      <c r="N306" t="s">
        <v>79</v>
      </c>
      <c r="O306" t="s">
        <v>74</v>
      </c>
      <c r="P306" t="s">
        <v>74</v>
      </c>
      <c r="Q306" t="s">
        <v>74</v>
      </c>
      <c r="R306" t="s">
        <v>74</v>
      </c>
      <c r="S306" t="s">
        <v>74</v>
      </c>
      <c r="T306" t="s">
        <v>6020</v>
      </c>
      <c r="U306" t="s">
        <v>6021</v>
      </c>
      <c r="V306" t="s">
        <v>6022</v>
      </c>
      <c r="W306" t="s">
        <v>6023</v>
      </c>
      <c r="X306" t="s">
        <v>6024</v>
      </c>
      <c r="Y306" t="s">
        <v>6025</v>
      </c>
      <c r="Z306" t="s">
        <v>6026</v>
      </c>
      <c r="AA306" t="s">
        <v>6027</v>
      </c>
      <c r="AB306" t="s">
        <v>6028</v>
      </c>
      <c r="AC306" t="s">
        <v>6029</v>
      </c>
      <c r="AD306" t="s">
        <v>6029</v>
      </c>
      <c r="AE306" t="s">
        <v>6030</v>
      </c>
      <c r="AF306" t="s">
        <v>74</v>
      </c>
      <c r="AG306">
        <v>52</v>
      </c>
      <c r="AH306">
        <v>22</v>
      </c>
      <c r="AI306">
        <v>23</v>
      </c>
      <c r="AJ306">
        <v>0</v>
      </c>
      <c r="AK306">
        <v>32</v>
      </c>
      <c r="AL306" t="s">
        <v>935</v>
      </c>
      <c r="AM306" t="s">
        <v>371</v>
      </c>
      <c r="AN306" t="s">
        <v>1873</v>
      </c>
      <c r="AO306" t="s">
        <v>1874</v>
      </c>
      <c r="AP306" t="s">
        <v>1875</v>
      </c>
      <c r="AQ306" t="s">
        <v>74</v>
      </c>
      <c r="AR306" t="s">
        <v>1876</v>
      </c>
      <c r="AS306" t="s">
        <v>1877</v>
      </c>
      <c r="AT306" t="s">
        <v>4154</v>
      </c>
      <c r="AU306">
        <v>2012</v>
      </c>
      <c r="AV306">
        <v>35</v>
      </c>
      <c r="AW306">
        <v>10</v>
      </c>
      <c r="AX306" t="s">
        <v>74</v>
      </c>
      <c r="AY306" t="s">
        <v>74</v>
      </c>
      <c r="AZ306" t="s">
        <v>74</v>
      </c>
      <c r="BA306" t="s">
        <v>74</v>
      </c>
      <c r="BB306">
        <v>1587</v>
      </c>
      <c r="BC306">
        <v>1600</v>
      </c>
      <c r="BD306" t="s">
        <v>74</v>
      </c>
      <c r="BE306" t="s">
        <v>6031</v>
      </c>
      <c r="BF306" t="str">
        <f>HYPERLINK("http://dx.doi.org/10.1007/s00300-012-1200-9","http://dx.doi.org/10.1007/s00300-012-1200-9")</f>
        <v>http://dx.doi.org/10.1007/s00300-012-1200-9</v>
      </c>
      <c r="BG306" t="s">
        <v>74</v>
      </c>
      <c r="BH306" t="s">
        <v>74</v>
      </c>
      <c r="BI306">
        <v>14</v>
      </c>
      <c r="BJ306" t="s">
        <v>1879</v>
      </c>
      <c r="BK306" t="s">
        <v>98</v>
      </c>
      <c r="BL306" t="s">
        <v>1880</v>
      </c>
      <c r="BM306" t="s">
        <v>5325</v>
      </c>
      <c r="BN306" t="s">
        <v>74</v>
      </c>
      <c r="BO306" t="s">
        <v>74</v>
      </c>
      <c r="BP306" t="s">
        <v>74</v>
      </c>
      <c r="BQ306" t="s">
        <v>74</v>
      </c>
      <c r="BR306" t="s">
        <v>101</v>
      </c>
      <c r="BS306" t="s">
        <v>6032</v>
      </c>
      <c r="BT306" t="str">
        <f>HYPERLINK("https%3A%2F%2Fwww.webofscience.com%2Fwos%2Fwoscc%2Ffull-record%2FWOS:000308331600013","View Full Record in Web of Science")</f>
        <v>View Full Record in Web of Science</v>
      </c>
    </row>
    <row r="307" spans="1:72" x14ac:dyDescent="0.15">
      <c r="A307" t="s">
        <v>72</v>
      </c>
      <c r="B307" t="s">
        <v>6033</v>
      </c>
      <c r="C307" t="s">
        <v>74</v>
      </c>
      <c r="D307" t="s">
        <v>74</v>
      </c>
      <c r="E307" t="s">
        <v>74</v>
      </c>
      <c r="F307" t="s">
        <v>6034</v>
      </c>
      <c r="G307" t="s">
        <v>74</v>
      </c>
      <c r="H307" t="s">
        <v>74</v>
      </c>
      <c r="I307" t="s">
        <v>6035</v>
      </c>
      <c r="J307" t="s">
        <v>6036</v>
      </c>
      <c r="K307" t="s">
        <v>74</v>
      </c>
      <c r="L307" t="s">
        <v>74</v>
      </c>
      <c r="M307" t="s">
        <v>78</v>
      </c>
      <c r="N307" t="s">
        <v>2829</v>
      </c>
      <c r="O307" t="s">
        <v>74</v>
      </c>
      <c r="P307" t="s">
        <v>74</v>
      </c>
      <c r="Q307" t="s">
        <v>74</v>
      </c>
      <c r="R307" t="s">
        <v>74</v>
      </c>
      <c r="S307" t="s">
        <v>74</v>
      </c>
      <c r="T307" t="s">
        <v>74</v>
      </c>
      <c r="U307" t="s">
        <v>6037</v>
      </c>
      <c r="V307" t="s">
        <v>74</v>
      </c>
      <c r="W307" t="s">
        <v>6038</v>
      </c>
      <c r="X307" t="s">
        <v>6039</v>
      </c>
      <c r="Y307" t="s">
        <v>6040</v>
      </c>
      <c r="Z307" t="s">
        <v>6041</v>
      </c>
      <c r="AA307" t="s">
        <v>74</v>
      </c>
      <c r="AB307" t="s">
        <v>6042</v>
      </c>
      <c r="AC307" t="s">
        <v>74</v>
      </c>
      <c r="AD307" t="s">
        <v>74</v>
      </c>
      <c r="AE307" t="s">
        <v>74</v>
      </c>
      <c r="AF307" t="s">
        <v>74</v>
      </c>
      <c r="AG307">
        <v>4</v>
      </c>
      <c r="AH307">
        <v>0</v>
      </c>
      <c r="AI307">
        <v>0</v>
      </c>
      <c r="AJ307">
        <v>0</v>
      </c>
      <c r="AK307">
        <v>0</v>
      </c>
      <c r="AL307" t="s">
        <v>6043</v>
      </c>
      <c r="AM307" t="s">
        <v>6044</v>
      </c>
      <c r="AN307" t="s">
        <v>6045</v>
      </c>
      <c r="AO307" t="s">
        <v>6046</v>
      </c>
      <c r="AP307" t="s">
        <v>74</v>
      </c>
      <c r="AQ307" t="s">
        <v>74</v>
      </c>
      <c r="AR307" t="s">
        <v>6047</v>
      </c>
      <c r="AS307" t="s">
        <v>6048</v>
      </c>
      <c r="AT307" t="s">
        <v>4078</v>
      </c>
      <c r="AU307">
        <v>2012</v>
      </c>
      <c r="AV307">
        <v>44</v>
      </c>
      <c r="AW307">
        <v>4</v>
      </c>
      <c r="AX307" t="s">
        <v>74</v>
      </c>
      <c r="AY307" t="s">
        <v>74</v>
      </c>
      <c r="AZ307" t="s">
        <v>74</v>
      </c>
      <c r="BA307" t="s">
        <v>74</v>
      </c>
      <c r="BB307">
        <v>324</v>
      </c>
      <c r="BC307">
        <v>324</v>
      </c>
      <c r="BD307" t="s">
        <v>74</v>
      </c>
      <c r="BE307" t="s">
        <v>74</v>
      </c>
      <c r="BF307" t="s">
        <v>74</v>
      </c>
      <c r="BG307" t="s">
        <v>74</v>
      </c>
      <c r="BH307" t="s">
        <v>74</v>
      </c>
      <c r="BI307">
        <v>1</v>
      </c>
      <c r="BJ307" t="s">
        <v>775</v>
      </c>
      <c r="BK307" t="s">
        <v>98</v>
      </c>
      <c r="BL307" t="s">
        <v>775</v>
      </c>
      <c r="BM307" t="s">
        <v>6049</v>
      </c>
      <c r="BN307">
        <v>23267632</v>
      </c>
      <c r="BO307" t="s">
        <v>74</v>
      </c>
      <c r="BP307" t="s">
        <v>74</v>
      </c>
      <c r="BQ307" t="s">
        <v>74</v>
      </c>
      <c r="BR307" t="s">
        <v>101</v>
      </c>
      <c r="BS307" t="s">
        <v>6050</v>
      </c>
      <c r="BT307" t="str">
        <f>HYPERLINK("https%3A%2F%2Fwww.webofscience.com%2Fwos%2Fwoscc%2Ffull-record%2FWOS:000312826700014","View Full Record in Web of Science")</f>
        <v>View Full Record in Web of Science</v>
      </c>
    </row>
    <row r="308" spans="1:72" x14ac:dyDescent="0.15">
      <c r="A308" t="s">
        <v>72</v>
      </c>
      <c r="B308" t="s">
        <v>6051</v>
      </c>
      <c r="C308" t="s">
        <v>74</v>
      </c>
      <c r="D308" t="s">
        <v>74</v>
      </c>
      <c r="E308" t="s">
        <v>74</v>
      </c>
      <c r="F308" t="s">
        <v>6052</v>
      </c>
      <c r="G308" t="s">
        <v>74</v>
      </c>
      <c r="H308" t="s">
        <v>74</v>
      </c>
      <c r="I308" t="s">
        <v>6053</v>
      </c>
      <c r="J308" t="s">
        <v>6054</v>
      </c>
      <c r="K308" t="s">
        <v>74</v>
      </c>
      <c r="L308" t="s">
        <v>74</v>
      </c>
      <c r="M308" t="s">
        <v>6055</v>
      </c>
      <c r="N308" t="s">
        <v>79</v>
      </c>
      <c r="O308" t="s">
        <v>74</v>
      </c>
      <c r="P308" t="s">
        <v>74</v>
      </c>
      <c r="Q308" t="s">
        <v>74</v>
      </c>
      <c r="R308" t="s">
        <v>74</v>
      </c>
      <c r="S308" t="s">
        <v>74</v>
      </c>
      <c r="T308" t="s">
        <v>6056</v>
      </c>
      <c r="U308" t="s">
        <v>74</v>
      </c>
      <c r="V308" t="s">
        <v>6057</v>
      </c>
      <c r="W308" t="s">
        <v>6058</v>
      </c>
      <c r="X308" t="s">
        <v>6059</v>
      </c>
      <c r="Y308" t="s">
        <v>6060</v>
      </c>
      <c r="Z308" t="s">
        <v>6061</v>
      </c>
      <c r="AA308" t="s">
        <v>6062</v>
      </c>
      <c r="AB308" t="s">
        <v>6063</v>
      </c>
      <c r="AC308" t="s">
        <v>6064</v>
      </c>
      <c r="AD308" t="s">
        <v>6065</v>
      </c>
      <c r="AE308" t="s">
        <v>6066</v>
      </c>
      <c r="AF308" t="s">
        <v>74</v>
      </c>
      <c r="AG308">
        <v>44</v>
      </c>
      <c r="AH308">
        <v>0</v>
      </c>
      <c r="AI308">
        <v>0</v>
      </c>
      <c r="AJ308">
        <v>0</v>
      </c>
      <c r="AK308">
        <v>0</v>
      </c>
      <c r="AL308" t="s">
        <v>6067</v>
      </c>
      <c r="AM308" t="s">
        <v>6068</v>
      </c>
      <c r="AN308" t="s">
        <v>6069</v>
      </c>
      <c r="AO308" t="s">
        <v>6070</v>
      </c>
      <c r="AP308" t="s">
        <v>6071</v>
      </c>
      <c r="AQ308" t="s">
        <v>74</v>
      </c>
      <c r="AR308" t="s">
        <v>6072</v>
      </c>
      <c r="AS308" t="s">
        <v>6073</v>
      </c>
      <c r="AT308" t="s">
        <v>4078</v>
      </c>
      <c r="AU308">
        <v>2012</v>
      </c>
      <c r="AV308">
        <v>13</v>
      </c>
      <c r="AW308">
        <v>4</v>
      </c>
      <c r="AX308" t="s">
        <v>74</v>
      </c>
      <c r="AY308" t="s">
        <v>74</v>
      </c>
      <c r="AZ308" t="s">
        <v>74</v>
      </c>
      <c r="BA308" t="s">
        <v>74</v>
      </c>
      <c r="BB308">
        <v>393</v>
      </c>
      <c r="BC308">
        <v>400</v>
      </c>
      <c r="BD308" t="s">
        <v>74</v>
      </c>
      <c r="BE308" t="s">
        <v>74</v>
      </c>
      <c r="BF308" t="s">
        <v>74</v>
      </c>
      <c r="BG308" t="s">
        <v>74</v>
      </c>
      <c r="BH308" t="s">
        <v>74</v>
      </c>
      <c r="BI308">
        <v>8</v>
      </c>
      <c r="BJ308" t="s">
        <v>6074</v>
      </c>
      <c r="BK308" t="s">
        <v>2920</v>
      </c>
      <c r="BL308" t="s">
        <v>6075</v>
      </c>
      <c r="BM308" t="s">
        <v>6076</v>
      </c>
      <c r="BN308" t="s">
        <v>74</v>
      </c>
      <c r="BO308" t="s">
        <v>998</v>
      </c>
      <c r="BP308" t="s">
        <v>74</v>
      </c>
      <c r="BQ308" t="s">
        <v>74</v>
      </c>
      <c r="BR308" t="s">
        <v>101</v>
      </c>
      <c r="BS308" t="s">
        <v>6077</v>
      </c>
      <c r="BT308" t="str">
        <f>HYPERLINK("https%3A%2F%2Fwww.webofscience.com%2Fwos%2Fwoscc%2Ffull-record%2FWOS:000216937400003","View Full Record in Web of Science")</f>
        <v>View Full Record in Web of Science</v>
      </c>
    </row>
    <row r="309" spans="1:72" x14ac:dyDescent="0.15">
      <c r="A309" t="s">
        <v>72</v>
      </c>
      <c r="B309" t="s">
        <v>6078</v>
      </c>
      <c r="C309" t="s">
        <v>74</v>
      </c>
      <c r="D309" t="s">
        <v>74</v>
      </c>
      <c r="E309" t="s">
        <v>74</v>
      </c>
      <c r="F309" t="s">
        <v>6079</v>
      </c>
      <c r="G309" t="s">
        <v>74</v>
      </c>
      <c r="H309" t="s">
        <v>74</v>
      </c>
      <c r="I309" t="s">
        <v>6080</v>
      </c>
      <c r="J309" t="s">
        <v>6081</v>
      </c>
      <c r="K309" t="s">
        <v>74</v>
      </c>
      <c r="L309" t="s">
        <v>74</v>
      </c>
      <c r="M309" t="s">
        <v>6082</v>
      </c>
      <c r="N309" t="s">
        <v>79</v>
      </c>
      <c r="O309" t="s">
        <v>74</v>
      </c>
      <c r="P309" t="s">
        <v>74</v>
      </c>
      <c r="Q309" t="s">
        <v>74</v>
      </c>
      <c r="R309" t="s">
        <v>74</v>
      </c>
      <c r="S309" t="s">
        <v>74</v>
      </c>
      <c r="T309" t="s">
        <v>6083</v>
      </c>
      <c r="U309" t="s">
        <v>74</v>
      </c>
      <c r="V309" t="s">
        <v>6084</v>
      </c>
      <c r="W309" t="s">
        <v>6085</v>
      </c>
      <c r="X309" t="s">
        <v>6086</v>
      </c>
      <c r="Y309" t="s">
        <v>6087</v>
      </c>
      <c r="Z309" t="s">
        <v>6088</v>
      </c>
      <c r="AA309" t="s">
        <v>74</v>
      </c>
      <c r="AB309" t="s">
        <v>74</v>
      </c>
      <c r="AC309" t="s">
        <v>74</v>
      </c>
      <c r="AD309" t="s">
        <v>74</v>
      </c>
      <c r="AE309" t="s">
        <v>74</v>
      </c>
      <c r="AF309" t="s">
        <v>74</v>
      </c>
      <c r="AG309">
        <v>23</v>
      </c>
      <c r="AH309">
        <v>0</v>
      </c>
      <c r="AI309">
        <v>0</v>
      </c>
      <c r="AJ309">
        <v>0</v>
      </c>
      <c r="AK309">
        <v>0</v>
      </c>
      <c r="AL309" t="s">
        <v>6089</v>
      </c>
      <c r="AM309" t="s">
        <v>6090</v>
      </c>
      <c r="AN309" t="s">
        <v>6091</v>
      </c>
      <c r="AO309" t="s">
        <v>6092</v>
      </c>
      <c r="AP309" t="s">
        <v>74</v>
      </c>
      <c r="AQ309" t="s">
        <v>74</v>
      </c>
      <c r="AR309" t="s">
        <v>6093</v>
      </c>
      <c r="AS309" t="s">
        <v>6094</v>
      </c>
      <c r="AT309" t="s">
        <v>4078</v>
      </c>
      <c r="AU309">
        <v>2012</v>
      </c>
      <c r="AV309">
        <v>3</v>
      </c>
      <c r="AW309">
        <v>4</v>
      </c>
      <c r="AX309" t="s">
        <v>74</v>
      </c>
      <c r="AY309" t="s">
        <v>74</v>
      </c>
      <c r="AZ309" t="s">
        <v>74</v>
      </c>
      <c r="BA309" t="s">
        <v>74</v>
      </c>
      <c r="BB309">
        <v>250</v>
      </c>
      <c r="BC309">
        <v>268</v>
      </c>
      <c r="BD309" t="s">
        <v>74</v>
      </c>
      <c r="BE309" t="s">
        <v>74</v>
      </c>
      <c r="BF309" t="s">
        <v>74</v>
      </c>
      <c r="BG309" t="s">
        <v>74</v>
      </c>
      <c r="BH309" t="s">
        <v>74</v>
      </c>
      <c r="BI309">
        <v>19</v>
      </c>
      <c r="BJ309" t="s">
        <v>6095</v>
      </c>
      <c r="BK309" t="s">
        <v>2920</v>
      </c>
      <c r="BL309" t="s">
        <v>6095</v>
      </c>
      <c r="BM309" t="s">
        <v>6096</v>
      </c>
      <c r="BN309" t="s">
        <v>74</v>
      </c>
      <c r="BO309" t="s">
        <v>74</v>
      </c>
      <c r="BP309" t="s">
        <v>74</v>
      </c>
      <c r="BQ309" t="s">
        <v>74</v>
      </c>
      <c r="BR309" t="s">
        <v>101</v>
      </c>
      <c r="BS309" t="s">
        <v>6097</v>
      </c>
      <c r="BT309" t="str">
        <f>HYPERLINK("https%3A%2F%2Fwww.webofscience.com%2Fwos%2Fwoscc%2Ffull-record%2FWOS:000215958100005","View Full Record in Web of Science")</f>
        <v>View Full Record in Web of Science</v>
      </c>
    </row>
    <row r="310" spans="1:72" x14ac:dyDescent="0.15">
      <c r="A310" t="s">
        <v>72</v>
      </c>
      <c r="B310" t="s">
        <v>6098</v>
      </c>
      <c r="C310" t="s">
        <v>74</v>
      </c>
      <c r="D310" t="s">
        <v>74</v>
      </c>
      <c r="E310" t="s">
        <v>74</v>
      </c>
      <c r="F310" t="s">
        <v>6099</v>
      </c>
      <c r="G310" t="s">
        <v>74</v>
      </c>
      <c r="H310" t="s">
        <v>74</v>
      </c>
      <c r="I310" t="s">
        <v>6100</v>
      </c>
      <c r="J310" t="s">
        <v>6081</v>
      </c>
      <c r="K310" t="s">
        <v>74</v>
      </c>
      <c r="L310" t="s">
        <v>74</v>
      </c>
      <c r="M310" t="s">
        <v>6082</v>
      </c>
      <c r="N310" t="s">
        <v>79</v>
      </c>
      <c r="O310" t="s">
        <v>74</v>
      </c>
      <c r="P310" t="s">
        <v>74</v>
      </c>
      <c r="Q310" t="s">
        <v>74</v>
      </c>
      <c r="R310" t="s">
        <v>74</v>
      </c>
      <c r="S310" t="s">
        <v>74</v>
      </c>
      <c r="T310" t="s">
        <v>6101</v>
      </c>
      <c r="U310" t="s">
        <v>74</v>
      </c>
      <c r="V310" t="s">
        <v>6102</v>
      </c>
      <c r="W310" t="s">
        <v>6103</v>
      </c>
      <c r="X310" t="s">
        <v>6086</v>
      </c>
      <c r="Y310" t="s">
        <v>6104</v>
      </c>
      <c r="Z310" t="s">
        <v>6105</v>
      </c>
      <c r="AA310" t="s">
        <v>74</v>
      </c>
      <c r="AB310" t="s">
        <v>74</v>
      </c>
      <c r="AC310" t="s">
        <v>74</v>
      </c>
      <c r="AD310" t="s">
        <v>74</v>
      </c>
      <c r="AE310" t="s">
        <v>74</v>
      </c>
      <c r="AF310" t="s">
        <v>74</v>
      </c>
      <c r="AG310">
        <v>13</v>
      </c>
      <c r="AH310">
        <v>0</v>
      </c>
      <c r="AI310">
        <v>0</v>
      </c>
      <c r="AJ310">
        <v>0</v>
      </c>
      <c r="AK310">
        <v>0</v>
      </c>
      <c r="AL310" t="s">
        <v>6089</v>
      </c>
      <c r="AM310" t="s">
        <v>6090</v>
      </c>
      <c r="AN310" t="s">
        <v>6091</v>
      </c>
      <c r="AO310" t="s">
        <v>6092</v>
      </c>
      <c r="AP310" t="s">
        <v>74</v>
      </c>
      <c r="AQ310" t="s">
        <v>74</v>
      </c>
      <c r="AR310" t="s">
        <v>6093</v>
      </c>
      <c r="AS310" t="s">
        <v>6094</v>
      </c>
      <c r="AT310" t="s">
        <v>4078</v>
      </c>
      <c r="AU310">
        <v>2012</v>
      </c>
      <c r="AV310">
        <v>3</v>
      </c>
      <c r="AW310">
        <v>4</v>
      </c>
      <c r="AX310" t="s">
        <v>74</v>
      </c>
      <c r="AY310" t="s">
        <v>74</v>
      </c>
      <c r="AZ310" t="s">
        <v>74</v>
      </c>
      <c r="BA310" t="s">
        <v>74</v>
      </c>
      <c r="BB310">
        <v>269</v>
      </c>
      <c r="BC310">
        <v>286</v>
      </c>
      <c r="BD310" t="s">
        <v>74</v>
      </c>
      <c r="BE310" t="s">
        <v>74</v>
      </c>
      <c r="BF310" t="s">
        <v>74</v>
      </c>
      <c r="BG310" t="s">
        <v>74</v>
      </c>
      <c r="BH310" t="s">
        <v>74</v>
      </c>
      <c r="BI310">
        <v>18</v>
      </c>
      <c r="BJ310" t="s">
        <v>6095</v>
      </c>
      <c r="BK310" t="s">
        <v>2920</v>
      </c>
      <c r="BL310" t="s">
        <v>6095</v>
      </c>
      <c r="BM310" t="s">
        <v>6096</v>
      </c>
      <c r="BN310" t="s">
        <v>74</v>
      </c>
      <c r="BO310" t="s">
        <v>74</v>
      </c>
      <c r="BP310" t="s">
        <v>74</v>
      </c>
      <c r="BQ310" t="s">
        <v>74</v>
      </c>
      <c r="BR310" t="s">
        <v>101</v>
      </c>
      <c r="BS310" t="s">
        <v>6106</v>
      </c>
      <c r="BT310" t="str">
        <f>HYPERLINK("https%3A%2F%2Fwww.webofscience.com%2Fwos%2Fwoscc%2Ffull-record%2FWOS:000215958100006","View Full Record in Web of Science")</f>
        <v>View Full Record in Web of Science</v>
      </c>
    </row>
    <row r="311" spans="1:72" x14ac:dyDescent="0.15">
      <c r="A311" t="s">
        <v>72</v>
      </c>
      <c r="B311" t="s">
        <v>6107</v>
      </c>
      <c r="C311" t="s">
        <v>74</v>
      </c>
      <c r="D311" t="s">
        <v>74</v>
      </c>
      <c r="E311" t="s">
        <v>74</v>
      </c>
      <c r="F311" t="s">
        <v>6108</v>
      </c>
      <c r="G311" t="s">
        <v>74</v>
      </c>
      <c r="H311" t="s">
        <v>74</v>
      </c>
      <c r="I311" t="s">
        <v>6109</v>
      </c>
      <c r="J311" t="s">
        <v>6110</v>
      </c>
      <c r="K311" t="s">
        <v>74</v>
      </c>
      <c r="L311" t="s">
        <v>74</v>
      </c>
      <c r="M311" t="s">
        <v>78</v>
      </c>
      <c r="N311" t="s">
        <v>79</v>
      </c>
      <c r="O311" t="s">
        <v>74</v>
      </c>
      <c r="P311" t="s">
        <v>74</v>
      </c>
      <c r="Q311" t="s">
        <v>74</v>
      </c>
      <c r="R311" t="s">
        <v>74</v>
      </c>
      <c r="S311" t="s">
        <v>74</v>
      </c>
      <c r="T311" t="s">
        <v>6111</v>
      </c>
      <c r="U311" t="s">
        <v>6112</v>
      </c>
      <c r="V311" t="s">
        <v>6113</v>
      </c>
      <c r="W311" t="s">
        <v>6114</v>
      </c>
      <c r="X311" t="s">
        <v>6115</v>
      </c>
      <c r="Y311" t="s">
        <v>6116</v>
      </c>
      <c r="Z311" t="s">
        <v>6117</v>
      </c>
      <c r="AA311" t="s">
        <v>6118</v>
      </c>
      <c r="AB311" t="s">
        <v>6119</v>
      </c>
      <c r="AC311" t="s">
        <v>6120</v>
      </c>
      <c r="AD311" t="s">
        <v>6120</v>
      </c>
      <c r="AE311" t="s">
        <v>6121</v>
      </c>
      <c r="AF311" t="s">
        <v>74</v>
      </c>
      <c r="AG311">
        <v>36</v>
      </c>
      <c r="AH311">
        <v>53</v>
      </c>
      <c r="AI311">
        <v>66</v>
      </c>
      <c r="AJ311">
        <v>6</v>
      </c>
      <c r="AK311">
        <v>96</v>
      </c>
      <c r="AL311" t="s">
        <v>89</v>
      </c>
      <c r="AM311" t="s">
        <v>90</v>
      </c>
      <c r="AN311" t="s">
        <v>91</v>
      </c>
      <c r="AO311" t="s">
        <v>6122</v>
      </c>
      <c r="AP311" t="s">
        <v>74</v>
      </c>
      <c r="AQ311" t="s">
        <v>74</v>
      </c>
      <c r="AR311" t="s">
        <v>6123</v>
      </c>
      <c r="AS311" t="s">
        <v>6124</v>
      </c>
      <c r="AT311" t="s">
        <v>4154</v>
      </c>
      <c r="AU311">
        <v>2012</v>
      </c>
      <c r="AV311">
        <v>53</v>
      </c>
      <c r="AW311" t="s">
        <v>74</v>
      </c>
      <c r="AX311" t="s">
        <v>74</v>
      </c>
      <c r="AY311" t="s">
        <v>74</v>
      </c>
      <c r="AZ311" t="s">
        <v>74</v>
      </c>
      <c r="BA311" t="s">
        <v>74</v>
      </c>
      <c r="BB311">
        <v>99</v>
      </c>
      <c r="BC311">
        <v>111</v>
      </c>
      <c r="BD311" t="s">
        <v>74</v>
      </c>
      <c r="BE311" t="s">
        <v>6125</v>
      </c>
      <c r="BF311" t="str">
        <f>HYPERLINK("http://dx.doi.org/10.1016/j.soilbio.2012.04.027","http://dx.doi.org/10.1016/j.soilbio.2012.04.027")</f>
        <v>http://dx.doi.org/10.1016/j.soilbio.2012.04.027</v>
      </c>
      <c r="BG311" t="s">
        <v>74</v>
      </c>
      <c r="BH311" t="s">
        <v>74</v>
      </c>
      <c r="BI311">
        <v>13</v>
      </c>
      <c r="BJ311" t="s">
        <v>2619</v>
      </c>
      <c r="BK311" t="s">
        <v>98</v>
      </c>
      <c r="BL311" t="s">
        <v>2620</v>
      </c>
      <c r="BM311" t="s">
        <v>6126</v>
      </c>
      <c r="BN311" t="s">
        <v>74</v>
      </c>
      <c r="BO311" t="s">
        <v>74</v>
      </c>
      <c r="BP311" t="s">
        <v>74</v>
      </c>
      <c r="BQ311" t="s">
        <v>74</v>
      </c>
      <c r="BR311" t="s">
        <v>101</v>
      </c>
      <c r="BS311" t="s">
        <v>6127</v>
      </c>
      <c r="BT311" t="str">
        <f>HYPERLINK("https%3A%2F%2Fwww.webofscience.com%2Fwos%2Fwoscc%2Ffull-record%2FWOS:000307141400014","View Full Record in Web of Science")</f>
        <v>View Full Record in Web of Science</v>
      </c>
    </row>
    <row r="312" spans="1:72" x14ac:dyDescent="0.15">
      <c r="A312" t="s">
        <v>72</v>
      </c>
      <c r="B312" t="s">
        <v>6128</v>
      </c>
      <c r="C312" t="s">
        <v>74</v>
      </c>
      <c r="D312" t="s">
        <v>74</v>
      </c>
      <c r="E312" t="s">
        <v>74</v>
      </c>
      <c r="F312" t="s">
        <v>6129</v>
      </c>
      <c r="G312" t="s">
        <v>74</v>
      </c>
      <c r="H312" t="s">
        <v>74</v>
      </c>
      <c r="I312" t="s">
        <v>6130</v>
      </c>
      <c r="J312" t="s">
        <v>6131</v>
      </c>
      <c r="K312" t="s">
        <v>74</v>
      </c>
      <c r="L312" t="s">
        <v>74</v>
      </c>
      <c r="M312" t="s">
        <v>78</v>
      </c>
      <c r="N312" t="s">
        <v>79</v>
      </c>
      <c r="O312" t="s">
        <v>74</v>
      </c>
      <c r="P312" t="s">
        <v>74</v>
      </c>
      <c r="Q312" t="s">
        <v>74</v>
      </c>
      <c r="R312" t="s">
        <v>74</v>
      </c>
      <c r="S312" t="s">
        <v>74</v>
      </c>
      <c r="T312" t="s">
        <v>6132</v>
      </c>
      <c r="U312" t="s">
        <v>6133</v>
      </c>
      <c r="V312" t="s">
        <v>6134</v>
      </c>
      <c r="W312" t="s">
        <v>6135</v>
      </c>
      <c r="X312" t="s">
        <v>6136</v>
      </c>
      <c r="Y312" t="s">
        <v>6137</v>
      </c>
      <c r="Z312" t="s">
        <v>6138</v>
      </c>
      <c r="AA312" t="s">
        <v>6139</v>
      </c>
      <c r="AB312" t="s">
        <v>6140</v>
      </c>
      <c r="AC312" t="s">
        <v>6141</v>
      </c>
      <c r="AD312" t="s">
        <v>6142</v>
      </c>
      <c r="AE312" t="s">
        <v>6143</v>
      </c>
      <c r="AF312" t="s">
        <v>74</v>
      </c>
      <c r="AG312">
        <v>38</v>
      </c>
      <c r="AH312">
        <v>7</v>
      </c>
      <c r="AI312">
        <v>7</v>
      </c>
      <c r="AJ312">
        <v>0</v>
      </c>
      <c r="AK312">
        <v>1</v>
      </c>
      <c r="AL312" t="s">
        <v>935</v>
      </c>
      <c r="AM312" t="s">
        <v>2382</v>
      </c>
      <c r="AN312" t="s">
        <v>2383</v>
      </c>
      <c r="AO312" t="s">
        <v>6144</v>
      </c>
      <c r="AP312" t="s">
        <v>74</v>
      </c>
      <c r="AQ312" t="s">
        <v>74</v>
      </c>
      <c r="AR312" t="s">
        <v>6145</v>
      </c>
      <c r="AS312" t="s">
        <v>6146</v>
      </c>
      <c r="AT312" t="s">
        <v>4154</v>
      </c>
      <c r="AU312">
        <v>2012</v>
      </c>
      <c r="AV312">
        <v>280</v>
      </c>
      <c r="AW312">
        <v>2</v>
      </c>
      <c r="AX312" t="s">
        <v>74</v>
      </c>
      <c r="AY312" t="s">
        <v>74</v>
      </c>
      <c r="AZ312" t="s">
        <v>74</v>
      </c>
      <c r="BA312" t="s">
        <v>74</v>
      </c>
      <c r="BB312">
        <v>575</v>
      </c>
      <c r="BC312">
        <v>590</v>
      </c>
      <c r="BD312" t="s">
        <v>74</v>
      </c>
      <c r="BE312" t="s">
        <v>6147</v>
      </c>
      <c r="BF312" t="str">
        <f>HYPERLINK("http://dx.doi.org/10.1007/s11207-012-9963-2","http://dx.doi.org/10.1007/s11207-012-9963-2")</f>
        <v>http://dx.doi.org/10.1007/s11207-012-9963-2</v>
      </c>
      <c r="BG312" t="s">
        <v>74</v>
      </c>
      <c r="BH312" t="s">
        <v>74</v>
      </c>
      <c r="BI312">
        <v>16</v>
      </c>
      <c r="BJ312" t="s">
        <v>127</v>
      </c>
      <c r="BK312" t="s">
        <v>98</v>
      </c>
      <c r="BL312" t="s">
        <v>127</v>
      </c>
      <c r="BM312" t="s">
        <v>6148</v>
      </c>
      <c r="BN312" t="s">
        <v>74</v>
      </c>
      <c r="BO312" t="s">
        <v>416</v>
      </c>
      <c r="BP312" t="s">
        <v>74</v>
      </c>
      <c r="BQ312" t="s">
        <v>74</v>
      </c>
      <c r="BR312" t="s">
        <v>101</v>
      </c>
      <c r="BS312" t="s">
        <v>6149</v>
      </c>
      <c r="BT312" t="str">
        <f>HYPERLINK("https%3A%2F%2Fwww.webofscience.com%2Fwos%2Fwoscc%2Ffull-record%2FWOS:000309865800023","View Full Record in Web of Science")</f>
        <v>View Full Record in Web of Science</v>
      </c>
    </row>
    <row r="313" spans="1:72" x14ac:dyDescent="0.15">
      <c r="A313" t="s">
        <v>72</v>
      </c>
      <c r="B313" t="s">
        <v>6150</v>
      </c>
      <c r="C313" t="s">
        <v>74</v>
      </c>
      <c r="D313" t="s">
        <v>74</v>
      </c>
      <c r="E313" t="s">
        <v>74</v>
      </c>
      <c r="F313" t="s">
        <v>6151</v>
      </c>
      <c r="G313" t="s">
        <v>74</v>
      </c>
      <c r="H313" t="s">
        <v>74</v>
      </c>
      <c r="I313" t="s">
        <v>6152</v>
      </c>
      <c r="J313" t="s">
        <v>6153</v>
      </c>
      <c r="K313" t="s">
        <v>74</v>
      </c>
      <c r="L313" t="s">
        <v>74</v>
      </c>
      <c r="M313" t="s">
        <v>78</v>
      </c>
      <c r="N313" t="s">
        <v>974</v>
      </c>
      <c r="O313" t="s">
        <v>74</v>
      </c>
      <c r="P313" t="s">
        <v>74</v>
      </c>
      <c r="Q313" t="s">
        <v>74</v>
      </c>
      <c r="R313" t="s">
        <v>74</v>
      </c>
      <c r="S313" t="s">
        <v>74</v>
      </c>
      <c r="T313" t="s">
        <v>6154</v>
      </c>
      <c r="U313" t="s">
        <v>6155</v>
      </c>
      <c r="V313" t="s">
        <v>6156</v>
      </c>
      <c r="W313" t="s">
        <v>6157</v>
      </c>
      <c r="X313" t="s">
        <v>6158</v>
      </c>
      <c r="Y313" t="s">
        <v>6159</v>
      </c>
      <c r="Z313" t="s">
        <v>6160</v>
      </c>
      <c r="AA313" t="s">
        <v>6161</v>
      </c>
      <c r="AB313" t="s">
        <v>6162</v>
      </c>
      <c r="AC313" t="s">
        <v>6163</v>
      </c>
      <c r="AD313" t="s">
        <v>6164</v>
      </c>
      <c r="AE313" t="s">
        <v>6165</v>
      </c>
      <c r="AF313" t="s">
        <v>74</v>
      </c>
      <c r="AG313">
        <v>86</v>
      </c>
      <c r="AH313">
        <v>233</v>
      </c>
      <c r="AI313">
        <v>244</v>
      </c>
      <c r="AJ313">
        <v>0</v>
      </c>
      <c r="AK313">
        <v>13</v>
      </c>
      <c r="AL313" t="s">
        <v>935</v>
      </c>
      <c r="AM313" t="s">
        <v>2382</v>
      </c>
      <c r="AN313" t="s">
        <v>2383</v>
      </c>
      <c r="AO313" t="s">
        <v>6166</v>
      </c>
      <c r="AP313" t="s">
        <v>6167</v>
      </c>
      <c r="AQ313" t="s">
        <v>74</v>
      </c>
      <c r="AR313" t="s">
        <v>6168</v>
      </c>
      <c r="AS313" t="s">
        <v>6169</v>
      </c>
      <c r="AT313" t="s">
        <v>4154</v>
      </c>
      <c r="AU313">
        <v>2012</v>
      </c>
      <c r="AV313">
        <v>171</v>
      </c>
      <c r="AW313" t="s">
        <v>6170</v>
      </c>
      <c r="AX313" t="s">
        <v>74</v>
      </c>
      <c r="AY313" t="s">
        <v>74</v>
      </c>
      <c r="AZ313" t="s">
        <v>74</v>
      </c>
      <c r="BA313" t="s">
        <v>74</v>
      </c>
      <c r="BB313">
        <v>23</v>
      </c>
      <c r="BC313">
        <v>60</v>
      </c>
      <c r="BD313" t="s">
        <v>74</v>
      </c>
      <c r="BE313" t="s">
        <v>6171</v>
      </c>
      <c r="BF313" t="str">
        <f>HYPERLINK("http://dx.doi.org/10.1007/s11214-012-9890-4","http://dx.doi.org/10.1007/s11214-012-9890-4")</f>
        <v>http://dx.doi.org/10.1007/s11214-012-9890-4</v>
      </c>
      <c r="BG313" t="s">
        <v>74</v>
      </c>
      <c r="BH313" t="s">
        <v>74</v>
      </c>
      <c r="BI313">
        <v>38</v>
      </c>
      <c r="BJ313" t="s">
        <v>127</v>
      </c>
      <c r="BK313" t="s">
        <v>98</v>
      </c>
      <c r="BL313" t="s">
        <v>127</v>
      </c>
      <c r="BM313" t="s">
        <v>6172</v>
      </c>
      <c r="BN313" t="s">
        <v>74</v>
      </c>
      <c r="BO313" t="s">
        <v>5820</v>
      </c>
      <c r="BP313" t="s">
        <v>74</v>
      </c>
      <c r="BQ313" t="s">
        <v>74</v>
      </c>
      <c r="BR313" t="s">
        <v>101</v>
      </c>
      <c r="BS313" t="s">
        <v>6173</v>
      </c>
      <c r="BT313" t="str">
        <f>HYPERLINK("https%3A%2F%2Fwww.webofscience.com%2Fwos%2Fwoscc%2Ffull-record%2FWOS:000309352400003","View Full Record in Web of Science")</f>
        <v>View Full Record in Web of Science</v>
      </c>
    </row>
    <row r="314" spans="1:72" x14ac:dyDescent="0.15">
      <c r="A314" t="s">
        <v>72</v>
      </c>
      <c r="B314" t="s">
        <v>6174</v>
      </c>
      <c r="C314" t="s">
        <v>74</v>
      </c>
      <c r="D314" t="s">
        <v>74</v>
      </c>
      <c r="E314" t="s">
        <v>74</v>
      </c>
      <c r="F314" t="s">
        <v>6175</v>
      </c>
      <c r="G314" t="s">
        <v>74</v>
      </c>
      <c r="H314" t="s">
        <v>74</v>
      </c>
      <c r="I314" t="s">
        <v>6176</v>
      </c>
      <c r="J314" t="s">
        <v>6177</v>
      </c>
      <c r="K314" t="s">
        <v>74</v>
      </c>
      <c r="L314" t="s">
        <v>74</v>
      </c>
      <c r="M314" t="s">
        <v>78</v>
      </c>
      <c r="N314" t="s">
        <v>79</v>
      </c>
      <c r="O314" t="s">
        <v>74</v>
      </c>
      <c r="P314" t="s">
        <v>74</v>
      </c>
      <c r="Q314" t="s">
        <v>74</v>
      </c>
      <c r="R314" t="s">
        <v>74</v>
      </c>
      <c r="S314" t="s">
        <v>74</v>
      </c>
      <c r="T314" t="s">
        <v>6178</v>
      </c>
      <c r="U314" t="s">
        <v>6179</v>
      </c>
      <c r="V314" t="s">
        <v>6180</v>
      </c>
      <c r="W314" t="s">
        <v>6181</v>
      </c>
      <c r="X314" t="s">
        <v>6182</v>
      </c>
      <c r="Y314" t="s">
        <v>6183</v>
      </c>
      <c r="Z314" t="s">
        <v>6184</v>
      </c>
      <c r="AA314" t="s">
        <v>6185</v>
      </c>
      <c r="AB314" t="s">
        <v>74</v>
      </c>
      <c r="AC314" t="s">
        <v>6186</v>
      </c>
      <c r="AD314" t="s">
        <v>6187</v>
      </c>
      <c r="AE314" t="s">
        <v>6188</v>
      </c>
      <c r="AF314" t="s">
        <v>74</v>
      </c>
      <c r="AG314">
        <v>17</v>
      </c>
      <c r="AH314">
        <v>1</v>
      </c>
      <c r="AI314">
        <v>1</v>
      </c>
      <c r="AJ314">
        <v>0</v>
      </c>
      <c r="AK314">
        <v>9</v>
      </c>
      <c r="AL314" t="s">
        <v>6189</v>
      </c>
      <c r="AM314" t="s">
        <v>6190</v>
      </c>
      <c r="AN314" t="s">
        <v>6191</v>
      </c>
      <c r="AO314" t="s">
        <v>6192</v>
      </c>
      <c r="AP314" t="s">
        <v>6193</v>
      </c>
      <c r="AQ314" t="s">
        <v>74</v>
      </c>
      <c r="AR314" t="s">
        <v>6194</v>
      </c>
      <c r="AS314" t="s">
        <v>6195</v>
      </c>
      <c r="AT314" t="s">
        <v>4078</v>
      </c>
      <c r="AU314">
        <v>2012</v>
      </c>
      <c r="AV314">
        <v>71</v>
      </c>
      <c r="AW314">
        <v>4</v>
      </c>
      <c r="AX314" t="s">
        <v>74</v>
      </c>
      <c r="AY314" t="s">
        <v>74</v>
      </c>
      <c r="AZ314" t="s">
        <v>74</v>
      </c>
      <c r="BA314" t="s">
        <v>74</v>
      </c>
      <c r="BB314">
        <v>243</v>
      </c>
      <c r="BC314">
        <v>246</v>
      </c>
      <c r="BD314" t="s">
        <v>74</v>
      </c>
      <c r="BE314" t="s">
        <v>6196</v>
      </c>
      <c r="BF314" t="str">
        <f>HYPERLINK("http://dx.doi.org/10.1080/0371750X.2013.775764","http://dx.doi.org/10.1080/0371750X.2013.775764")</f>
        <v>http://dx.doi.org/10.1080/0371750X.2013.775764</v>
      </c>
      <c r="BG314" t="s">
        <v>74</v>
      </c>
      <c r="BH314" t="s">
        <v>74</v>
      </c>
      <c r="BI314">
        <v>4</v>
      </c>
      <c r="BJ314" t="s">
        <v>6197</v>
      </c>
      <c r="BK314" t="s">
        <v>98</v>
      </c>
      <c r="BL314" t="s">
        <v>6198</v>
      </c>
      <c r="BM314" t="s">
        <v>6199</v>
      </c>
      <c r="BN314" t="s">
        <v>74</v>
      </c>
      <c r="BO314" t="s">
        <v>74</v>
      </c>
      <c r="BP314" t="s">
        <v>74</v>
      </c>
      <c r="BQ314" t="s">
        <v>74</v>
      </c>
      <c r="BR314" t="s">
        <v>101</v>
      </c>
      <c r="BS314" t="s">
        <v>6200</v>
      </c>
      <c r="BT314" t="str">
        <f>HYPERLINK("https%3A%2F%2Fwww.webofscience.com%2Fwos%2Fwoscc%2Ffull-record%2FWOS:000327933300016","View Full Record in Web of Science")</f>
        <v>View Full Record in Web of Science</v>
      </c>
    </row>
    <row r="315" spans="1:72" x14ac:dyDescent="0.15">
      <c r="A315" t="s">
        <v>72</v>
      </c>
      <c r="B315" t="s">
        <v>6201</v>
      </c>
      <c r="C315" t="s">
        <v>74</v>
      </c>
      <c r="D315" t="s">
        <v>74</v>
      </c>
      <c r="E315" t="s">
        <v>74</v>
      </c>
      <c r="F315" t="s">
        <v>6202</v>
      </c>
      <c r="G315" t="s">
        <v>74</v>
      </c>
      <c r="H315" t="s">
        <v>74</v>
      </c>
      <c r="I315" t="s">
        <v>6203</v>
      </c>
      <c r="J315" t="s">
        <v>6204</v>
      </c>
      <c r="K315" t="s">
        <v>74</v>
      </c>
      <c r="L315" t="s">
        <v>74</v>
      </c>
      <c r="M315" t="s">
        <v>78</v>
      </c>
      <c r="N315" t="s">
        <v>79</v>
      </c>
      <c r="O315" t="s">
        <v>74</v>
      </c>
      <c r="P315" t="s">
        <v>74</v>
      </c>
      <c r="Q315" t="s">
        <v>74</v>
      </c>
      <c r="R315" t="s">
        <v>74</v>
      </c>
      <c r="S315" t="s">
        <v>74</v>
      </c>
      <c r="T315" t="s">
        <v>6205</v>
      </c>
      <c r="U315" t="s">
        <v>6206</v>
      </c>
      <c r="V315" t="s">
        <v>6207</v>
      </c>
      <c r="W315" t="s">
        <v>6208</v>
      </c>
      <c r="X315" t="s">
        <v>6209</v>
      </c>
      <c r="Y315" t="s">
        <v>6210</v>
      </c>
      <c r="Z315" t="s">
        <v>6211</v>
      </c>
      <c r="AA315" t="s">
        <v>74</v>
      </c>
      <c r="AB315" t="s">
        <v>6212</v>
      </c>
      <c r="AC315" t="s">
        <v>6213</v>
      </c>
      <c r="AD315" t="s">
        <v>6214</v>
      </c>
      <c r="AE315" t="s">
        <v>6215</v>
      </c>
      <c r="AF315" t="s">
        <v>74</v>
      </c>
      <c r="AG315">
        <v>16</v>
      </c>
      <c r="AH315">
        <v>3</v>
      </c>
      <c r="AI315">
        <v>3</v>
      </c>
      <c r="AJ315">
        <v>0</v>
      </c>
      <c r="AK315">
        <v>12</v>
      </c>
      <c r="AL315" t="s">
        <v>188</v>
      </c>
      <c r="AM315" t="s">
        <v>189</v>
      </c>
      <c r="AN315" t="s">
        <v>190</v>
      </c>
      <c r="AO315" t="s">
        <v>6216</v>
      </c>
      <c r="AP315" t="s">
        <v>6217</v>
      </c>
      <c r="AQ315" t="s">
        <v>74</v>
      </c>
      <c r="AR315" t="s">
        <v>6218</v>
      </c>
      <c r="AS315" t="s">
        <v>6219</v>
      </c>
      <c r="AT315" t="s">
        <v>4154</v>
      </c>
      <c r="AU315">
        <v>2012</v>
      </c>
      <c r="AV315">
        <v>82</v>
      </c>
      <c r="AW315" t="s">
        <v>74</v>
      </c>
      <c r="AX315" t="s">
        <v>74</v>
      </c>
      <c r="AY315" t="s">
        <v>74</v>
      </c>
      <c r="AZ315" t="s">
        <v>74</v>
      </c>
      <c r="BA315" t="s">
        <v>74</v>
      </c>
      <c r="BB315">
        <v>30</v>
      </c>
      <c r="BC315">
        <v>35</v>
      </c>
      <c r="BD315" t="s">
        <v>74</v>
      </c>
      <c r="BE315" t="s">
        <v>6220</v>
      </c>
      <c r="BF315" t="str">
        <f>HYPERLINK("http://dx.doi.org/10.1016/j.coldregions.2012.05.005","http://dx.doi.org/10.1016/j.coldregions.2012.05.005")</f>
        <v>http://dx.doi.org/10.1016/j.coldregions.2012.05.005</v>
      </c>
      <c r="BG315" t="s">
        <v>74</v>
      </c>
      <c r="BH315" t="s">
        <v>74</v>
      </c>
      <c r="BI315">
        <v>6</v>
      </c>
      <c r="BJ315" t="s">
        <v>6221</v>
      </c>
      <c r="BK315" t="s">
        <v>98</v>
      </c>
      <c r="BL315" t="s">
        <v>6222</v>
      </c>
      <c r="BM315" t="s">
        <v>6223</v>
      </c>
      <c r="BN315" t="s">
        <v>74</v>
      </c>
      <c r="BO315" t="s">
        <v>74</v>
      </c>
      <c r="BP315" t="s">
        <v>74</v>
      </c>
      <c r="BQ315" t="s">
        <v>74</v>
      </c>
      <c r="BR315" t="s">
        <v>101</v>
      </c>
      <c r="BS315" t="s">
        <v>6224</v>
      </c>
      <c r="BT315" t="str">
        <f>HYPERLINK("https%3A%2F%2Fwww.webofscience.com%2Fwos%2Fwoscc%2Ffull-record%2FWOS:000306723500005","View Full Record in Web of Science")</f>
        <v>View Full Record in Web of Science</v>
      </c>
    </row>
    <row r="316" spans="1:72" x14ac:dyDescent="0.15">
      <c r="A316" t="s">
        <v>72</v>
      </c>
      <c r="B316" t="s">
        <v>6225</v>
      </c>
      <c r="C316" t="s">
        <v>74</v>
      </c>
      <c r="D316" t="s">
        <v>74</v>
      </c>
      <c r="E316" t="s">
        <v>74</v>
      </c>
      <c r="F316" t="s">
        <v>6226</v>
      </c>
      <c r="G316" t="s">
        <v>74</v>
      </c>
      <c r="H316" t="s">
        <v>74</v>
      </c>
      <c r="I316" t="s">
        <v>6227</v>
      </c>
      <c r="J316" t="s">
        <v>6204</v>
      </c>
      <c r="K316" t="s">
        <v>74</v>
      </c>
      <c r="L316" t="s">
        <v>74</v>
      </c>
      <c r="M316" t="s">
        <v>78</v>
      </c>
      <c r="N316" t="s">
        <v>79</v>
      </c>
      <c r="O316" t="s">
        <v>74</v>
      </c>
      <c r="P316" t="s">
        <v>74</v>
      </c>
      <c r="Q316" t="s">
        <v>74</v>
      </c>
      <c r="R316" t="s">
        <v>74</v>
      </c>
      <c r="S316" t="s">
        <v>74</v>
      </c>
      <c r="T316" t="s">
        <v>6228</v>
      </c>
      <c r="U316" t="s">
        <v>74</v>
      </c>
      <c r="V316" t="s">
        <v>6229</v>
      </c>
      <c r="W316" t="s">
        <v>6230</v>
      </c>
      <c r="X316" t="s">
        <v>856</v>
      </c>
      <c r="Y316" t="s">
        <v>6231</v>
      </c>
      <c r="Z316" t="s">
        <v>6232</v>
      </c>
      <c r="AA316" t="s">
        <v>74</v>
      </c>
      <c r="AB316" t="s">
        <v>6233</v>
      </c>
      <c r="AC316" t="s">
        <v>74</v>
      </c>
      <c r="AD316" t="s">
        <v>74</v>
      </c>
      <c r="AE316" t="s">
        <v>74</v>
      </c>
      <c r="AF316" t="s">
        <v>74</v>
      </c>
      <c r="AG316">
        <v>15</v>
      </c>
      <c r="AH316">
        <v>5</v>
      </c>
      <c r="AI316">
        <v>7</v>
      </c>
      <c r="AJ316">
        <v>0</v>
      </c>
      <c r="AK316">
        <v>4</v>
      </c>
      <c r="AL316" t="s">
        <v>259</v>
      </c>
      <c r="AM316" t="s">
        <v>189</v>
      </c>
      <c r="AN316" t="s">
        <v>260</v>
      </c>
      <c r="AO316" t="s">
        <v>6216</v>
      </c>
      <c r="AP316" t="s">
        <v>74</v>
      </c>
      <c r="AQ316" t="s">
        <v>74</v>
      </c>
      <c r="AR316" t="s">
        <v>6218</v>
      </c>
      <c r="AS316" t="s">
        <v>6219</v>
      </c>
      <c r="AT316" t="s">
        <v>4154</v>
      </c>
      <c r="AU316">
        <v>2012</v>
      </c>
      <c r="AV316">
        <v>82</v>
      </c>
      <c r="AW316" t="s">
        <v>74</v>
      </c>
      <c r="AX316" t="s">
        <v>74</v>
      </c>
      <c r="AY316" t="s">
        <v>74</v>
      </c>
      <c r="AZ316" t="s">
        <v>74</v>
      </c>
      <c r="BA316" t="s">
        <v>74</v>
      </c>
      <c r="BB316">
        <v>144</v>
      </c>
      <c r="BC316">
        <v>152</v>
      </c>
      <c r="BD316" t="s">
        <v>74</v>
      </c>
      <c r="BE316" t="s">
        <v>6234</v>
      </c>
      <c r="BF316" t="str">
        <f>HYPERLINK("http://dx.doi.org/10.1016/j.coldregions.2012.05.018","http://dx.doi.org/10.1016/j.coldregions.2012.05.018")</f>
        <v>http://dx.doi.org/10.1016/j.coldregions.2012.05.018</v>
      </c>
      <c r="BG316" t="s">
        <v>74</v>
      </c>
      <c r="BH316" t="s">
        <v>74</v>
      </c>
      <c r="BI316">
        <v>9</v>
      </c>
      <c r="BJ316" t="s">
        <v>6221</v>
      </c>
      <c r="BK316" t="s">
        <v>98</v>
      </c>
      <c r="BL316" t="s">
        <v>6222</v>
      </c>
      <c r="BM316" t="s">
        <v>6223</v>
      </c>
      <c r="BN316" t="s">
        <v>74</v>
      </c>
      <c r="BO316" t="s">
        <v>74</v>
      </c>
      <c r="BP316" t="s">
        <v>74</v>
      </c>
      <c r="BQ316" t="s">
        <v>74</v>
      </c>
      <c r="BR316" t="s">
        <v>101</v>
      </c>
      <c r="BS316" t="s">
        <v>6235</v>
      </c>
      <c r="BT316" t="str">
        <f>HYPERLINK("https%3A%2F%2Fwww.webofscience.com%2Fwos%2Fwoscc%2Ffull-record%2FWOS:000306723500015","View Full Record in Web of Science")</f>
        <v>View Full Record in Web of Science</v>
      </c>
    </row>
    <row r="317" spans="1:72" x14ac:dyDescent="0.15">
      <c r="A317" t="s">
        <v>72</v>
      </c>
      <c r="B317" t="s">
        <v>6236</v>
      </c>
      <c r="C317" t="s">
        <v>74</v>
      </c>
      <c r="D317" t="s">
        <v>74</v>
      </c>
      <c r="E317" t="s">
        <v>74</v>
      </c>
      <c r="F317" t="s">
        <v>6237</v>
      </c>
      <c r="G317" t="s">
        <v>74</v>
      </c>
      <c r="H317" t="s">
        <v>74</v>
      </c>
      <c r="I317" t="s">
        <v>6238</v>
      </c>
      <c r="J317" t="s">
        <v>3098</v>
      </c>
      <c r="K317" t="s">
        <v>74</v>
      </c>
      <c r="L317" t="s">
        <v>74</v>
      </c>
      <c r="M317" t="s">
        <v>78</v>
      </c>
      <c r="N317" t="s">
        <v>79</v>
      </c>
      <c r="O317" t="s">
        <v>74</v>
      </c>
      <c r="P317" t="s">
        <v>74</v>
      </c>
      <c r="Q317" t="s">
        <v>74</v>
      </c>
      <c r="R317" t="s">
        <v>74</v>
      </c>
      <c r="S317" t="s">
        <v>74</v>
      </c>
      <c r="T317" t="s">
        <v>6239</v>
      </c>
      <c r="U317" t="s">
        <v>6240</v>
      </c>
      <c r="V317" t="s">
        <v>6241</v>
      </c>
      <c r="W317" t="s">
        <v>6242</v>
      </c>
      <c r="X317" t="s">
        <v>6243</v>
      </c>
      <c r="Y317" t="s">
        <v>6244</v>
      </c>
      <c r="Z317" t="s">
        <v>6245</v>
      </c>
      <c r="AA317" t="s">
        <v>74</v>
      </c>
      <c r="AB317" t="s">
        <v>6246</v>
      </c>
      <c r="AC317" t="s">
        <v>6247</v>
      </c>
      <c r="AD317" t="s">
        <v>6248</v>
      </c>
      <c r="AE317" t="s">
        <v>6249</v>
      </c>
      <c r="AF317" t="s">
        <v>74</v>
      </c>
      <c r="AG317">
        <v>66</v>
      </c>
      <c r="AH317">
        <v>20</v>
      </c>
      <c r="AI317">
        <v>20</v>
      </c>
      <c r="AJ317">
        <v>2</v>
      </c>
      <c r="AK317">
        <v>25</v>
      </c>
      <c r="AL317" t="s">
        <v>188</v>
      </c>
      <c r="AM317" t="s">
        <v>189</v>
      </c>
      <c r="AN317" t="s">
        <v>190</v>
      </c>
      <c r="AO317" t="s">
        <v>3110</v>
      </c>
      <c r="AP317" t="s">
        <v>3111</v>
      </c>
      <c r="AQ317" t="s">
        <v>74</v>
      </c>
      <c r="AR317" t="s">
        <v>3112</v>
      </c>
      <c r="AS317" t="s">
        <v>3113</v>
      </c>
      <c r="AT317" t="s">
        <v>4174</v>
      </c>
      <c r="AU317">
        <v>2012</v>
      </c>
      <c r="AV317">
        <v>428</v>
      </c>
      <c r="AW317" t="s">
        <v>74</v>
      </c>
      <c r="AX317" t="s">
        <v>74</v>
      </c>
      <c r="AY317" t="s">
        <v>74</v>
      </c>
      <c r="AZ317" t="s">
        <v>74</v>
      </c>
      <c r="BA317" t="s">
        <v>74</v>
      </c>
      <c r="BB317">
        <v>5</v>
      </c>
      <c r="BC317">
        <v>15</v>
      </c>
      <c r="BD317" t="s">
        <v>74</v>
      </c>
      <c r="BE317" t="s">
        <v>6250</v>
      </c>
      <c r="BF317" t="str">
        <f>HYPERLINK("http://dx.doi.org/10.1016/j.jembe.2012.05.018","http://dx.doi.org/10.1016/j.jembe.2012.05.018")</f>
        <v>http://dx.doi.org/10.1016/j.jembe.2012.05.018</v>
      </c>
      <c r="BG317" t="s">
        <v>74</v>
      </c>
      <c r="BH317" t="s">
        <v>74</v>
      </c>
      <c r="BI317">
        <v>11</v>
      </c>
      <c r="BJ317" t="s">
        <v>3115</v>
      </c>
      <c r="BK317" t="s">
        <v>98</v>
      </c>
      <c r="BL317" t="s">
        <v>3116</v>
      </c>
      <c r="BM317" t="s">
        <v>6251</v>
      </c>
      <c r="BN317" t="s">
        <v>74</v>
      </c>
      <c r="BO317" t="s">
        <v>74</v>
      </c>
      <c r="BP317" t="s">
        <v>74</v>
      </c>
      <c r="BQ317" t="s">
        <v>74</v>
      </c>
      <c r="BR317" t="s">
        <v>101</v>
      </c>
      <c r="BS317" t="s">
        <v>6252</v>
      </c>
      <c r="BT317" t="str">
        <f>HYPERLINK("https%3A%2F%2Fwww.webofscience.com%2Fwos%2Fwoscc%2Ffull-record%2FWOS:000306980800002","View Full Record in Web of Science")</f>
        <v>View Full Record in Web of Science</v>
      </c>
    </row>
    <row r="318" spans="1:72" x14ac:dyDescent="0.15">
      <c r="A318" t="s">
        <v>72</v>
      </c>
      <c r="B318" t="s">
        <v>6253</v>
      </c>
      <c r="C318" t="s">
        <v>74</v>
      </c>
      <c r="D318" t="s">
        <v>74</v>
      </c>
      <c r="E318" t="s">
        <v>74</v>
      </c>
      <c r="F318" t="s">
        <v>6254</v>
      </c>
      <c r="G318" t="s">
        <v>74</v>
      </c>
      <c r="H318" t="s">
        <v>74</v>
      </c>
      <c r="I318" t="s">
        <v>6255</v>
      </c>
      <c r="J318" t="s">
        <v>3098</v>
      </c>
      <c r="K318" t="s">
        <v>74</v>
      </c>
      <c r="L318" t="s">
        <v>74</v>
      </c>
      <c r="M318" t="s">
        <v>78</v>
      </c>
      <c r="N318" t="s">
        <v>79</v>
      </c>
      <c r="O318" t="s">
        <v>74</v>
      </c>
      <c r="P318" t="s">
        <v>74</v>
      </c>
      <c r="Q318" t="s">
        <v>74</v>
      </c>
      <c r="R318" t="s">
        <v>74</v>
      </c>
      <c r="S318" t="s">
        <v>74</v>
      </c>
      <c r="T318" t="s">
        <v>6256</v>
      </c>
      <c r="U318" t="s">
        <v>6257</v>
      </c>
      <c r="V318" t="s">
        <v>6258</v>
      </c>
      <c r="W318" t="s">
        <v>6259</v>
      </c>
      <c r="X318" t="s">
        <v>6260</v>
      </c>
      <c r="Y318" t="s">
        <v>6261</v>
      </c>
      <c r="Z318" t="s">
        <v>3105</v>
      </c>
      <c r="AA318" t="s">
        <v>6262</v>
      </c>
      <c r="AB318" t="s">
        <v>6263</v>
      </c>
      <c r="AC318" t="s">
        <v>6264</v>
      </c>
      <c r="AD318" t="s">
        <v>6265</v>
      </c>
      <c r="AE318" t="s">
        <v>6266</v>
      </c>
      <c r="AF318" t="s">
        <v>74</v>
      </c>
      <c r="AG318">
        <v>68</v>
      </c>
      <c r="AH318">
        <v>20</v>
      </c>
      <c r="AI318">
        <v>22</v>
      </c>
      <c r="AJ318">
        <v>0</v>
      </c>
      <c r="AK318">
        <v>54</v>
      </c>
      <c r="AL318" t="s">
        <v>259</v>
      </c>
      <c r="AM318" t="s">
        <v>189</v>
      </c>
      <c r="AN318" t="s">
        <v>260</v>
      </c>
      <c r="AO318" t="s">
        <v>3110</v>
      </c>
      <c r="AP318" t="s">
        <v>74</v>
      </c>
      <c r="AQ318" t="s">
        <v>74</v>
      </c>
      <c r="AR318" t="s">
        <v>3112</v>
      </c>
      <c r="AS318" t="s">
        <v>3113</v>
      </c>
      <c r="AT318" t="s">
        <v>4174</v>
      </c>
      <c r="AU318">
        <v>2012</v>
      </c>
      <c r="AV318">
        <v>428</v>
      </c>
      <c r="AW318" t="s">
        <v>74</v>
      </c>
      <c r="AX318" t="s">
        <v>74</v>
      </c>
      <c r="AY318" t="s">
        <v>74</v>
      </c>
      <c r="AZ318" t="s">
        <v>74</v>
      </c>
      <c r="BA318" t="s">
        <v>74</v>
      </c>
      <c r="BB318">
        <v>57</v>
      </c>
      <c r="BC318">
        <v>66</v>
      </c>
      <c r="BD318" t="s">
        <v>74</v>
      </c>
      <c r="BE318" t="s">
        <v>6267</v>
      </c>
      <c r="BF318" t="str">
        <f>HYPERLINK("http://dx.doi.org/10.1016/j.jembe.2012.06.006","http://dx.doi.org/10.1016/j.jembe.2012.06.006")</f>
        <v>http://dx.doi.org/10.1016/j.jembe.2012.06.006</v>
      </c>
      <c r="BG318" t="s">
        <v>74</v>
      </c>
      <c r="BH318" t="s">
        <v>74</v>
      </c>
      <c r="BI318">
        <v>10</v>
      </c>
      <c r="BJ318" t="s">
        <v>3115</v>
      </c>
      <c r="BK318" t="s">
        <v>98</v>
      </c>
      <c r="BL318" t="s">
        <v>3116</v>
      </c>
      <c r="BM318" t="s">
        <v>6251</v>
      </c>
      <c r="BN318" t="s">
        <v>74</v>
      </c>
      <c r="BO318" t="s">
        <v>74</v>
      </c>
      <c r="BP318" t="s">
        <v>74</v>
      </c>
      <c r="BQ318" t="s">
        <v>74</v>
      </c>
      <c r="BR318" t="s">
        <v>101</v>
      </c>
      <c r="BS318" t="s">
        <v>6268</v>
      </c>
      <c r="BT318" t="str">
        <f>HYPERLINK("https%3A%2F%2Fwww.webofscience.com%2Fwos%2Fwoscc%2Ffull-record%2FWOS:000306980800009","View Full Record in Web of Science")</f>
        <v>View Full Record in Web of Science</v>
      </c>
    </row>
    <row r="319" spans="1:72" x14ac:dyDescent="0.15">
      <c r="A319" t="s">
        <v>72</v>
      </c>
      <c r="B319" t="s">
        <v>6269</v>
      </c>
      <c r="C319" t="s">
        <v>74</v>
      </c>
      <c r="D319" t="s">
        <v>74</v>
      </c>
      <c r="E319" t="s">
        <v>74</v>
      </c>
      <c r="F319" t="s">
        <v>6270</v>
      </c>
      <c r="G319" t="s">
        <v>74</v>
      </c>
      <c r="H319" t="s">
        <v>74</v>
      </c>
      <c r="I319" t="s">
        <v>6271</v>
      </c>
      <c r="J319" t="s">
        <v>6272</v>
      </c>
      <c r="K319" t="s">
        <v>74</v>
      </c>
      <c r="L319" t="s">
        <v>74</v>
      </c>
      <c r="M319" t="s">
        <v>78</v>
      </c>
      <c r="N319" t="s">
        <v>79</v>
      </c>
      <c r="O319" t="s">
        <v>74</v>
      </c>
      <c r="P319" t="s">
        <v>74</v>
      </c>
      <c r="Q319" t="s">
        <v>74</v>
      </c>
      <c r="R319" t="s">
        <v>74</v>
      </c>
      <c r="S319" t="s">
        <v>74</v>
      </c>
      <c r="T319" t="s">
        <v>6273</v>
      </c>
      <c r="U319" t="s">
        <v>6274</v>
      </c>
      <c r="V319" t="s">
        <v>6275</v>
      </c>
      <c r="W319" t="s">
        <v>6276</v>
      </c>
      <c r="X319" t="s">
        <v>761</v>
      </c>
      <c r="Y319" t="s">
        <v>6277</v>
      </c>
      <c r="Z319" t="s">
        <v>6278</v>
      </c>
      <c r="AA319" t="s">
        <v>74</v>
      </c>
      <c r="AB319" t="s">
        <v>6279</v>
      </c>
      <c r="AC319" t="s">
        <v>6280</v>
      </c>
      <c r="AD319" t="s">
        <v>6281</v>
      </c>
      <c r="AE319" t="s">
        <v>6282</v>
      </c>
      <c r="AF319" t="s">
        <v>74</v>
      </c>
      <c r="AG319">
        <v>62</v>
      </c>
      <c r="AH319">
        <v>46</v>
      </c>
      <c r="AI319">
        <v>52</v>
      </c>
      <c r="AJ319">
        <v>0</v>
      </c>
      <c r="AK319">
        <v>5</v>
      </c>
      <c r="AL319" t="s">
        <v>1517</v>
      </c>
      <c r="AM319" t="s">
        <v>434</v>
      </c>
      <c r="AN319" t="s">
        <v>1518</v>
      </c>
      <c r="AO319" t="s">
        <v>6283</v>
      </c>
      <c r="AP319" t="s">
        <v>6284</v>
      </c>
      <c r="AQ319" t="s">
        <v>74</v>
      </c>
      <c r="AR319" t="s">
        <v>6285</v>
      </c>
      <c r="AS319" t="s">
        <v>6286</v>
      </c>
      <c r="AT319" t="s">
        <v>4154</v>
      </c>
      <c r="AU319">
        <v>2012</v>
      </c>
      <c r="AV319">
        <v>37</v>
      </c>
      <c r="AW319" t="s">
        <v>74</v>
      </c>
      <c r="AX319" t="s">
        <v>74</v>
      </c>
      <c r="AY319" t="s">
        <v>74</v>
      </c>
      <c r="AZ319" t="s">
        <v>74</v>
      </c>
      <c r="BA319" t="s">
        <v>74</v>
      </c>
      <c r="BB319">
        <v>89</v>
      </c>
      <c r="BC319">
        <v>99</v>
      </c>
      <c r="BD319" t="s">
        <v>74</v>
      </c>
      <c r="BE319" t="s">
        <v>6287</v>
      </c>
      <c r="BF319" t="str">
        <f>HYPERLINK("http://dx.doi.org/10.1016/j.cretres.2012.03.010","http://dx.doi.org/10.1016/j.cretres.2012.03.010")</f>
        <v>http://dx.doi.org/10.1016/j.cretres.2012.03.010</v>
      </c>
      <c r="BG319" t="s">
        <v>74</v>
      </c>
      <c r="BH319" t="s">
        <v>74</v>
      </c>
      <c r="BI319">
        <v>11</v>
      </c>
      <c r="BJ319" t="s">
        <v>1227</v>
      </c>
      <c r="BK319" t="s">
        <v>98</v>
      </c>
      <c r="BL319" t="s">
        <v>1227</v>
      </c>
      <c r="BM319" t="s">
        <v>6288</v>
      </c>
      <c r="BN319" t="s">
        <v>74</v>
      </c>
      <c r="BO319" t="s">
        <v>74</v>
      </c>
      <c r="BP319" t="s">
        <v>74</v>
      </c>
      <c r="BQ319" t="s">
        <v>74</v>
      </c>
      <c r="BR319" t="s">
        <v>101</v>
      </c>
      <c r="BS319" t="s">
        <v>6289</v>
      </c>
      <c r="BT319" t="str">
        <f>HYPERLINK("https%3A%2F%2Fwww.webofscience.com%2Fwos%2Fwoscc%2Ffull-record%2FWOS:000306159800007","View Full Record in Web of Science")</f>
        <v>View Full Record in Web of Science</v>
      </c>
    </row>
    <row r="320" spans="1:72" x14ac:dyDescent="0.15">
      <c r="A320" t="s">
        <v>72</v>
      </c>
      <c r="B320" t="s">
        <v>6290</v>
      </c>
      <c r="C320" t="s">
        <v>74</v>
      </c>
      <c r="D320" t="s">
        <v>74</v>
      </c>
      <c r="E320" t="s">
        <v>74</v>
      </c>
      <c r="F320" t="s">
        <v>6291</v>
      </c>
      <c r="G320" t="s">
        <v>74</v>
      </c>
      <c r="H320" t="s">
        <v>74</v>
      </c>
      <c r="I320" t="s">
        <v>6292</v>
      </c>
      <c r="J320" t="s">
        <v>6293</v>
      </c>
      <c r="K320" t="s">
        <v>74</v>
      </c>
      <c r="L320" t="s">
        <v>74</v>
      </c>
      <c r="M320" t="s">
        <v>78</v>
      </c>
      <c r="N320" t="s">
        <v>79</v>
      </c>
      <c r="O320" t="s">
        <v>74</v>
      </c>
      <c r="P320" t="s">
        <v>74</v>
      </c>
      <c r="Q320" t="s">
        <v>74</v>
      </c>
      <c r="R320" t="s">
        <v>74</v>
      </c>
      <c r="S320" t="s">
        <v>74</v>
      </c>
      <c r="T320" t="s">
        <v>74</v>
      </c>
      <c r="U320" t="s">
        <v>6294</v>
      </c>
      <c r="V320" t="s">
        <v>6295</v>
      </c>
      <c r="W320" t="s">
        <v>6296</v>
      </c>
      <c r="X320" t="s">
        <v>6297</v>
      </c>
      <c r="Y320" t="s">
        <v>6298</v>
      </c>
      <c r="Z320" t="s">
        <v>74</v>
      </c>
      <c r="AA320" t="s">
        <v>6299</v>
      </c>
      <c r="AB320" t="s">
        <v>6300</v>
      </c>
      <c r="AC320" t="s">
        <v>6301</v>
      </c>
      <c r="AD320" t="s">
        <v>6302</v>
      </c>
      <c r="AE320" t="s">
        <v>6303</v>
      </c>
      <c r="AF320" t="s">
        <v>74</v>
      </c>
      <c r="AG320">
        <v>43</v>
      </c>
      <c r="AH320">
        <v>7</v>
      </c>
      <c r="AI320">
        <v>7</v>
      </c>
      <c r="AJ320">
        <v>1</v>
      </c>
      <c r="AK320">
        <v>17</v>
      </c>
      <c r="AL320" t="s">
        <v>6304</v>
      </c>
      <c r="AM320" t="s">
        <v>6305</v>
      </c>
      <c r="AN320" t="s">
        <v>6306</v>
      </c>
      <c r="AO320" t="s">
        <v>6307</v>
      </c>
      <c r="AP320" t="s">
        <v>6308</v>
      </c>
      <c r="AQ320" t="s">
        <v>74</v>
      </c>
      <c r="AR320" t="s">
        <v>6309</v>
      </c>
      <c r="AS320" t="s">
        <v>6310</v>
      </c>
      <c r="AT320" t="s">
        <v>6311</v>
      </c>
      <c r="AU320">
        <v>2012</v>
      </c>
      <c r="AV320">
        <v>17</v>
      </c>
      <c r="AW320">
        <v>5</v>
      </c>
      <c r="AX320" t="s">
        <v>74</v>
      </c>
      <c r="AY320" t="s">
        <v>74</v>
      </c>
      <c r="AZ320" t="s">
        <v>74</v>
      </c>
      <c r="BA320" t="s">
        <v>74</v>
      </c>
      <c r="BB320">
        <v>385</v>
      </c>
      <c r="BC320">
        <v>397</v>
      </c>
      <c r="BD320" t="s">
        <v>74</v>
      </c>
      <c r="BE320" t="s">
        <v>74</v>
      </c>
      <c r="BF320" t="s">
        <v>74</v>
      </c>
      <c r="BG320" t="s">
        <v>74</v>
      </c>
      <c r="BH320" t="s">
        <v>74</v>
      </c>
      <c r="BI320">
        <v>13</v>
      </c>
      <c r="BJ320" t="s">
        <v>332</v>
      </c>
      <c r="BK320" t="s">
        <v>98</v>
      </c>
      <c r="BL320" t="s">
        <v>333</v>
      </c>
      <c r="BM320" t="s">
        <v>6312</v>
      </c>
      <c r="BN320" t="s">
        <v>74</v>
      </c>
      <c r="BO320" t="s">
        <v>74</v>
      </c>
      <c r="BP320" t="s">
        <v>74</v>
      </c>
      <c r="BQ320" t="s">
        <v>74</v>
      </c>
      <c r="BR320" t="s">
        <v>101</v>
      </c>
      <c r="BS320" t="s">
        <v>6313</v>
      </c>
      <c r="BT320" t="str">
        <f>HYPERLINK("https%3A%2F%2Fwww.webofscience.com%2Fwos%2Fwoscc%2Ffull-record%2FWOS:000309380700005","View Full Record in Web of Science")</f>
        <v>View Full Record in Web of Science</v>
      </c>
    </row>
    <row r="321" spans="1:72" x14ac:dyDescent="0.15">
      <c r="A321" t="s">
        <v>72</v>
      </c>
      <c r="B321" t="s">
        <v>6314</v>
      </c>
      <c r="C321" t="s">
        <v>74</v>
      </c>
      <c r="D321" t="s">
        <v>74</v>
      </c>
      <c r="E321" t="s">
        <v>74</v>
      </c>
      <c r="F321" t="s">
        <v>6315</v>
      </c>
      <c r="G321" t="s">
        <v>74</v>
      </c>
      <c r="H321" t="s">
        <v>74</v>
      </c>
      <c r="I321" t="s">
        <v>6316</v>
      </c>
      <c r="J321" t="s">
        <v>444</v>
      </c>
      <c r="K321" t="s">
        <v>74</v>
      </c>
      <c r="L321" t="s">
        <v>74</v>
      </c>
      <c r="M321" t="s">
        <v>78</v>
      </c>
      <c r="N321" t="s">
        <v>79</v>
      </c>
      <c r="O321" t="s">
        <v>74</v>
      </c>
      <c r="P321" t="s">
        <v>74</v>
      </c>
      <c r="Q321" t="s">
        <v>74</v>
      </c>
      <c r="R321" t="s">
        <v>74</v>
      </c>
      <c r="S321" t="s">
        <v>74</v>
      </c>
      <c r="T321" t="s">
        <v>74</v>
      </c>
      <c r="U321" t="s">
        <v>6317</v>
      </c>
      <c r="V321" t="s">
        <v>6318</v>
      </c>
      <c r="W321" t="s">
        <v>6319</v>
      </c>
      <c r="X321" t="s">
        <v>6320</v>
      </c>
      <c r="Y321" t="s">
        <v>6321</v>
      </c>
      <c r="Z321" t="s">
        <v>6322</v>
      </c>
      <c r="AA321" t="s">
        <v>6323</v>
      </c>
      <c r="AB321" t="s">
        <v>6324</v>
      </c>
      <c r="AC321" t="s">
        <v>6325</v>
      </c>
      <c r="AD321" t="s">
        <v>6326</v>
      </c>
      <c r="AE321" t="s">
        <v>6327</v>
      </c>
      <c r="AF321" t="s">
        <v>74</v>
      </c>
      <c r="AG321">
        <v>39</v>
      </c>
      <c r="AH321">
        <v>22</v>
      </c>
      <c r="AI321">
        <v>22</v>
      </c>
      <c r="AJ321">
        <v>0</v>
      </c>
      <c r="AK321">
        <v>46</v>
      </c>
      <c r="AL321" t="s">
        <v>118</v>
      </c>
      <c r="AM321" t="s">
        <v>119</v>
      </c>
      <c r="AN321" t="s">
        <v>120</v>
      </c>
      <c r="AO321" t="s">
        <v>454</v>
      </c>
      <c r="AP321" t="s">
        <v>455</v>
      </c>
      <c r="AQ321" t="s">
        <v>74</v>
      </c>
      <c r="AR321" t="s">
        <v>456</v>
      </c>
      <c r="AS321" t="s">
        <v>457</v>
      </c>
      <c r="AT321" t="s">
        <v>6311</v>
      </c>
      <c r="AU321">
        <v>2012</v>
      </c>
      <c r="AV321">
        <v>39</v>
      </c>
      <c r="AW321" t="s">
        <v>74</v>
      </c>
      <c r="AX321" t="s">
        <v>74</v>
      </c>
      <c r="AY321" t="s">
        <v>74</v>
      </c>
      <c r="AZ321" t="s">
        <v>74</v>
      </c>
      <c r="BA321" t="s">
        <v>74</v>
      </c>
      <c r="BB321" t="s">
        <v>74</v>
      </c>
      <c r="BC321" t="s">
        <v>74</v>
      </c>
      <c r="BD321" t="s">
        <v>6328</v>
      </c>
      <c r="BE321" t="s">
        <v>6329</v>
      </c>
      <c r="BF321" t="str">
        <f>HYPERLINK("http://dx.doi.org/10.1029/2012GL053018","http://dx.doi.org/10.1029/2012GL053018")</f>
        <v>http://dx.doi.org/10.1029/2012GL053018</v>
      </c>
      <c r="BG321" t="s">
        <v>74</v>
      </c>
      <c r="BH321" t="s">
        <v>74</v>
      </c>
      <c r="BI321">
        <v>5</v>
      </c>
      <c r="BJ321" t="s">
        <v>461</v>
      </c>
      <c r="BK321" t="s">
        <v>98</v>
      </c>
      <c r="BL321" t="s">
        <v>462</v>
      </c>
      <c r="BM321" t="s">
        <v>6330</v>
      </c>
      <c r="BN321" t="s">
        <v>74</v>
      </c>
      <c r="BO321" t="s">
        <v>607</v>
      </c>
      <c r="BP321" t="s">
        <v>74</v>
      </c>
      <c r="BQ321" t="s">
        <v>74</v>
      </c>
      <c r="BR321" t="s">
        <v>101</v>
      </c>
      <c r="BS321" t="s">
        <v>6331</v>
      </c>
      <c r="BT321" t="str">
        <f>HYPERLINK("https%3A%2F%2Fwww.webofscience.com%2Fwos%2Fwoscc%2Ffull-record%2FWOS:000309415100004","View Full Record in Web of Science")</f>
        <v>View Full Record in Web of Science</v>
      </c>
    </row>
    <row r="322" spans="1:72" x14ac:dyDescent="0.15">
      <c r="A322" t="s">
        <v>72</v>
      </c>
      <c r="B322" t="s">
        <v>6332</v>
      </c>
      <c r="C322" t="s">
        <v>74</v>
      </c>
      <c r="D322" t="s">
        <v>74</v>
      </c>
      <c r="E322" t="s">
        <v>74</v>
      </c>
      <c r="F322" t="s">
        <v>6333</v>
      </c>
      <c r="G322" t="s">
        <v>74</v>
      </c>
      <c r="H322" t="s">
        <v>74</v>
      </c>
      <c r="I322" t="s">
        <v>6334</v>
      </c>
      <c r="J322" t="s">
        <v>134</v>
      </c>
      <c r="K322" t="s">
        <v>74</v>
      </c>
      <c r="L322" t="s">
        <v>74</v>
      </c>
      <c r="M322" t="s">
        <v>78</v>
      </c>
      <c r="N322" t="s">
        <v>79</v>
      </c>
      <c r="O322" t="s">
        <v>74</v>
      </c>
      <c r="P322" t="s">
        <v>74</v>
      </c>
      <c r="Q322" t="s">
        <v>74</v>
      </c>
      <c r="R322" t="s">
        <v>74</v>
      </c>
      <c r="S322" t="s">
        <v>74</v>
      </c>
      <c r="T322" t="s">
        <v>74</v>
      </c>
      <c r="U322" t="s">
        <v>6335</v>
      </c>
      <c r="V322" t="s">
        <v>6336</v>
      </c>
      <c r="W322" t="s">
        <v>6337</v>
      </c>
      <c r="X322" t="s">
        <v>6338</v>
      </c>
      <c r="Y322" t="s">
        <v>6339</v>
      </c>
      <c r="Z322" t="s">
        <v>6340</v>
      </c>
      <c r="AA322" t="s">
        <v>6341</v>
      </c>
      <c r="AB322" t="s">
        <v>6342</v>
      </c>
      <c r="AC322" t="s">
        <v>6343</v>
      </c>
      <c r="AD322" t="s">
        <v>6344</v>
      </c>
      <c r="AE322" t="s">
        <v>6345</v>
      </c>
      <c r="AF322" t="s">
        <v>74</v>
      </c>
      <c r="AG322">
        <v>67</v>
      </c>
      <c r="AH322">
        <v>47</v>
      </c>
      <c r="AI322">
        <v>50</v>
      </c>
      <c r="AJ322">
        <v>1</v>
      </c>
      <c r="AK322">
        <v>31</v>
      </c>
      <c r="AL322" t="s">
        <v>146</v>
      </c>
      <c r="AM322" t="s">
        <v>147</v>
      </c>
      <c r="AN322" t="s">
        <v>148</v>
      </c>
      <c r="AO322" t="s">
        <v>149</v>
      </c>
      <c r="AP322" t="s">
        <v>74</v>
      </c>
      <c r="AQ322" t="s">
        <v>74</v>
      </c>
      <c r="AR322" t="s">
        <v>134</v>
      </c>
      <c r="AS322" t="s">
        <v>150</v>
      </c>
      <c r="AT322" t="s">
        <v>6311</v>
      </c>
      <c r="AU322">
        <v>2012</v>
      </c>
      <c r="AV322">
        <v>7</v>
      </c>
      <c r="AW322">
        <v>9</v>
      </c>
      <c r="AX322" t="s">
        <v>74</v>
      </c>
      <c r="AY322" t="s">
        <v>74</v>
      </c>
      <c r="AZ322" t="s">
        <v>74</v>
      </c>
      <c r="BA322" t="s">
        <v>74</v>
      </c>
      <c r="BB322" t="s">
        <v>74</v>
      </c>
      <c r="BC322" t="s">
        <v>74</v>
      </c>
      <c r="BD322" t="s">
        <v>6346</v>
      </c>
      <c r="BE322" t="s">
        <v>6347</v>
      </c>
      <c r="BF322" t="str">
        <f>HYPERLINK("http://dx.doi.org/10.1371/journal.pone.0046341","http://dx.doi.org/10.1371/journal.pone.0046341")</f>
        <v>http://dx.doi.org/10.1371/journal.pone.0046341</v>
      </c>
      <c r="BG322" t="s">
        <v>74</v>
      </c>
      <c r="BH322" t="s">
        <v>74</v>
      </c>
      <c r="BI322">
        <v>12</v>
      </c>
      <c r="BJ322" t="s">
        <v>153</v>
      </c>
      <c r="BK322" t="s">
        <v>98</v>
      </c>
      <c r="BL322" t="s">
        <v>154</v>
      </c>
      <c r="BM322" t="s">
        <v>6348</v>
      </c>
      <c r="BN322">
        <v>23029484</v>
      </c>
      <c r="BO322" t="s">
        <v>6349</v>
      </c>
      <c r="BP322" t="s">
        <v>74</v>
      </c>
      <c r="BQ322" t="s">
        <v>74</v>
      </c>
      <c r="BR322" t="s">
        <v>101</v>
      </c>
      <c r="BS322" t="s">
        <v>6350</v>
      </c>
      <c r="BT322" t="str">
        <f>HYPERLINK("https%3A%2F%2Fwww.webofscience.com%2Fwos%2Fwoscc%2Ffull-record%2FWOS:000309973900137","View Full Record in Web of Science")</f>
        <v>View Full Record in Web of Science</v>
      </c>
    </row>
    <row r="323" spans="1:72" x14ac:dyDescent="0.15">
      <c r="A323" t="s">
        <v>72</v>
      </c>
      <c r="B323" t="s">
        <v>6351</v>
      </c>
      <c r="C323" t="s">
        <v>74</v>
      </c>
      <c r="D323" t="s">
        <v>74</v>
      </c>
      <c r="E323" t="s">
        <v>74</v>
      </c>
      <c r="F323" t="s">
        <v>6352</v>
      </c>
      <c r="G323" t="s">
        <v>74</v>
      </c>
      <c r="H323" t="s">
        <v>74</v>
      </c>
      <c r="I323" t="s">
        <v>6353</v>
      </c>
      <c r="J323" t="s">
        <v>134</v>
      </c>
      <c r="K323" t="s">
        <v>74</v>
      </c>
      <c r="L323" t="s">
        <v>74</v>
      </c>
      <c r="M323" t="s">
        <v>78</v>
      </c>
      <c r="N323" t="s">
        <v>79</v>
      </c>
      <c r="O323" t="s">
        <v>74</v>
      </c>
      <c r="P323" t="s">
        <v>74</v>
      </c>
      <c r="Q323" t="s">
        <v>74</v>
      </c>
      <c r="R323" t="s">
        <v>74</v>
      </c>
      <c r="S323" t="s">
        <v>74</v>
      </c>
      <c r="T323" t="s">
        <v>74</v>
      </c>
      <c r="U323" t="s">
        <v>6354</v>
      </c>
      <c r="V323" t="s">
        <v>6355</v>
      </c>
      <c r="W323" t="s">
        <v>6356</v>
      </c>
      <c r="X323" t="s">
        <v>6357</v>
      </c>
      <c r="Y323" t="s">
        <v>6358</v>
      </c>
      <c r="Z323" t="s">
        <v>6359</v>
      </c>
      <c r="AA323" t="s">
        <v>6360</v>
      </c>
      <c r="AB323" t="s">
        <v>6361</v>
      </c>
      <c r="AC323" t="s">
        <v>6362</v>
      </c>
      <c r="AD323" t="s">
        <v>6363</v>
      </c>
      <c r="AE323" t="s">
        <v>6364</v>
      </c>
      <c r="AF323" t="s">
        <v>74</v>
      </c>
      <c r="AG323">
        <v>103</v>
      </c>
      <c r="AH323">
        <v>19</v>
      </c>
      <c r="AI323">
        <v>22</v>
      </c>
      <c r="AJ323">
        <v>2</v>
      </c>
      <c r="AK323">
        <v>20</v>
      </c>
      <c r="AL323" t="s">
        <v>146</v>
      </c>
      <c r="AM323" t="s">
        <v>147</v>
      </c>
      <c r="AN323" t="s">
        <v>148</v>
      </c>
      <c r="AO323" t="s">
        <v>149</v>
      </c>
      <c r="AP323" t="s">
        <v>74</v>
      </c>
      <c r="AQ323" t="s">
        <v>74</v>
      </c>
      <c r="AR323" t="s">
        <v>134</v>
      </c>
      <c r="AS323" t="s">
        <v>150</v>
      </c>
      <c r="AT323" t="s">
        <v>6365</v>
      </c>
      <c r="AU323">
        <v>2012</v>
      </c>
      <c r="AV323">
        <v>7</v>
      </c>
      <c r="AW323">
        <v>9</v>
      </c>
      <c r="AX323" t="s">
        <v>74</v>
      </c>
      <c r="AY323" t="s">
        <v>74</v>
      </c>
      <c r="AZ323" t="s">
        <v>74</v>
      </c>
      <c r="BA323" t="s">
        <v>74</v>
      </c>
      <c r="BB323" t="s">
        <v>74</v>
      </c>
      <c r="BC323" t="s">
        <v>74</v>
      </c>
      <c r="BD323" t="s">
        <v>6366</v>
      </c>
      <c r="BE323" t="s">
        <v>6367</v>
      </c>
      <c r="BF323" t="str">
        <f>HYPERLINK("http://dx.doi.org/10.1371/journal.pone.0046283","http://dx.doi.org/10.1371/journal.pone.0046283")</f>
        <v>http://dx.doi.org/10.1371/journal.pone.0046283</v>
      </c>
      <c r="BG323" t="s">
        <v>74</v>
      </c>
      <c r="BH323" t="s">
        <v>74</v>
      </c>
      <c r="BI323">
        <v>9</v>
      </c>
      <c r="BJ323" t="s">
        <v>153</v>
      </c>
      <c r="BK323" t="s">
        <v>98</v>
      </c>
      <c r="BL323" t="s">
        <v>154</v>
      </c>
      <c r="BM323" t="s">
        <v>6368</v>
      </c>
      <c r="BN323">
        <v>23029463</v>
      </c>
      <c r="BO323" t="s">
        <v>6369</v>
      </c>
      <c r="BP323" t="s">
        <v>74</v>
      </c>
      <c r="BQ323" t="s">
        <v>74</v>
      </c>
      <c r="BR323" t="s">
        <v>101</v>
      </c>
      <c r="BS323" t="s">
        <v>6370</v>
      </c>
      <c r="BT323" t="str">
        <f>HYPERLINK("https%3A%2F%2Fwww.webofscience.com%2Fwos%2Fwoscc%2Ffull-record%2FWOS:000309517500083","View Full Record in Web of Science")</f>
        <v>View Full Record in Web of Science</v>
      </c>
    </row>
    <row r="324" spans="1:72" x14ac:dyDescent="0.15">
      <c r="A324" t="s">
        <v>72</v>
      </c>
      <c r="B324" t="s">
        <v>6371</v>
      </c>
      <c r="C324" t="s">
        <v>74</v>
      </c>
      <c r="D324" t="s">
        <v>74</v>
      </c>
      <c r="E324" t="s">
        <v>74</v>
      </c>
      <c r="F324" t="s">
        <v>6372</v>
      </c>
      <c r="G324" t="s">
        <v>74</v>
      </c>
      <c r="H324" t="s">
        <v>74</v>
      </c>
      <c r="I324" t="s">
        <v>6373</v>
      </c>
      <c r="J324" t="s">
        <v>3666</v>
      </c>
      <c r="K324" t="s">
        <v>74</v>
      </c>
      <c r="L324" t="s">
        <v>74</v>
      </c>
      <c r="M324" t="s">
        <v>78</v>
      </c>
      <c r="N324" t="s">
        <v>79</v>
      </c>
      <c r="O324" t="s">
        <v>74</v>
      </c>
      <c r="P324" t="s">
        <v>74</v>
      </c>
      <c r="Q324" t="s">
        <v>74</v>
      </c>
      <c r="R324" t="s">
        <v>74</v>
      </c>
      <c r="S324" t="s">
        <v>74</v>
      </c>
      <c r="T324" t="s">
        <v>74</v>
      </c>
      <c r="U324" t="s">
        <v>6374</v>
      </c>
      <c r="V324" t="s">
        <v>6375</v>
      </c>
      <c r="W324" t="s">
        <v>6376</v>
      </c>
      <c r="X324" t="s">
        <v>6377</v>
      </c>
      <c r="Y324" t="s">
        <v>6378</v>
      </c>
      <c r="Z324" t="s">
        <v>6379</v>
      </c>
      <c r="AA324" t="s">
        <v>6380</v>
      </c>
      <c r="AB324" t="s">
        <v>6381</v>
      </c>
      <c r="AC324" t="s">
        <v>6382</v>
      </c>
      <c r="AD324" t="s">
        <v>6383</v>
      </c>
      <c r="AE324" t="s">
        <v>6384</v>
      </c>
      <c r="AF324" t="s">
        <v>74</v>
      </c>
      <c r="AG324">
        <v>85</v>
      </c>
      <c r="AH324">
        <v>123</v>
      </c>
      <c r="AI324">
        <v>127</v>
      </c>
      <c r="AJ324">
        <v>0</v>
      </c>
      <c r="AK324">
        <v>44</v>
      </c>
      <c r="AL324" t="s">
        <v>118</v>
      </c>
      <c r="AM324" t="s">
        <v>119</v>
      </c>
      <c r="AN324" t="s">
        <v>120</v>
      </c>
      <c r="AO324" t="s">
        <v>3678</v>
      </c>
      <c r="AP324" t="s">
        <v>3679</v>
      </c>
      <c r="AQ324" t="s">
        <v>74</v>
      </c>
      <c r="AR324" t="s">
        <v>3680</v>
      </c>
      <c r="AS324" t="s">
        <v>3681</v>
      </c>
      <c r="AT324" t="s">
        <v>6385</v>
      </c>
      <c r="AU324">
        <v>2012</v>
      </c>
      <c r="AV324">
        <v>117</v>
      </c>
      <c r="AW324" t="s">
        <v>74</v>
      </c>
      <c r="AX324" t="s">
        <v>74</v>
      </c>
      <c r="AY324" t="s">
        <v>74</v>
      </c>
      <c r="AZ324" t="s">
        <v>74</v>
      </c>
      <c r="BA324" t="s">
        <v>74</v>
      </c>
      <c r="BB324" t="s">
        <v>74</v>
      </c>
      <c r="BC324" t="s">
        <v>74</v>
      </c>
      <c r="BD324" t="s">
        <v>6386</v>
      </c>
      <c r="BE324" t="s">
        <v>6387</v>
      </c>
      <c r="BF324" t="str">
        <f>HYPERLINK("http://dx.doi.org/10.1029/2012JC008214","http://dx.doi.org/10.1029/2012JC008214")</f>
        <v>http://dx.doi.org/10.1029/2012JC008214</v>
      </c>
      <c r="BG324" t="s">
        <v>74</v>
      </c>
      <c r="BH324" t="s">
        <v>74</v>
      </c>
      <c r="BI324">
        <v>19</v>
      </c>
      <c r="BJ324" t="s">
        <v>941</v>
      </c>
      <c r="BK324" t="s">
        <v>98</v>
      </c>
      <c r="BL324" t="s">
        <v>941</v>
      </c>
      <c r="BM324" t="s">
        <v>6388</v>
      </c>
      <c r="BN324" t="s">
        <v>74</v>
      </c>
      <c r="BO324" t="s">
        <v>607</v>
      </c>
      <c r="BP324" t="s">
        <v>74</v>
      </c>
      <c r="BQ324" t="s">
        <v>74</v>
      </c>
      <c r="BR324" t="s">
        <v>101</v>
      </c>
      <c r="BS324" t="s">
        <v>6389</v>
      </c>
      <c r="BT324" t="str">
        <f>HYPERLINK("https%3A%2F%2Fwww.webofscience.com%2Fwos%2Fwoscc%2Ffull-record%2FWOS:000309421500001","View Full Record in Web of Science")</f>
        <v>View Full Record in Web of Science</v>
      </c>
    </row>
    <row r="325" spans="1:72" x14ac:dyDescent="0.15">
      <c r="A325" t="s">
        <v>72</v>
      </c>
      <c r="B325" t="s">
        <v>6390</v>
      </c>
      <c r="C325" t="s">
        <v>74</v>
      </c>
      <c r="D325" t="s">
        <v>74</v>
      </c>
      <c r="E325" t="s">
        <v>74</v>
      </c>
      <c r="F325" t="s">
        <v>6391</v>
      </c>
      <c r="G325" t="s">
        <v>74</v>
      </c>
      <c r="H325" t="s">
        <v>74</v>
      </c>
      <c r="I325" t="s">
        <v>6392</v>
      </c>
      <c r="J325" t="s">
        <v>6393</v>
      </c>
      <c r="K325" t="s">
        <v>74</v>
      </c>
      <c r="L325" t="s">
        <v>74</v>
      </c>
      <c r="M325" t="s">
        <v>78</v>
      </c>
      <c r="N325" t="s">
        <v>79</v>
      </c>
      <c r="O325" t="s">
        <v>74</v>
      </c>
      <c r="P325" t="s">
        <v>74</v>
      </c>
      <c r="Q325" t="s">
        <v>74</v>
      </c>
      <c r="R325" t="s">
        <v>74</v>
      </c>
      <c r="S325" t="s">
        <v>74</v>
      </c>
      <c r="T325" t="s">
        <v>6394</v>
      </c>
      <c r="U325" t="s">
        <v>74</v>
      </c>
      <c r="V325" t="s">
        <v>6395</v>
      </c>
      <c r="W325" t="s">
        <v>6396</v>
      </c>
      <c r="X325" t="s">
        <v>6397</v>
      </c>
      <c r="Y325" t="s">
        <v>6398</v>
      </c>
      <c r="Z325" t="s">
        <v>6399</v>
      </c>
      <c r="AA325" t="s">
        <v>74</v>
      </c>
      <c r="AB325" t="s">
        <v>74</v>
      </c>
      <c r="AC325" t="s">
        <v>6400</v>
      </c>
      <c r="AD325" t="s">
        <v>6401</v>
      </c>
      <c r="AE325" t="s">
        <v>6402</v>
      </c>
      <c r="AF325" t="s">
        <v>74</v>
      </c>
      <c r="AG325">
        <v>28</v>
      </c>
      <c r="AH325">
        <v>14</v>
      </c>
      <c r="AI325">
        <v>15</v>
      </c>
      <c r="AJ325">
        <v>0</v>
      </c>
      <c r="AK325">
        <v>12</v>
      </c>
      <c r="AL325" t="s">
        <v>3402</v>
      </c>
      <c r="AM325" t="s">
        <v>434</v>
      </c>
      <c r="AN325" t="s">
        <v>3403</v>
      </c>
      <c r="AO325" t="s">
        <v>6403</v>
      </c>
      <c r="AP325" t="s">
        <v>6404</v>
      </c>
      <c r="AQ325" t="s">
        <v>74</v>
      </c>
      <c r="AR325" t="s">
        <v>6405</v>
      </c>
      <c r="AS325" t="s">
        <v>6406</v>
      </c>
      <c r="AT325" t="s">
        <v>6407</v>
      </c>
      <c r="AU325">
        <v>2012</v>
      </c>
      <c r="AV325">
        <v>65</v>
      </c>
      <c r="AW325" t="s">
        <v>74</v>
      </c>
      <c r="AX325" t="s">
        <v>74</v>
      </c>
      <c r="AY325" t="s">
        <v>74</v>
      </c>
      <c r="AZ325" t="s">
        <v>74</v>
      </c>
      <c r="BA325" t="s">
        <v>74</v>
      </c>
      <c r="BB325" t="s">
        <v>74</v>
      </c>
      <c r="BC325" t="s">
        <v>74</v>
      </c>
      <c r="BD325">
        <v>17</v>
      </c>
      <c r="BE325" t="s">
        <v>6408</v>
      </c>
      <c r="BF325" t="str">
        <f>HYPERLINK("http://dx.doi.org/10.1186/2046-0481-65-17","http://dx.doi.org/10.1186/2046-0481-65-17")</f>
        <v>http://dx.doi.org/10.1186/2046-0481-65-17</v>
      </c>
      <c r="BG325" t="s">
        <v>74</v>
      </c>
      <c r="BH325" t="s">
        <v>74</v>
      </c>
      <c r="BI325">
        <v>7</v>
      </c>
      <c r="BJ325" t="s">
        <v>6409</v>
      </c>
      <c r="BK325" t="s">
        <v>98</v>
      </c>
      <c r="BL325" t="s">
        <v>6409</v>
      </c>
      <c r="BM325" t="s">
        <v>6410</v>
      </c>
      <c r="BN325">
        <v>22999014</v>
      </c>
      <c r="BO325" t="s">
        <v>3409</v>
      </c>
      <c r="BP325" t="s">
        <v>74</v>
      </c>
      <c r="BQ325" t="s">
        <v>74</v>
      </c>
      <c r="BR325" t="s">
        <v>101</v>
      </c>
      <c r="BS325" t="s">
        <v>6411</v>
      </c>
      <c r="BT325" t="str">
        <f>HYPERLINK("https%3A%2F%2Fwww.webofscience.com%2Fwos%2Fwoscc%2Ffull-record%2FWOS:000312633500001","View Full Record in Web of Science")</f>
        <v>View Full Record in Web of Science</v>
      </c>
    </row>
    <row r="326" spans="1:72" x14ac:dyDescent="0.15">
      <c r="A326" t="s">
        <v>72</v>
      </c>
      <c r="B326" t="s">
        <v>6412</v>
      </c>
      <c r="C326" t="s">
        <v>74</v>
      </c>
      <c r="D326" t="s">
        <v>74</v>
      </c>
      <c r="E326" t="s">
        <v>74</v>
      </c>
      <c r="F326" t="s">
        <v>6413</v>
      </c>
      <c r="G326" t="s">
        <v>74</v>
      </c>
      <c r="H326" t="s">
        <v>74</v>
      </c>
      <c r="I326" t="s">
        <v>6414</v>
      </c>
      <c r="J326" t="s">
        <v>444</v>
      </c>
      <c r="K326" t="s">
        <v>74</v>
      </c>
      <c r="L326" t="s">
        <v>74</v>
      </c>
      <c r="M326" t="s">
        <v>78</v>
      </c>
      <c r="N326" t="s">
        <v>79</v>
      </c>
      <c r="O326" t="s">
        <v>74</v>
      </c>
      <c r="P326" t="s">
        <v>74</v>
      </c>
      <c r="Q326" t="s">
        <v>74</v>
      </c>
      <c r="R326" t="s">
        <v>74</v>
      </c>
      <c r="S326" t="s">
        <v>74</v>
      </c>
      <c r="T326" t="s">
        <v>74</v>
      </c>
      <c r="U326" t="s">
        <v>6415</v>
      </c>
      <c r="V326" t="s">
        <v>6416</v>
      </c>
      <c r="W326" t="s">
        <v>6417</v>
      </c>
      <c r="X326" t="s">
        <v>6418</v>
      </c>
      <c r="Y326" t="s">
        <v>5686</v>
      </c>
      <c r="Z326" t="s">
        <v>5687</v>
      </c>
      <c r="AA326" t="s">
        <v>74</v>
      </c>
      <c r="AB326" t="s">
        <v>5689</v>
      </c>
      <c r="AC326" t="s">
        <v>6418</v>
      </c>
      <c r="AD326" t="s">
        <v>6418</v>
      </c>
      <c r="AE326" t="s">
        <v>6419</v>
      </c>
      <c r="AF326" t="s">
        <v>74</v>
      </c>
      <c r="AG326">
        <v>33</v>
      </c>
      <c r="AH326">
        <v>43</v>
      </c>
      <c r="AI326">
        <v>47</v>
      </c>
      <c r="AJ326">
        <v>1</v>
      </c>
      <c r="AK326">
        <v>27</v>
      </c>
      <c r="AL326" t="s">
        <v>118</v>
      </c>
      <c r="AM326" t="s">
        <v>119</v>
      </c>
      <c r="AN326" t="s">
        <v>120</v>
      </c>
      <c r="AO326" t="s">
        <v>454</v>
      </c>
      <c r="AP326" t="s">
        <v>455</v>
      </c>
      <c r="AQ326" t="s">
        <v>74</v>
      </c>
      <c r="AR326" t="s">
        <v>456</v>
      </c>
      <c r="AS326" t="s">
        <v>457</v>
      </c>
      <c r="AT326" t="s">
        <v>6420</v>
      </c>
      <c r="AU326">
        <v>2012</v>
      </c>
      <c r="AV326">
        <v>39</v>
      </c>
      <c r="AW326" t="s">
        <v>74</v>
      </c>
      <c r="AX326" t="s">
        <v>74</v>
      </c>
      <c r="AY326" t="s">
        <v>74</v>
      </c>
      <c r="AZ326" t="s">
        <v>74</v>
      </c>
      <c r="BA326" t="s">
        <v>74</v>
      </c>
      <c r="BB326" t="s">
        <v>74</v>
      </c>
      <c r="BC326" t="s">
        <v>74</v>
      </c>
      <c r="BD326" t="s">
        <v>6421</v>
      </c>
      <c r="BE326" t="s">
        <v>6422</v>
      </c>
      <c r="BF326" t="str">
        <f>HYPERLINK("http://dx.doi.org/10.1029/2012GL053099","http://dx.doi.org/10.1029/2012GL053099")</f>
        <v>http://dx.doi.org/10.1029/2012GL053099</v>
      </c>
      <c r="BG326" t="s">
        <v>74</v>
      </c>
      <c r="BH326" t="s">
        <v>74</v>
      </c>
      <c r="BI326">
        <v>6</v>
      </c>
      <c r="BJ326" t="s">
        <v>461</v>
      </c>
      <c r="BK326" t="s">
        <v>98</v>
      </c>
      <c r="BL326" t="s">
        <v>462</v>
      </c>
      <c r="BM326" t="s">
        <v>6423</v>
      </c>
      <c r="BN326" t="s">
        <v>74</v>
      </c>
      <c r="BO326" t="s">
        <v>416</v>
      </c>
      <c r="BP326" t="s">
        <v>74</v>
      </c>
      <c r="BQ326" t="s">
        <v>74</v>
      </c>
      <c r="BR326" t="s">
        <v>101</v>
      </c>
      <c r="BS326" t="s">
        <v>6424</v>
      </c>
      <c r="BT326" t="str">
        <f>HYPERLINK("https%3A%2F%2Fwww.webofscience.com%2Fwos%2Fwoscc%2Ffull-record%2FWOS:000309137200007","View Full Record in Web of Science")</f>
        <v>View Full Record in Web of Science</v>
      </c>
    </row>
    <row r="327" spans="1:72" x14ac:dyDescent="0.15">
      <c r="A327" t="s">
        <v>72</v>
      </c>
      <c r="B327" t="s">
        <v>6425</v>
      </c>
      <c r="C327" t="s">
        <v>74</v>
      </c>
      <c r="D327" t="s">
        <v>74</v>
      </c>
      <c r="E327" t="s">
        <v>74</v>
      </c>
      <c r="F327" t="s">
        <v>6426</v>
      </c>
      <c r="G327" t="s">
        <v>74</v>
      </c>
      <c r="H327" t="s">
        <v>74</v>
      </c>
      <c r="I327" t="s">
        <v>6427</v>
      </c>
      <c r="J327" t="s">
        <v>3666</v>
      </c>
      <c r="K327" t="s">
        <v>74</v>
      </c>
      <c r="L327" t="s">
        <v>74</v>
      </c>
      <c r="M327" t="s">
        <v>78</v>
      </c>
      <c r="N327" t="s">
        <v>79</v>
      </c>
      <c r="O327" t="s">
        <v>74</v>
      </c>
      <c r="P327" t="s">
        <v>74</v>
      </c>
      <c r="Q327" t="s">
        <v>74</v>
      </c>
      <c r="R327" t="s">
        <v>74</v>
      </c>
      <c r="S327" t="s">
        <v>74</v>
      </c>
      <c r="T327" t="s">
        <v>74</v>
      </c>
      <c r="U327" t="s">
        <v>6428</v>
      </c>
      <c r="V327" t="s">
        <v>6429</v>
      </c>
      <c r="W327" t="s">
        <v>6430</v>
      </c>
      <c r="X327" t="s">
        <v>6431</v>
      </c>
      <c r="Y327" t="s">
        <v>6432</v>
      </c>
      <c r="Z327" t="s">
        <v>6433</v>
      </c>
      <c r="AA327" t="s">
        <v>6434</v>
      </c>
      <c r="AB327" t="s">
        <v>6435</v>
      </c>
      <c r="AC327" t="s">
        <v>6436</v>
      </c>
      <c r="AD327" t="s">
        <v>6437</v>
      </c>
      <c r="AE327" t="s">
        <v>6438</v>
      </c>
      <c r="AF327" t="s">
        <v>74</v>
      </c>
      <c r="AG327">
        <v>48</v>
      </c>
      <c r="AH327">
        <v>10</v>
      </c>
      <c r="AI327">
        <v>13</v>
      </c>
      <c r="AJ327">
        <v>1</v>
      </c>
      <c r="AK327">
        <v>28</v>
      </c>
      <c r="AL327" t="s">
        <v>118</v>
      </c>
      <c r="AM327" t="s">
        <v>119</v>
      </c>
      <c r="AN327" t="s">
        <v>120</v>
      </c>
      <c r="AO327" t="s">
        <v>3678</v>
      </c>
      <c r="AP327" t="s">
        <v>3679</v>
      </c>
      <c r="AQ327" t="s">
        <v>74</v>
      </c>
      <c r="AR327" t="s">
        <v>3680</v>
      </c>
      <c r="AS327" t="s">
        <v>3681</v>
      </c>
      <c r="AT327" t="s">
        <v>6420</v>
      </c>
      <c r="AU327">
        <v>2012</v>
      </c>
      <c r="AV327">
        <v>117</v>
      </c>
      <c r="AW327" t="s">
        <v>74</v>
      </c>
      <c r="AX327" t="s">
        <v>74</v>
      </c>
      <c r="AY327" t="s">
        <v>74</v>
      </c>
      <c r="AZ327" t="s">
        <v>74</v>
      </c>
      <c r="BA327" t="s">
        <v>74</v>
      </c>
      <c r="BB327" t="s">
        <v>74</v>
      </c>
      <c r="BC327" t="s">
        <v>74</v>
      </c>
      <c r="BD327" t="s">
        <v>6439</v>
      </c>
      <c r="BE327" t="s">
        <v>6440</v>
      </c>
      <c r="BF327" t="str">
        <f>HYPERLINK("http://dx.doi.org/10.1029/2012JC008090","http://dx.doi.org/10.1029/2012JC008090")</f>
        <v>http://dx.doi.org/10.1029/2012JC008090</v>
      </c>
      <c r="BG327" t="s">
        <v>74</v>
      </c>
      <c r="BH327" t="s">
        <v>74</v>
      </c>
      <c r="BI327">
        <v>17</v>
      </c>
      <c r="BJ327" t="s">
        <v>941</v>
      </c>
      <c r="BK327" t="s">
        <v>98</v>
      </c>
      <c r="BL327" t="s">
        <v>941</v>
      </c>
      <c r="BM327" t="s">
        <v>6441</v>
      </c>
      <c r="BN327" t="s">
        <v>74</v>
      </c>
      <c r="BO327" t="s">
        <v>1499</v>
      </c>
      <c r="BP327" t="s">
        <v>74</v>
      </c>
      <c r="BQ327" t="s">
        <v>74</v>
      </c>
      <c r="BR327" t="s">
        <v>101</v>
      </c>
      <c r="BS327" t="s">
        <v>6442</v>
      </c>
      <c r="BT327" t="str">
        <f>HYPERLINK("https%3A%2F%2Fwww.webofscience.com%2Fwos%2Fwoscc%2Ffull-record%2FWOS:000309132300001","View Full Record in Web of Science")</f>
        <v>View Full Record in Web of Science</v>
      </c>
    </row>
    <row r="328" spans="1:72" x14ac:dyDescent="0.15">
      <c r="A328" t="s">
        <v>72</v>
      </c>
      <c r="B328" t="s">
        <v>6443</v>
      </c>
      <c r="C328" t="s">
        <v>74</v>
      </c>
      <c r="D328" t="s">
        <v>74</v>
      </c>
      <c r="E328" t="s">
        <v>74</v>
      </c>
      <c r="F328" t="s">
        <v>6444</v>
      </c>
      <c r="G328" t="s">
        <v>74</v>
      </c>
      <c r="H328" t="s">
        <v>74</v>
      </c>
      <c r="I328" t="s">
        <v>6445</v>
      </c>
      <c r="J328" t="s">
        <v>6446</v>
      </c>
      <c r="K328" t="s">
        <v>74</v>
      </c>
      <c r="L328" t="s">
        <v>74</v>
      </c>
      <c r="M328" t="s">
        <v>78</v>
      </c>
      <c r="N328" t="s">
        <v>79</v>
      </c>
      <c r="O328" t="s">
        <v>74</v>
      </c>
      <c r="P328" t="s">
        <v>74</v>
      </c>
      <c r="Q328" t="s">
        <v>74</v>
      </c>
      <c r="R328" t="s">
        <v>74</v>
      </c>
      <c r="S328" t="s">
        <v>74</v>
      </c>
      <c r="T328" t="s">
        <v>6447</v>
      </c>
      <c r="U328" t="s">
        <v>6448</v>
      </c>
      <c r="V328" t="s">
        <v>6449</v>
      </c>
      <c r="W328" t="s">
        <v>6450</v>
      </c>
      <c r="X328" t="s">
        <v>6451</v>
      </c>
      <c r="Y328" t="s">
        <v>6452</v>
      </c>
      <c r="Z328" t="s">
        <v>6453</v>
      </c>
      <c r="AA328" t="s">
        <v>74</v>
      </c>
      <c r="AB328" t="s">
        <v>74</v>
      </c>
      <c r="AC328" t="s">
        <v>6454</v>
      </c>
      <c r="AD328" t="s">
        <v>6454</v>
      </c>
      <c r="AE328" t="s">
        <v>6455</v>
      </c>
      <c r="AF328" t="s">
        <v>74</v>
      </c>
      <c r="AG328">
        <v>43</v>
      </c>
      <c r="AH328">
        <v>5</v>
      </c>
      <c r="AI328">
        <v>9</v>
      </c>
      <c r="AJ328">
        <v>1</v>
      </c>
      <c r="AK328">
        <v>27</v>
      </c>
      <c r="AL328" t="s">
        <v>6456</v>
      </c>
      <c r="AM328" t="s">
        <v>6457</v>
      </c>
      <c r="AN328" t="s">
        <v>6458</v>
      </c>
      <c r="AO328" t="s">
        <v>6459</v>
      </c>
      <c r="AP328" t="s">
        <v>6460</v>
      </c>
      <c r="AQ328" t="s">
        <v>74</v>
      </c>
      <c r="AR328" t="s">
        <v>6461</v>
      </c>
      <c r="AS328" t="s">
        <v>6462</v>
      </c>
      <c r="AT328" t="s">
        <v>6463</v>
      </c>
      <c r="AU328">
        <v>2012</v>
      </c>
      <c r="AV328">
        <v>6</v>
      </c>
      <c r="AW328">
        <v>3</v>
      </c>
      <c r="AX328" t="s">
        <v>74</v>
      </c>
      <c r="AY328" t="s">
        <v>74</v>
      </c>
      <c r="AZ328" t="s">
        <v>74</v>
      </c>
      <c r="BA328" t="s">
        <v>74</v>
      </c>
      <c r="BB328">
        <v>271</v>
      </c>
      <c r="BC328">
        <v>279</v>
      </c>
      <c r="BD328" t="s">
        <v>74</v>
      </c>
      <c r="BE328" t="s">
        <v>6464</v>
      </c>
      <c r="BF328" t="str">
        <f>HYPERLINK("http://dx.doi.org/10.1007/s13206-012-6310-5","http://dx.doi.org/10.1007/s13206-012-6310-5")</f>
        <v>http://dx.doi.org/10.1007/s13206-012-6310-5</v>
      </c>
      <c r="BG328" t="s">
        <v>74</v>
      </c>
      <c r="BH328" t="s">
        <v>74</v>
      </c>
      <c r="BI328">
        <v>9</v>
      </c>
      <c r="BJ328" t="s">
        <v>6465</v>
      </c>
      <c r="BK328" t="s">
        <v>98</v>
      </c>
      <c r="BL328" t="s">
        <v>6466</v>
      </c>
      <c r="BM328" t="s">
        <v>6467</v>
      </c>
      <c r="BN328" t="s">
        <v>74</v>
      </c>
      <c r="BO328" t="s">
        <v>74</v>
      </c>
      <c r="BP328" t="s">
        <v>74</v>
      </c>
      <c r="BQ328" t="s">
        <v>74</v>
      </c>
      <c r="BR328" t="s">
        <v>101</v>
      </c>
      <c r="BS328" t="s">
        <v>6468</v>
      </c>
      <c r="BT328" t="str">
        <f>HYPERLINK("https%3A%2F%2Fwww.webofscience.com%2Fwos%2Fwoscc%2Ffull-record%2FWOS:000308779800010","View Full Record in Web of Science")</f>
        <v>View Full Record in Web of Science</v>
      </c>
    </row>
    <row r="329" spans="1:72" x14ac:dyDescent="0.15">
      <c r="A329" t="s">
        <v>72</v>
      </c>
      <c r="B329" t="s">
        <v>6469</v>
      </c>
      <c r="C329" t="s">
        <v>74</v>
      </c>
      <c r="D329" t="s">
        <v>74</v>
      </c>
      <c r="E329" t="s">
        <v>74</v>
      </c>
      <c r="F329" t="s">
        <v>6470</v>
      </c>
      <c r="G329" t="s">
        <v>74</v>
      </c>
      <c r="H329" t="s">
        <v>74</v>
      </c>
      <c r="I329" t="s">
        <v>6471</v>
      </c>
      <c r="J329" t="s">
        <v>3207</v>
      </c>
      <c r="K329" t="s">
        <v>74</v>
      </c>
      <c r="L329" t="s">
        <v>74</v>
      </c>
      <c r="M329" t="s">
        <v>78</v>
      </c>
      <c r="N329" t="s">
        <v>79</v>
      </c>
      <c r="O329" t="s">
        <v>74</v>
      </c>
      <c r="P329" t="s">
        <v>74</v>
      </c>
      <c r="Q329" t="s">
        <v>74</v>
      </c>
      <c r="R329" t="s">
        <v>74</v>
      </c>
      <c r="S329" t="s">
        <v>74</v>
      </c>
      <c r="T329" t="s">
        <v>74</v>
      </c>
      <c r="U329" t="s">
        <v>6472</v>
      </c>
      <c r="V329" t="s">
        <v>6473</v>
      </c>
      <c r="W329" t="s">
        <v>6474</v>
      </c>
      <c r="X329" t="s">
        <v>6475</v>
      </c>
      <c r="Y329" t="s">
        <v>6476</v>
      </c>
      <c r="Z329" t="s">
        <v>6477</v>
      </c>
      <c r="AA329" t="s">
        <v>6478</v>
      </c>
      <c r="AB329" t="s">
        <v>6479</v>
      </c>
      <c r="AC329" t="s">
        <v>74</v>
      </c>
      <c r="AD329" t="s">
        <v>74</v>
      </c>
      <c r="AE329" t="s">
        <v>74</v>
      </c>
      <c r="AF329" t="s">
        <v>74</v>
      </c>
      <c r="AG329">
        <v>22</v>
      </c>
      <c r="AH329">
        <v>4</v>
      </c>
      <c r="AI329">
        <v>4</v>
      </c>
      <c r="AJ329">
        <v>0</v>
      </c>
      <c r="AK329">
        <v>12</v>
      </c>
      <c r="AL329" t="s">
        <v>118</v>
      </c>
      <c r="AM329" t="s">
        <v>119</v>
      </c>
      <c r="AN329" t="s">
        <v>120</v>
      </c>
      <c r="AO329" t="s">
        <v>3219</v>
      </c>
      <c r="AP329" t="s">
        <v>3220</v>
      </c>
      <c r="AQ329" t="s">
        <v>74</v>
      </c>
      <c r="AR329" t="s">
        <v>3221</v>
      </c>
      <c r="AS329" t="s">
        <v>3222</v>
      </c>
      <c r="AT329" t="s">
        <v>6463</v>
      </c>
      <c r="AU329">
        <v>2012</v>
      </c>
      <c r="AV329">
        <v>117</v>
      </c>
      <c r="AW329" t="s">
        <v>74</v>
      </c>
      <c r="AX329" t="s">
        <v>74</v>
      </c>
      <c r="AY329" t="s">
        <v>74</v>
      </c>
      <c r="AZ329" t="s">
        <v>74</v>
      </c>
      <c r="BA329" t="s">
        <v>74</v>
      </c>
      <c r="BB329" t="s">
        <v>74</v>
      </c>
      <c r="BC329" t="s">
        <v>74</v>
      </c>
      <c r="BD329" t="s">
        <v>6480</v>
      </c>
      <c r="BE329" t="s">
        <v>6481</v>
      </c>
      <c r="BF329" t="str">
        <f>HYPERLINK("http://dx.doi.org/10.1029/2012JD017529","http://dx.doi.org/10.1029/2012JD017529")</f>
        <v>http://dx.doi.org/10.1029/2012JD017529</v>
      </c>
      <c r="BG329" t="s">
        <v>74</v>
      </c>
      <c r="BH329" t="s">
        <v>74</v>
      </c>
      <c r="BI329">
        <v>10</v>
      </c>
      <c r="BJ329" t="s">
        <v>378</v>
      </c>
      <c r="BK329" t="s">
        <v>98</v>
      </c>
      <c r="BL329" t="s">
        <v>378</v>
      </c>
      <c r="BM329" t="s">
        <v>6482</v>
      </c>
      <c r="BN329" t="s">
        <v>74</v>
      </c>
      <c r="BO329" t="s">
        <v>74</v>
      </c>
      <c r="BP329" t="s">
        <v>74</v>
      </c>
      <c r="BQ329" t="s">
        <v>74</v>
      </c>
      <c r="BR329" t="s">
        <v>101</v>
      </c>
      <c r="BS329" t="s">
        <v>6483</v>
      </c>
      <c r="BT329" t="str">
        <f>HYPERLINK("https%3A%2F%2Fwww.webofscience.com%2Fwos%2Fwoscc%2Ffull-record%2FWOS:000309138800001","View Full Record in Web of Science")</f>
        <v>View Full Record in Web of Science</v>
      </c>
    </row>
    <row r="330" spans="1:72" x14ac:dyDescent="0.15">
      <c r="A330" t="s">
        <v>72</v>
      </c>
      <c r="B330" t="s">
        <v>6484</v>
      </c>
      <c r="C330" t="s">
        <v>74</v>
      </c>
      <c r="D330" t="s">
        <v>74</v>
      </c>
      <c r="E330" t="s">
        <v>74</v>
      </c>
      <c r="F330" t="s">
        <v>6485</v>
      </c>
      <c r="G330" t="s">
        <v>74</v>
      </c>
      <c r="H330" t="s">
        <v>74</v>
      </c>
      <c r="I330" t="s">
        <v>6486</v>
      </c>
      <c r="J330" t="s">
        <v>134</v>
      </c>
      <c r="K330" t="s">
        <v>74</v>
      </c>
      <c r="L330" t="s">
        <v>74</v>
      </c>
      <c r="M330" t="s">
        <v>78</v>
      </c>
      <c r="N330" t="s">
        <v>79</v>
      </c>
      <c r="O330" t="s">
        <v>74</v>
      </c>
      <c r="P330" t="s">
        <v>74</v>
      </c>
      <c r="Q330" t="s">
        <v>74</v>
      </c>
      <c r="R330" t="s">
        <v>74</v>
      </c>
      <c r="S330" t="s">
        <v>74</v>
      </c>
      <c r="T330" t="s">
        <v>74</v>
      </c>
      <c r="U330" t="s">
        <v>6487</v>
      </c>
      <c r="V330" t="s">
        <v>6488</v>
      </c>
      <c r="W330" t="s">
        <v>6489</v>
      </c>
      <c r="X330" t="s">
        <v>6490</v>
      </c>
      <c r="Y330" t="s">
        <v>6491</v>
      </c>
      <c r="Z330" t="s">
        <v>6492</v>
      </c>
      <c r="AA330" t="s">
        <v>6493</v>
      </c>
      <c r="AB330" t="s">
        <v>6494</v>
      </c>
      <c r="AC330" t="s">
        <v>6495</v>
      </c>
      <c r="AD330" t="s">
        <v>6496</v>
      </c>
      <c r="AE330" t="s">
        <v>6497</v>
      </c>
      <c r="AF330" t="s">
        <v>74</v>
      </c>
      <c r="AG330">
        <v>62</v>
      </c>
      <c r="AH330">
        <v>20</v>
      </c>
      <c r="AI330">
        <v>21</v>
      </c>
      <c r="AJ330">
        <v>0</v>
      </c>
      <c r="AK330">
        <v>38</v>
      </c>
      <c r="AL330" t="s">
        <v>146</v>
      </c>
      <c r="AM330" t="s">
        <v>147</v>
      </c>
      <c r="AN330" t="s">
        <v>148</v>
      </c>
      <c r="AO330" t="s">
        <v>149</v>
      </c>
      <c r="AP330" t="s">
        <v>74</v>
      </c>
      <c r="AQ330" t="s">
        <v>74</v>
      </c>
      <c r="AR330" t="s">
        <v>134</v>
      </c>
      <c r="AS330" t="s">
        <v>150</v>
      </c>
      <c r="AT330" t="s">
        <v>6498</v>
      </c>
      <c r="AU330">
        <v>2012</v>
      </c>
      <c r="AV330">
        <v>7</v>
      </c>
      <c r="AW330">
        <v>9</v>
      </c>
      <c r="AX330" t="s">
        <v>74</v>
      </c>
      <c r="AY330" t="s">
        <v>74</v>
      </c>
      <c r="AZ330" t="s">
        <v>74</v>
      </c>
      <c r="BA330" t="s">
        <v>74</v>
      </c>
      <c r="BB330" t="s">
        <v>74</v>
      </c>
      <c r="BC330" t="s">
        <v>74</v>
      </c>
      <c r="BD330" t="s">
        <v>6499</v>
      </c>
      <c r="BE330" t="s">
        <v>6500</v>
      </c>
      <c r="BF330" t="str">
        <f>HYPERLINK("http://dx.doi.org/10.1371/journal.pone.0045545","http://dx.doi.org/10.1371/journal.pone.0045545")</f>
        <v>http://dx.doi.org/10.1371/journal.pone.0045545</v>
      </c>
      <c r="BG330" t="s">
        <v>74</v>
      </c>
      <c r="BH330" t="s">
        <v>74</v>
      </c>
      <c r="BI330">
        <v>14</v>
      </c>
      <c r="BJ330" t="s">
        <v>153</v>
      </c>
      <c r="BK330" t="s">
        <v>98</v>
      </c>
      <c r="BL330" t="s">
        <v>154</v>
      </c>
      <c r="BM330" t="s">
        <v>6501</v>
      </c>
      <c r="BN330">
        <v>23029084</v>
      </c>
      <c r="BO330" t="s">
        <v>6502</v>
      </c>
      <c r="BP330" t="s">
        <v>74</v>
      </c>
      <c r="BQ330" t="s">
        <v>74</v>
      </c>
      <c r="BR330" t="s">
        <v>101</v>
      </c>
      <c r="BS330" t="s">
        <v>6503</v>
      </c>
      <c r="BT330" t="str">
        <f>HYPERLINK("https%3A%2F%2Fwww.webofscience.com%2Fwos%2Fwoscc%2Ffull-record%2FWOS:000309388400102","View Full Record in Web of Science")</f>
        <v>View Full Record in Web of Science</v>
      </c>
    </row>
    <row r="331" spans="1:72" x14ac:dyDescent="0.15">
      <c r="A331" t="s">
        <v>72</v>
      </c>
      <c r="B331" t="s">
        <v>6504</v>
      </c>
      <c r="C331" t="s">
        <v>74</v>
      </c>
      <c r="D331" t="s">
        <v>74</v>
      </c>
      <c r="E331" t="s">
        <v>74</v>
      </c>
      <c r="F331" t="s">
        <v>6505</v>
      </c>
      <c r="G331" t="s">
        <v>74</v>
      </c>
      <c r="H331" t="s">
        <v>74</v>
      </c>
      <c r="I331" t="s">
        <v>6506</v>
      </c>
      <c r="J331" t="s">
        <v>6507</v>
      </c>
      <c r="K331" t="s">
        <v>74</v>
      </c>
      <c r="L331" t="s">
        <v>74</v>
      </c>
      <c r="M331" t="s">
        <v>78</v>
      </c>
      <c r="N331" t="s">
        <v>79</v>
      </c>
      <c r="O331" t="s">
        <v>74</v>
      </c>
      <c r="P331" t="s">
        <v>74</v>
      </c>
      <c r="Q331" t="s">
        <v>74</v>
      </c>
      <c r="R331" t="s">
        <v>74</v>
      </c>
      <c r="S331" t="s">
        <v>74</v>
      </c>
      <c r="T331" t="s">
        <v>74</v>
      </c>
      <c r="U331" t="s">
        <v>6508</v>
      </c>
      <c r="V331" t="s">
        <v>6509</v>
      </c>
      <c r="W331" t="s">
        <v>6510</v>
      </c>
      <c r="X331" t="s">
        <v>6511</v>
      </c>
      <c r="Y331" t="s">
        <v>6512</v>
      </c>
      <c r="Z331" t="s">
        <v>6513</v>
      </c>
      <c r="AA331" t="s">
        <v>6514</v>
      </c>
      <c r="AB331" t="s">
        <v>6515</v>
      </c>
      <c r="AC331" t="s">
        <v>74</v>
      </c>
      <c r="AD331" t="s">
        <v>74</v>
      </c>
      <c r="AE331" t="s">
        <v>74</v>
      </c>
      <c r="AF331" t="s">
        <v>74</v>
      </c>
      <c r="AG331">
        <v>80</v>
      </c>
      <c r="AH331">
        <v>33</v>
      </c>
      <c r="AI331">
        <v>41</v>
      </c>
      <c r="AJ331">
        <v>0</v>
      </c>
      <c r="AK331">
        <v>18</v>
      </c>
      <c r="AL331" t="s">
        <v>118</v>
      </c>
      <c r="AM331" t="s">
        <v>119</v>
      </c>
      <c r="AN331" t="s">
        <v>120</v>
      </c>
      <c r="AO331" t="s">
        <v>6516</v>
      </c>
      <c r="AP331" t="s">
        <v>6517</v>
      </c>
      <c r="AQ331" t="s">
        <v>74</v>
      </c>
      <c r="AR331" t="s">
        <v>6518</v>
      </c>
      <c r="AS331" t="s">
        <v>6519</v>
      </c>
      <c r="AT331" t="s">
        <v>6498</v>
      </c>
      <c r="AU331">
        <v>2012</v>
      </c>
      <c r="AV331">
        <v>117</v>
      </c>
      <c r="AW331" t="s">
        <v>74</v>
      </c>
      <c r="AX331" t="s">
        <v>74</v>
      </c>
      <c r="AY331" t="s">
        <v>74</v>
      </c>
      <c r="AZ331" t="s">
        <v>74</v>
      </c>
      <c r="BA331" t="s">
        <v>74</v>
      </c>
      <c r="BB331" t="s">
        <v>74</v>
      </c>
      <c r="BC331" t="s">
        <v>74</v>
      </c>
      <c r="BD331" t="s">
        <v>6520</v>
      </c>
      <c r="BE331" t="s">
        <v>6521</v>
      </c>
      <c r="BF331" t="str">
        <f>HYPERLINK("http://dx.doi.org/10.1029/2012JE004108","http://dx.doi.org/10.1029/2012JE004108")</f>
        <v>http://dx.doi.org/10.1029/2012JE004108</v>
      </c>
      <c r="BG331" t="s">
        <v>74</v>
      </c>
      <c r="BH331" t="s">
        <v>74</v>
      </c>
      <c r="BI331">
        <v>18</v>
      </c>
      <c r="BJ331" t="s">
        <v>241</v>
      </c>
      <c r="BK331" t="s">
        <v>98</v>
      </c>
      <c r="BL331" t="s">
        <v>241</v>
      </c>
      <c r="BM331" t="s">
        <v>6522</v>
      </c>
      <c r="BN331" t="s">
        <v>74</v>
      </c>
      <c r="BO331" t="s">
        <v>607</v>
      </c>
      <c r="BP331" t="s">
        <v>74</v>
      </c>
      <c r="BQ331" t="s">
        <v>74</v>
      </c>
      <c r="BR331" t="s">
        <v>101</v>
      </c>
      <c r="BS331" t="s">
        <v>6523</v>
      </c>
      <c r="BT331" t="str">
        <f>HYPERLINK("https%3A%2F%2Fwww.webofscience.com%2Fwos%2Fwoscc%2Ffull-record%2FWOS:000309133200001","View Full Record in Web of Science")</f>
        <v>View Full Record in Web of Science</v>
      </c>
    </row>
    <row r="332" spans="1:72" x14ac:dyDescent="0.15">
      <c r="A332" t="s">
        <v>72</v>
      </c>
      <c r="B332" t="s">
        <v>6524</v>
      </c>
      <c r="C332" t="s">
        <v>74</v>
      </c>
      <c r="D332" t="s">
        <v>74</v>
      </c>
      <c r="E332" t="s">
        <v>74</v>
      </c>
      <c r="F332" t="s">
        <v>6525</v>
      </c>
      <c r="G332" t="s">
        <v>74</v>
      </c>
      <c r="H332" t="s">
        <v>74</v>
      </c>
      <c r="I332" t="s">
        <v>6526</v>
      </c>
      <c r="J332" t="s">
        <v>134</v>
      </c>
      <c r="K332" t="s">
        <v>74</v>
      </c>
      <c r="L332" t="s">
        <v>74</v>
      </c>
      <c r="M332" t="s">
        <v>78</v>
      </c>
      <c r="N332" t="s">
        <v>79</v>
      </c>
      <c r="O332" t="s">
        <v>74</v>
      </c>
      <c r="P332" t="s">
        <v>74</v>
      </c>
      <c r="Q332" t="s">
        <v>74</v>
      </c>
      <c r="R332" t="s">
        <v>74</v>
      </c>
      <c r="S332" t="s">
        <v>74</v>
      </c>
      <c r="T332" t="s">
        <v>74</v>
      </c>
      <c r="U332" t="s">
        <v>6527</v>
      </c>
      <c r="V332" t="s">
        <v>6528</v>
      </c>
      <c r="W332" t="s">
        <v>6529</v>
      </c>
      <c r="X332" t="s">
        <v>6530</v>
      </c>
      <c r="Y332" t="s">
        <v>6531</v>
      </c>
      <c r="Z332" t="s">
        <v>6532</v>
      </c>
      <c r="AA332" t="s">
        <v>6533</v>
      </c>
      <c r="AB332" t="s">
        <v>6534</v>
      </c>
      <c r="AC332" t="s">
        <v>6535</v>
      </c>
      <c r="AD332" t="s">
        <v>6536</v>
      </c>
      <c r="AE332" t="s">
        <v>6537</v>
      </c>
      <c r="AF332" t="s">
        <v>74</v>
      </c>
      <c r="AG332">
        <v>49</v>
      </c>
      <c r="AH332">
        <v>14</v>
      </c>
      <c r="AI332">
        <v>15</v>
      </c>
      <c r="AJ332">
        <v>0</v>
      </c>
      <c r="AK332">
        <v>49</v>
      </c>
      <c r="AL332" t="s">
        <v>146</v>
      </c>
      <c r="AM332" t="s">
        <v>147</v>
      </c>
      <c r="AN332" t="s">
        <v>148</v>
      </c>
      <c r="AO332" t="s">
        <v>149</v>
      </c>
      <c r="AP332" t="s">
        <v>74</v>
      </c>
      <c r="AQ332" t="s">
        <v>74</v>
      </c>
      <c r="AR332" t="s">
        <v>134</v>
      </c>
      <c r="AS332" t="s">
        <v>150</v>
      </c>
      <c r="AT332" t="s">
        <v>6498</v>
      </c>
      <c r="AU332">
        <v>2012</v>
      </c>
      <c r="AV332">
        <v>7</v>
      </c>
      <c r="AW332">
        <v>9</v>
      </c>
      <c r="AX332" t="s">
        <v>74</v>
      </c>
      <c r="AY332" t="s">
        <v>74</v>
      </c>
      <c r="AZ332" t="s">
        <v>74</v>
      </c>
      <c r="BA332" t="s">
        <v>74</v>
      </c>
      <c r="BB332" t="s">
        <v>74</v>
      </c>
      <c r="BC332" t="s">
        <v>74</v>
      </c>
      <c r="BD332" t="s">
        <v>6538</v>
      </c>
      <c r="BE332" t="s">
        <v>6539</v>
      </c>
      <c r="BF332" t="str">
        <f>HYPERLINK("http://dx.doi.org/10.1371/journal.pone.0044578","http://dx.doi.org/10.1371/journal.pone.0044578")</f>
        <v>http://dx.doi.org/10.1371/journal.pone.0044578</v>
      </c>
      <c r="BG332" t="s">
        <v>74</v>
      </c>
      <c r="BH332" t="s">
        <v>74</v>
      </c>
      <c r="BI332">
        <v>10</v>
      </c>
      <c r="BJ332" t="s">
        <v>153</v>
      </c>
      <c r="BK332" t="s">
        <v>98</v>
      </c>
      <c r="BL332" t="s">
        <v>154</v>
      </c>
      <c r="BM332" t="s">
        <v>6501</v>
      </c>
      <c r="BN332" t="s">
        <v>74</v>
      </c>
      <c r="BO332" t="s">
        <v>693</v>
      </c>
      <c r="BP332" t="s">
        <v>74</v>
      </c>
      <c r="BQ332" t="s">
        <v>74</v>
      </c>
      <c r="BR332" t="s">
        <v>101</v>
      </c>
      <c r="BS332" t="s">
        <v>6540</v>
      </c>
      <c r="BT332" t="str">
        <f>HYPERLINK("https%3A%2F%2Fwww.webofscience.com%2Fwos%2Fwoscc%2Ffull-record%2FWOS:000309388400027","View Full Record in Web of Science")</f>
        <v>View Full Record in Web of Science</v>
      </c>
    </row>
    <row r="333" spans="1:72" x14ac:dyDescent="0.15">
      <c r="A333" t="s">
        <v>72</v>
      </c>
      <c r="B333" t="s">
        <v>6541</v>
      </c>
      <c r="C333" t="s">
        <v>74</v>
      </c>
      <c r="D333" t="s">
        <v>74</v>
      </c>
      <c r="E333" t="s">
        <v>74</v>
      </c>
      <c r="F333" t="s">
        <v>6542</v>
      </c>
      <c r="G333" t="s">
        <v>74</v>
      </c>
      <c r="H333" t="s">
        <v>74</v>
      </c>
      <c r="I333" t="s">
        <v>6543</v>
      </c>
      <c r="J333" t="s">
        <v>444</v>
      </c>
      <c r="K333" t="s">
        <v>74</v>
      </c>
      <c r="L333" t="s">
        <v>74</v>
      </c>
      <c r="M333" t="s">
        <v>78</v>
      </c>
      <c r="N333" t="s">
        <v>79</v>
      </c>
      <c r="O333" t="s">
        <v>74</v>
      </c>
      <c r="P333" t="s">
        <v>74</v>
      </c>
      <c r="Q333" t="s">
        <v>74</v>
      </c>
      <c r="R333" t="s">
        <v>74</v>
      </c>
      <c r="S333" t="s">
        <v>74</v>
      </c>
      <c r="T333" t="s">
        <v>74</v>
      </c>
      <c r="U333" t="s">
        <v>6544</v>
      </c>
      <c r="V333" t="s">
        <v>6545</v>
      </c>
      <c r="W333" t="s">
        <v>6546</v>
      </c>
      <c r="X333" t="s">
        <v>6547</v>
      </c>
      <c r="Y333" t="s">
        <v>6548</v>
      </c>
      <c r="Z333" t="s">
        <v>6549</v>
      </c>
      <c r="AA333" t="s">
        <v>6550</v>
      </c>
      <c r="AB333" t="s">
        <v>6551</v>
      </c>
      <c r="AC333" t="s">
        <v>6552</v>
      </c>
      <c r="AD333" t="s">
        <v>6553</v>
      </c>
      <c r="AE333" t="s">
        <v>6554</v>
      </c>
      <c r="AF333" t="s">
        <v>74</v>
      </c>
      <c r="AG333">
        <v>19</v>
      </c>
      <c r="AH333">
        <v>26</v>
      </c>
      <c r="AI333">
        <v>29</v>
      </c>
      <c r="AJ333">
        <v>0</v>
      </c>
      <c r="AK333">
        <v>34</v>
      </c>
      <c r="AL333" t="s">
        <v>118</v>
      </c>
      <c r="AM333" t="s">
        <v>119</v>
      </c>
      <c r="AN333" t="s">
        <v>120</v>
      </c>
      <c r="AO333" t="s">
        <v>454</v>
      </c>
      <c r="AP333" t="s">
        <v>74</v>
      </c>
      <c r="AQ333" t="s">
        <v>74</v>
      </c>
      <c r="AR333" t="s">
        <v>456</v>
      </c>
      <c r="AS333" t="s">
        <v>457</v>
      </c>
      <c r="AT333" t="s">
        <v>6555</v>
      </c>
      <c r="AU333">
        <v>2012</v>
      </c>
      <c r="AV333">
        <v>39</v>
      </c>
      <c r="AW333" t="s">
        <v>74</v>
      </c>
      <c r="AX333" t="s">
        <v>74</v>
      </c>
      <c r="AY333" t="s">
        <v>74</v>
      </c>
      <c r="AZ333" t="s">
        <v>74</v>
      </c>
      <c r="BA333" t="s">
        <v>74</v>
      </c>
      <c r="BB333" t="s">
        <v>74</v>
      </c>
      <c r="BC333" t="s">
        <v>74</v>
      </c>
      <c r="BD333" t="s">
        <v>6556</v>
      </c>
      <c r="BE333" t="s">
        <v>6557</v>
      </c>
      <c r="BF333" t="str">
        <f>HYPERLINK("http://dx.doi.org/10.1029/2012GL052761","http://dx.doi.org/10.1029/2012GL052761")</f>
        <v>http://dx.doi.org/10.1029/2012GL052761</v>
      </c>
      <c r="BG333" t="s">
        <v>74</v>
      </c>
      <c r="BH333" t="s">
        <v>74</v>
      </c>
      <c r="BI333">
        <v>5</v>
      </c>
      <c r="BJ333" t="s">
        <v>461</v>
      </c>
      <c r="BK333" t="s">
        <v>98</v>
      </c>
      <c r="BL333" t="s">
        <v>462</v>
      </c>
      <c r="BM333" t="s">
        <v>6558</v>
      </c>
      <c r="BN333" t="s">
        <v>74</v>
      </c>
      <c r="BO333" t="s">
        <v>74</v>
      </c>
      <c r="BP333" t="s">
        <v>74</v>
      </c>
      <c r="BQ333" t="s">
        <v>74</v>
      </c>
      <c r="BR333" t="s">
        <v>101</v>
      </c>
      <c r="BS333" t="s">
        <v>6559</v>
      </c>
      <c r="BT333" t="str">
        <f>HYPERLINK("https%3A%2F%2Fwww.webofscience.com%2Fwos%2Fwoscc%2Ffull-record%2FWOS:000309136100002","View Full Record in Web of Science")</f>
        <v>View Full Record in Web of Science</v>
      </c>
    </row>
    <row r="334" spans="1:72" x14ac:dyDescent="0.15">
      <c r="A334" t="s">
        <v>72</v>
      </c>
      <c r="B334" t="s">
        <v>6560</v>
      </c>
      <c r="C334" t="s">
        <v>74</v>
      </c>
      <c r="D334" t="s">
        <v>74</v>
      </c>
      <c r="E334" t="s">
        <v>74</v>
      </c>
      <c r="F334" t="s">
        <v>6561</v>
      </c>
      <c r="G334" t="s">
        <v>74</v>
      </c>
      <c r="H334" t="s">
        <v>74</v>
      </c>
      <c r="I334" t="s">
        <v>6562</v>
      </c>
      <c r="J334" t="s">
        <v>551</v>
      </c>
      <c r="K334" t="s">
        <v>74</v>
      </c>
      <c r="L334" t="s">
        <v>74</v>
      </c>
      <c r="M334" t="s">
        <v>78</v>
      </c>
      <c r="N334" t="s">
        <v>79</v>
      </c>
      <c r="O334" t="s">
        <v>74</v>
      </c>
      <c r="P334" t="s">
        <v>74</v>
      </c>
      <c r="Q334" t="s">
        <v>74</v>
      </c>
      <c r="R334" t="s">
        <v>74</v>
      </c>
      <c r="S334" t="s">
        <v>74</v>
      </c>
      <c r="T334" t="s">
        <v>74</v>
      </c>
      <c r="U334" t="s">
        <v>6563</v>
      </c>
      <c r="V334" t="s">
        <v>6564</v>
      </c>
      <c r="W334" t="s">
        <v>6565</v>
      </c>
      <c r="X334" t="s">
        <v>6566</v>
      </c>
      <c r="Y334" t="s">
        <v>6567</v>
      </c>
      <c r="Z334" t="s">
        <v>6568</v>
      </c>
      <c r="AA334" t="s">
        <v>6569</v>
      </c>
      <c r="AB334" t="s">
        <v>6570</v>
      </c>
      <c r="AC334" t="s">
        <v>6571</v>
      </c>
      <c r="AD334" t="s">
        <v>6572</v>
      </c>
      <c r="AE334" t="s">
        <v>6573</v>
      </c>
      <c r="AF334" t="s">
        <v>74</v>
      </c>
      <c r="AG334">
        <v>46</v>
      </c>
      <c r="AH334">
        <v>30</v>
      </c>
      <c r="AI334">
        <v>31</v>
      </c>
      <c r="AJ334">
        <v>0</v>
      </c>
      <c r="AK334">
        <v>17</v>
      </c>
      <c r="AL334" t="s">
        <v>118</v>
      </c>
      <c r="AM334" t="s">
        <v>119</v>
      </c>
      <c r="AN334" t="s">
        <v>120</v>
      </c>
      <c r="AO334" t="s">
        <v>563</v>
      </c>
      <c r="AP334" t="s">
        <v>564</v>
      </c>
      <c r="AQ334" t="s">
        <v>74</v>
      </c>
      <c r="AR334" t="s">
        <v>565</v>
      </c>
      <c r="AS334" t="s">
        <v>566</v>
      </c>
      <c r="AT334" t="s">
        <v>6555</v>
      </c>
      <c r="AU334">
        <v>2012</v>
      </c>
      <c r="AV334">
        <v>117</v>
      </c>
      <c r="AW334" t="s">
        <v>74</v>
      </c>
      <c r="AX334" t="s">
        <v>74</v>
      </c>
      <c r="AY334" t="s">
        <v>74</v>
      </c>
      <c r="AZ334" t="s">
        <v>74</v>
      </c>
      <c r="BA334" t="s">
        <v>74</v>
      </c>
      <c r="BB334" t="s">
        <v>74</v>
      </c>
      <c r="BC334" t="s">
        <v>74</v>
      </c>
      <c r="BD334" t="s">
        <v>6574</v>
      </c>
      <c r="BE334" t="s">
        <v>6575</v>
      </c>
      <c r="BF334" t="str">
        <f>HYPERLINK("http://dx.doi.org/10.1029/2012JF002440","http://dx.doi.org/10.1029/2012JF002440")</f>
        <v>http://dx.doi.org/10.1029/2012JF002440</v>
      </c>
      <c r="BG334" t="s">
        <v>74</v>
      </c>
      <c r="BH334" t="s">
        <v>74</v>
      </c>
      <c r="BI334">
        <v>16</v>
      </c>
      <c r="BJ334" t="s">
        <v>461</v>
      </c>
      <c r="BK334" t="s">
        <v>98</v>
      </c>
      <c r="BL334" t="s">
        <v>462</v>
      </c>
      <c r="BM334" t="s">
        <v>6576</v>
      </c>
      <c r="BN334" t="s">
        <v>74</v>
      </c>
      <c r="BO334" t="s">
        <v>607</v>
      </c>
      <c r="BP334" t="s">
        <v>74</v>
      </c>
      <c r="BQ334" t="s">
        <v>74</v>
      </c>
      <c r="BR334" t="s">
        <v>101</v>
      </c>
      <c r="BS334" t="s">
        <v>6577</v>
      </c>
      <c r="BT334" t="str">
        <f>HYPERLINK("https%3A%2F%2Fwww.webofscience.com%2Fwos%2Fwoscc%2Ffull-record%2FWOS:000309138600002","View Full Record in Web of Science")</f>
        <v>View Full Record in Web of Science</v>
      </c>
    </row>
    <row r="335" spans="1:72" x14ac:dyDescent="0.15">
      <c r="A335" t="s">
        <v>72</v>
      </c>
      <c r="B335" t="s">
        <v>6578</v>
      </c>
      <c r="C335" t="s">
        <v>74</v>
      </c>
      <c r="D335" t="s">
        <v>74</v>
      </c>
      <c r="E335" t="s">
        <v>74</v>
      </c>
      <c r="F335" t="s">
        <v>6579</v>
      </c>
      <c r="G335" t="s">
        <v>74</v>
      </c>
      <c r="H335" t="s">
        <v>74</v>
      </c>
      <c r="I335" t="s">
        <v>6580</v>
      </c>
      <c r="J335" t="s">
        <v>729</v>
      </c>
      <c r="K335" t="s">
        <v>74</v>
      </c>
      <c r="L335" t="s">
        <v>74</v>
      </c>
      <c r="M335" t="s">
        <v>78</v>
      </c>
      <c r="N335" t="s">
        <v>79</v>
      </c>
      <c r="O335" t="s">
        <v>74</v>
      </c>
      <c r="P335" t="s">
        <v>74</v>
      </c>
      <c r="Q335" t="s">
        <v>74</v>
      </c>
      <c r="R335" t="s">
        <v>74</v>
      </c>
      <c r="S335" t="s">
        <v>74</v>
      </c>
      <c r="T335" t="s">
        <v>74</v>
      </c>
      <c r="U335" t="s">
        <v>6581</v>
      </c>
      <c r="V335" t="s">
        <v>6582</v>
      </c>
      <c r="W335" t="s">
        <v>6583</v>
      </c>
      <c r="X335" t="s">
        <v>6584</v>
      </c>
      <c r="Y335" t="s">
        <v>6585</v>
      </c>
      <c r="Z335" t="s">
        <v>6586</v>
      </c>
      <c r="AA335" t="s">
        <v>6587</v>
      </c>
      <c r="AB335" t="s">
        <v>6588</v>
      </c>
      <c r="AC335" t="s">
        <v>6589</v>
      </c>
      <c r="AD335" t="s">
        <v>6590</v>
      </c>
      <c r="AE335" t="s">
        <v>6591</v>
      </c>
      <c r="AF335" t="s">
        <v>74</v>
      </c>
      <c r="AG335">
        <v>61</v>
      </c>
      <c r="AH335">
        <v>36</v>
      </c>
      <c r="AI335">
        <v>37</v>
      </c>
      <c r="AJ335">
        <v>3</v>
      </c>
      <c r="AK335">
        <v>66</v>
      </c>
      <c r="AL335" t="s">
        <v>741</v>
      </c>
      <c r="AM335" t="s">
        <v>119</v>
      </c>
      <c r="AN335" t="s">
        <v>742</v>
      </c>
      <c r="AO335" t="s">
        <v>743</v>
      </c>
      <c r="AP335" t="s">
        <v>744</v>
      </c>
      <c r="AQ335" t="s">
        <v>74</v>
      </c>
      <c r="AR335" t="s">
        <v>745</v>
      </c>
      <c r="AS335" t="s">
        <v>746</v>
      </c>
      <c r="AT335" t="s">
        <v>6555</v>
      </c>
      <c r="AU335">
        <v>2012</v>
      </c>
      <c r="AV335">
        <v>46</v>
      </c>
      <c r="AW335">
        <v>18</v>
      </c>
      <c r="AX335" t="s">
        <v>74</v>
      </c>
      <c r="AY335" t="s">
        <v>74</v>
      </c>
      <c r="AZ335" t="s">
        <v>74</v>
      </c>
      <c r="BA335" t="s">
        <v>74</v>
      </c>
      <c r="BB335">
        <v>9881</v>
      </c>
      <c r="BC335">
        <v>9889</v>
      </c>
      <c r="BD335" t="s">
        <v>74</v>
      </c>
      <c r="BE335" t="s">
        <v>6592</v>
      </c>
      <c r="BF335" t="str">
        <f>HYPERLINK("http://dx.doi.org/10.1021/es3023013","http://dx.doi.org/10.1021/es3023013")</f>
        <v>http://dx.doi.org/10.1021/es3023013</v>
      </c>
      <c r="BG335" t="s">
        <v>74</v>
      </c>
      <c r="BH335" t="s">
        <v>74</v>
      </c>
      <c r="BI335">
        <v>9</v>
      </c>
      <c r="BJ335" t="s">
        <v>749</v>
      </c>
      <c r="BK335" t="s">
        <v>98</v>
      </c>
      <c r="BL335" t="s">
        <v>750</v>
      </c>
      <c r="BM335" t="s">
        <v>6593</v>
      </c>
      <c r="BN335">
        <v>22891669</v>
      </c>
      <c r="BO335" t="s">
        <v>74</v>
      </c>
      <c r="BP335" t="s">
        <v>74</v>
      </c>
      <c r="BQ335" t="s">
        <v>74</v>
      </c>
      <c r="BR335" t="s">
        <v>101</v>
      </c>
      <c r="BS335" t="s">
        <v>6594</v>
      </c>
      <c r="BT335" t="str">
        <f>HYPERLINK("https%3A%2F%2Fwww.webofscience.com%2Fwos%2Fwoscc%2Ffull-record%2FWOS:000308787800009","View Full Record in Web of Science")</f>
        <v>View Full Record in Web of Science</v>
      </c>
    </row>
    <row r="336" spans="1:72" x14ac:dyDescent="0.15">
      <c r="A336" t="s">
        <v>72</v>
      </c>
      <c r="B336" t="s">
        <v>6595</v>
      </c>
      <c r="C336" t="s">
        <v>74</v>
      </c>
      <c r="D336" t="s">
        <v>74</v>
      </c>
      <c r="E336" t="s">
        <v>74</v>
      </c>
      <c r="F336" t="s">
        <v>6596</v>
      </c>
      <c r="G336" t="s">
        <v>74</v>
      </c>
      <c r="H336" t="s">
        <v>74</v>
      </c>
      <c r="I336" t="s">
        <v>6597</v>
      </c>
      <c r="J336" t="s">
        <v>657</v>
      </c>
      <c r="K336" t="s">
        <v>74</v>
      </c>
      <c r="L336" t="s">
        <v>74</v>
      </c>
      <c r="M336" t="s">
        <v>78</v>
      </c>
      <c r="N336" t="s">
        <v>79</v>
      </c>
      <c r="O336" t="s">
        <v>74</v>
      </c>
      <c r="P336" t="s">
        <v>74</v>
      </c>
      <c r="Q336" t="s">
        <v>74</v>
      </c>
      <c r="R336" t="s">
        <v>74</v>
      </c>
      <c r="S336" t="s">
        <v>74</v>
      </c>
      <c r="T336" t="s">
        <v>6598</v>
      </c>
      <c r="U336" t="s">
        <v>6599</v>
      </c>
      <c r="V336" t="s">
        <v>6600</v>
      </c>
      <c r="W336" t="s">
        <v>6601</v>
      </c>
      <c r="X336" t="s">
        <v>6602</v>
      </c>
      <c r="Y336" t="s">
        <v>6603</v>
      </c>
      <c r="Z336" t="s">
        <v>6604</v>
      </c>
      <c r="AA336" t="s">
        <v>6605</v>
      </c>
      <c r="AB336" t="s">
        <v>6606</v>
      </c>
      <c r="AC336" t="s">
        <v>74</v>
      </c>
      <c r="AD336" t="s">
        <v>74</v>
      </c>
      <c r="AE336" t="s">
        <v>74</v>
      </c>
      <c r="AF336" t="s">
        <v>74</v>
      </c>
      <c r="AG336">
        <v>48</v>
      </c>
      <c r="AH336">
        <v>6</v>
      </c>
      <c r="AI336">
        <v>6</v>
      </c>
      <c r="AJ336">
        <v>0</v>
      </c>
      <c r="AK336">
        <v>4</v>
      </c>
      <c r="AL336" t="s">
        <v>668</v>
      </c>
      <c r="AM336" t="s">
        <v>669</v>
      </c>
      <c r="AN336" t="s">
        <v>670</v>
      </c>
      <c r="AO336" t="s">
        <v>671</v>
      </c>
      <c r="AP336" t="s">
        <v>672</v>
      </c>
      <c r="AQ336" t="s">
        <v>74</v>
      </c>
      <c r="AR336" t="s">
        <v>657</v>
      </c>
      <c r="AS336" t="s">
        <v>673</v>
      </c>
      <c r="AT336" t="s">
        <v>6607</v>
      </c>
      <c r="AU336">
        <v>2012</v>
      </c>
      <c r="AV336" t="s">
        <v>74</v>
      </c>
      <c r="AW336">
        <v>3485</v>
      </c>
      <c r="AX336" t="s">
        <v>74</v>
      </c>
      <c r="AY336" t="s">
        <v>74</v>
      </c>
      <c r="AZ336" t="s">
        <v>74</v>
      </c>
      <c r="BA336" t="s">
        <v>74</v>
      </c>
      <c r="BB336">
        <v>56</v>
      </c>
      <c r="BC336">
        <v>68</v>
      </c>
      <c r="BD336" t="s">
        <v>74</v>
      </c>
      <c r="BE336" t="s">
        <v>74</v>
      </c>
      <c r="BF336" t="s">
        <v>74</v>
      </c>
      <c r="BG336" t="s">
        <v>74</v>
      </c>
      <c r="BH336" t="s">
        <v>74</v>
      </c>
      <c r="BI336">
        <v>13</v>
      </c>
      <c r="BJ336" t="s">
        <v>675</v>
      </c>
      <c r="BK336" t="s">
        <v>98</v>
      </c>
      <c r="BL336" t="s">
        <v>675</v>
      </c>
      <c r="BM336" t="s">
        <v>6608</v>
      </c>
      <c r="BN336" t="s">
        <v>74</v>
      </c>
      <c r="BO336" t="s">
        <v>74</v>
      </c>
      <c r="BP336" t="s">
        <v>74</v>
      </c>
      <c r="BQ336" t="s">
        <v>74</v>
      </c>
      <c r="BR336" t="s">
        <v>101</v>
      </c>
      <c r="BS336" t="s">
        <v>6609</v>
      </c>
      <c r="BT336" t="str">
        <f>HYPERLINK("https%3A%2F%2Fwww.webofscience.com%2Fwos%2Fwoscc%2Ffull-record%2FWOS:000308791200004","View Full Record in Web of Science")</f>
        <v>View Full Record in Web of Science</v>
      </c>
    </row>
    <row r="337" spans="1:72" x14ac:dyDescent="0.15">
      <c r="A337" t="s">
        <v>72</v>
      </c>
      <c r="B337" t="s">
        <v>6610</v>
      </c>
      <c r="C337" t="s">
        <v>74</v>
      </c>
      <c r="D337" t="s">
        <v>74</v>
      </c>
      <c r="E337" t="s">
        <v>74</v>
      </c>
      <c r="F337" t="s">
        <v>6611</v>
      </c>
      <c r="G337" t="s">
        <v>74</v>
      </c>
      <c r="H337" t="s">
        <v>74</v>
      </c>
      <c r="I337" t="s">
        <v>6612</v>
      </c>
      <c r="J337" t="s">
        <v>1417</v>
      </c>
      <c r="K337" t="s">
        <v>74</v>
      </c>
      <c r="L337" t="s">
        <v>74</v>
      </c>
      <c r="M337" t="s">
        <v>78</v>
      </c>
      <c r="N337" t="s">
        <v>79</v>
      </c>
      <c r="O337" t="s">
        <v>74</v>
      </c>
      <c r="P337" t="s">
        <v>74</v>
      </c>
      <c r="Q337" t="s">
        <v>74</v>
      </c>
      <c r="R337" t="s">
        <v>74</v>
      </c>
      <c r="S337" t="s">
        <v>74</v>
      </c>
      <c r="T337" t="s">
        <v>74</v>
      </c>
      <c r="U337" t="s">
        <v>6613</v>
      </c>
      <c r="V337" t="s">
        <v>6614</v>
      </c>
      <c r="W337" t="s">
        <v>6615</v>
      </c>
      <c r="X337" t="s">
        <v>6616</v>
      </c>
      <c r="Y337" t="s">
        <v>6617</v>
      </c>
      <c r="Z337" t="s">
        <v>6618</v>
      </c>
      <c r="AA337" t="s">
        <v>6619</v>
      </c>
      <c r="AB337" t="s">
        <v>6620</v>
      </c>
      <c r="AC337" t="s">
        <v>6621</v>
      </c>
      <c r="AD337" t="s">
        <v>6622</v>
      </c>
      <c r="AE337" t="s">
        <v>6623</v>
      </c>
      <c r="AF337" t="s">
        <v>74</v>
      </c>
      <c r="AG337">
        <v>52</v>
      </c>
      <c r="AH337">
        <v>88</v>
      </c>
      <c r="AI337">
        <v>91</v>
      </c>
      <c r="AJ337">
        <v>0</v>
      </c>
      <c r="AK337">
        <v>55</v>
      </c>
      <c r="AL337" t="s">
        <v>1429</v>
      </c>
      <c r="AM337" t="s">
        <v>1430</v>
      </c>
      <c r="AN337" t="s">
        <v>3557</v>
      </c>
      <c r="AO337" t="s">
        <v>1432</v>
      </c>
      <c r="AP337" t="s">
        <v>1433</v>
      </c>
      <c r="AQ337" t="s">
        <v>74</v>
      </c>
      <c r="AR337" t="s">
        <v>1434</v>
      </c>
      <c r="AS337" t="s">
        <v>1435</v>
      </c>
      <c r="AT337" t="s">
        <v>6624</v>
      </c>
      <c r="AU337">
        <v>2012</v>
      </c>
      <c r="AV337">
        <v>25</v>
      </c>
      <c r="AW337">
        <v>18</v>
      </c>
      <c r="AX337" t="s">
        <v>74</v>
      </c>
      <c r="AY337" t="s">
        <v>74</v>
      </c>
      <c r="AZ337" t="s">
        <v>74</v>
      </c>
      <c r="BA337" t="s">
        <v>74</v>
      </c>
      <c r="BB337">
        <v>6253</v>
      </c>
      <c r="BC337">
        <v>6270</v>
      </c>
      <c r="BD337" t="s">
        <v>74</v>
      </c>
      <c r="BE337" t="s">
        <v>6625</v>
      </c>
      <c r="BF337" t="str">
        <f>HYPERLINK("http://dx.doi.org/10.1175/JCLI-D-11-00474.1","http://dx.doi.org/10.1175/JCLI-D-11-00474.1")</f>
        <v>http://dx.doi.org/10.1175/JCLI-D-11-00474.1</v>
      </c>
      <c r="BG337" t="s">
        <v>74</v>
      </c>
      <c r="BH337" t="s">
        <v>74</v>
      </c>
      <c r="BI337">
        <v>18</v>
      </c>
      <c r="BJ337" t="s">
        <v>378</v>
      </c>
      <c r="BK337" t="s">
        <v>98</v>
      </c>
      <c r="BL337" t="s">
        <v>378</v>
      </c>
      <c r="BM337" t="s">
        <v>6626</v>
      </c>
      <c r="BN337" t="s">
        <v>74</v>
      </c>
      <c r="BO337" t="s">
        <v>380</v>
      </c>
      <c r="BP337" t="s">
        <v>74</v>
      </c>
      <c r="BQ337" t="s">
        <v>74</v>
      </c>
      <c r="BR337" t="s">
        <v>101</v>
      </c>
      <c r="BS337" t="s">
        <v>6627</v>
      </c>
      <c r="BT337" t="str">
        <f>HYPERLINK("https%3A%2F%2Fwww.webofscience.com%2Fwos%2Fwoscc%2Ffull-record%2FWOS:000309038000013","View Full Record in Web of Science")</f>
        <v>View Full Record in Web of Science</v>
      </c>
    </row>
    <row r="338" spans="1:72" x14ac:dyDescent="0.15">
      <c r="A338" t="s">
        <v>72</v>
      </c>
      <c r="B338" t="s">
        <v>6628</v>
      </c>
      <c r="C338" t="s">
        <v>74</v>
      </c>
      <c r="D338" t="s">
        <v>74</v>
      </c>
      <c r="E338" t="s">
        <v>74</v>
      </c>
      <c r="F338" t="s">
        <v>6629</v>
      </c>
      <c r="G338" t="s">
        <v>74</v>
      </c>
      <c r="H338" t="s">
        <v>74</v>
      </c>
      <c r="I338" t="s">
        <v>6630</v>
      </c>
      <c r="J338" t="s">
        <v>178</v>
      </c>
      <c r="K338" t="s">
        <v>74</v>
      </c>
      <c r="L338" t="s">
        <v>74</v>
      </c>
      <c r="M338" t="s">
        <v>78</v>
      </c>
      <c r="N338" t="s">
        <v>79</v>
      </c>
      <c r="O338" t="s">
        <v>74</v>
      </c>
      <c r="P338" t="s">
        <v>74</v>
      </c>
      <c r="Q338" t="s">
        <v>74</v>
      </c>
      <c r="R338" t="s">
        <v>74</v>
      </c>
      <c r="S338" t="s">
        <v>74</v>
      </c>
      <c r="T338" t="s">
        <v>6631</v>
      </c>
      <c r="U338" t="s">
        <v>6632</v>
      </c>
      <c r="V338" t="s">
        <v>6633</v>
      </c>
      <c r="W338" t="s">
        <v>6634</v>
      </c>
      <c r="X338" t="s">
        <v>6635</v>
      </c>
      <c r="Y338" t="s">
        <v>6636</v>
      </c>
      <c r="Z338" t="s">
        <v>6637</v>
      </c>
      <c r="AA338" t="s">
        <v>6638</v>
      </c>
      <c r="AB338" t="s">
        <v>6639</v>
      </c>
      <c r="AC338" t="s">
        <v>6640</v>
      </c>
      <c r="AD338" t="s">
        <v>6641</v>
      </c>
      <c r="AE338" t="s">
        <v>6642</v>
      </c>
      <c r="AF338" t="s">
        <v>74</v>
      </c>
      <c r="AG338">
        <v>70</v>
      </c>
      <c r="AH338">
        <v>101</v>
      </c>
      <c r="AI338">
        <v>121</v>
      </c>
      <c r="AJ338">
        <v>1</v>
      </c>
      <c r="AK338">
        <v>64</v>
      </c>
      <c r="AL338" t="s">
        <v>188</v>
      </c>
      <c r="AM338" t="s">
        <v>189</v>
      </c>
      <c r="AN338" t="s">
        <v>190</v>
      </c>
      <c r="AO338" t="s">
        <v>191</v>
      </c>
      <c r="AP338" t="s">
        <v>192</v>
      </c>
      <c r="AQ338" t="s">
        <v>74</v>
      </c>
      <c r="AR338" t="s">
        <v>193</v>
      </c>
      <c r="AS338" t="s">
        <v>194</v>
      </c>
      <c r="AT338" t="s">
        <v>6624</v>
      </c>
      <c r="AU338">
        <v>2012</v>
      </c>
      <c r="AV338">
        <v>350</v>
      </c>
      <c r="AW338" t="s">
        <v>74</v>
      </c>
      <c r="AX338" t="s">
        <v>74</v>
      </c>
      <c r="AY338" t="s">
        <v>74</v>
      </c>
      <c r="AZ338" t="s">
        <v>74</v>
      </c>
      <c r="BA338" t="s">
        <v>74</v>
      </c>
      <c r="BB338">
        <v>180</v>
      </c>
      <c r="BC338">
        <v>188</v>
      </c>
      <c r="BD338" t="s">
        <v>74</v>
      </c>
      <c r="BE338" t="s">
        <v>6643</v>
      </c>
      <c r="BF338" t="str">
        <f>HYPERLINK("http://dx.doi.org/10.1016/j.palaeo.2012.06.029","http://dx.doi.org/10.1016/j.palaeo.2012.06.029")</f>
        <v>http://dx.doi.org/10.1016/j.palaeo.2012.06.029</v>
      </c>
      <c r="BG338" t="s">
        <v>74</v>
      </c>
      <c r="BH338" t="s">
        <v>74</v>
      </c>
      <c r="BI338">
        <v>9</v>
      </c>
      <c r="BJ338" t="s">
        <v>197</v>
      </c>
      <c r="BK338" t="s">
        <v>98</v>
      </c>
      <c r="BL338" t="s">
        <v>198</v>
      </c>
      <c r="BM338" t="s">
        <v>6644</v>
      </c>
      <c r="BN338" t="s">
        <v>74</v>
      </c>
      <c r="BO338" t="s">
        <v>416</v>
      </c>
      <c r="BP338" t="s">
        <v>74</v>
      </c>
      <c r="BQ338" t="s">
        <v>74</v>
      </c>
      <c r="BR338" t="s">
        <v>101</v>
      </c>
      <c r="BS338" t="s">
        <v>6645</v>
      </c>
      <c r="BT338" t="str">
        <f>HYPERLINK("https%3A%2F%2Fwww.webofscience.com%2Fwos%2Fwoscc%2Ffull-record%2FWOS:000308685800014","View Full Record in Web of Science")</f>
        <v>View Full Record in Web of Science</v>
      </c>
    </row>
    <row r="339" spans="1:72" x14ac:dyDescent="0.15">
      <c r="A339" t="s">
        <v>72</v>
      </c>
      <c r="B339" t="s">
        <v>6646</v>
      </c>
      <c r="C339" t="s">
        <v>74</v>
      </c>
      <c r="D339" t="s">
        <v>74</v>
      </c>
      <c r="E339" t="s">
        <v>74</v>
      </c>
      <c r="F339" t="s">
        <v>6647</v>
      </c>
      <c r="G339" t="s">
        <v>74</v>
      </c>
      <c r="H339" t="s">
        <v>74</v>
      </c>
      <c r="I339" t="s">
        <v>6648</v>
      </c>
      <c r="J339" t="s">
        <v>3934</v>
      </c>
      <c r="K339" t="s">
        <v>74</v>
      </c>
      <c r="L339" t="s">
        <v>74</v>
      </c>
      <c r="M339" t="s">
        <v>78</v>
      </c>
      <c r="N339" t="s">
        <v>540</v>
      </c>
      <c r="O339" t="s">
        <v>74</v>
      </c>
      <c r="P339" t="s">
        <v>74</v>
      </c>
      <c r="Q339" t="s">
        <v>74</v>
      </c>
      <c r="R339" t="s">
        <v>74</v>
      </c>
      <c r="S339" t="s">
        <v>74</v>
      </c>
      <c r="T339" t="s">
        <v>74</v>
      </c>
      <c r="U339" t="s">
        <v>74</v>
      </c>
      <c r="V339" t="s">
        <v>74</v>
      </c>
      <c r="W339" t="s">
        <v>74</v>
      </c>
      <c r="X339" t="s">
        <v>74</v>
      </c>
      <c r="Y339" t="s">
        <v>74</v>
      </c>
      <c r="Z339" t="s">
        <v>74</v>
      </c>
      <c r="AA339" t="s">
        <v>74</v>
      </c>
      <c r="AB339" t="s">
        <v>74</v>
      </c>
      <c r="AC339" t="s">
        <v>74</v>
      </c>
      <c r="AD339" t="s">
        <v>74</v>
      </c>
      <c r="AE339" t="s">
        <v>74</v>
      </c>
      <c r="AF339" t="s">
        <v>74</v>
      </c>
      <c r="AG339">
        <v>0</v>
      </c>
      <c r="AH339">
        <v>0</v>
      </c>
      <c r="AI339">
        <v>0</v>
      </c>
      <c r="AJ339">
        <v>0</v>
      </c>
      <c r="AK339">
        <v>4</v>
      </c>
      <c r="AL339" t="s">
        <v>3935</v>
      </c>
      <c r="AM339" t="s">
        <v>3936</v>
      </c>
      <c r="AN339" t="s">
        <v>3937</v>
      </c>
      <c r="AO339" t="s">
        <v>3938</v>
      </c>
      <c r="AP339" t="s">
        <v>74</v>
      </c>
      <c r="AQ339" t="s">
        <v>74</v>
      </c>
      <c r="AR339" t="s">
        <v>3939</v>
      </c>
      <c r="AS339" t="s">
        <v>3940</v>
      </c>
      <c r="AT339" t="s">
        <v>6624</v>
      </c>
      <c r="AU339">
        <v>2012</v>
      </c>
      <c r="AV339">
        <v>215</v>
      </c>
      <c r="AW339">
        <v>2882</v>
      </c>
      <c r="AX339" t="s">
        <v>74</v>
      </c>
      <c r="AY339" t="s">
        <v>74</v>
      </c>
      <c r="AZ339" t="s">
        <v>74</v>
      </c>
      <c r="BA339" t="s">
        <v>74</v>
      </c>
      <c r="BB339">
        <v>9</v>
      </c>
      <c r="BC339">
        <v>9</v>
      </c>
      <c r="BD339" t="s">
        <v>74</v>
      </c>
      <c r="BE339" t="s">
        <v>74</v>
      </c>
      <c r="BF339" t="s">
        <v>74</v>
      </c>
      <c r="BG339" t="s">
        <v>74</v>
      </c>
      <c r="BH339" t="s">
        <v>74</v>
      </c>
      <c r="BI339">
        <v>1</v>
      </c>
      <c r="BJ339" t="s">
        <v>153</v>
      </c>
      <c r="BK339" t="s">
        <v>98</v>
      </c>
      <c r="BL339" t="s">
        <v>154</v>
      </c>
      <c r="BM339" t="s">
        <v>6649</v>
      </c>
      <c r="BN339" t="s">
        <v>74</v>
      </c>
      <c r="BO339" t="s">
        <v>74</v>
      </c>
      <c r="BP339" t="s">
        <v>74</v>
      </c>
      <c r="BQ339" t="s">
        <v>74</v>
      </c>
      <c r="BR339" t="s">
        <v>101</v>
      </c>
      <c r="BS339" t="s">
        <v>6650</v>
      </c>
      <c r="BT339" t="str">
        <f>HYPERLINK("https%3A%2F%2Fwww.webofscience.com%2Fwos%2Fwoscc%2Ffull-record%2FWOS:000309015300006","View Full Record in Web of Science")</f>
        <v>View Full Record in Web of Science</v>
      </c>
    </row>
    <row r="340" spans="1:72" x14ac:dyDescent="0.15">
      <c r="A340" t="s">
        <v>72</v>
      </c>
      <c r="B340" t="s">
        <v>6651</v>
      </c>
      <c r="C340" t="s">
        <v>74</v>
      </c>
      <c r="D340" t="s">
        <v>74</v>
      </c>
      <c r="E340" t="s">
        <v>74</v>
      </c>
      <c r="F340" t="s">
        <v>6652</v>
      </c>
      <c r="G340" t="s">
        <v>74</v>
      </c>
      <c r="H340" t="s">
        <v>74</v>
      </c>
      <c r="I340" t="s">
        <v>6653</v>
      </c>
      <c r="J340" t="s">
        <v>6654</v>
      </c>
      <c r="K340" t="s">
        <v>74</v>
      </c>
      <c r="L340" t="s">
        <v>74</v>
      </c>
      <c r="M340" t="s">
        <v>78</v>
      </c>
      <c r="N340" t="s">
        <v>79</v>
      </c>
      <c r="O340" t="s">
        <v>74</v>
      </c>
      <c r="P340" t="s">
        <v>74</v>
      </c>
      <c r="Q340" t="s">
        <v>74</v>
      </c>
      <c r="R340" t="s">
        <v>74</v>
      </c>
      <c r="S340" t="s">
        <v>74</v>
      </c>
      <c r="T340" t="s">
        <v>6655</v>
      </c>
      <c r="U340" t="s">
        <v>6656</v>
      </c>
      <c r="V340" t="s">
        <v>6657</v>
      </c>
      <c r="W340" t="s">
        <v>6658</v>
      </c>
      <c r="X340" t="s">
        <v>6659</v>
      </c>
      <c r="Y340" t="s">
        <v>6660</v>
      </c>
      <c r="Z340" t="s">
        <v>6661</v>
      </c>
      <c r="AA340" t="s">
        <v>6662</v>
      </c>
      <c r="AB340" t="s">
        <v>6663</v>
      </c>
      <c r="AC340" t="s">
        <v>6664</v>
      </c>
      <c r="AD340" t="s">
        <v>6665</v>
      </c>
      <c r="AE340" t="s">
        <v>6666</v>
      </c>
      <c r="AF340" t="s">
        <v>74</v>
      </c>
      <c r="AG340">
        <v>105</v>
      </c>
      <c r="AH340">
        <v>175</v>
      </c>
      <c r="AI340">
        <v>189</v>
      </c>
      <c r="AJ340">
        <v>2</v>
      </c>
      <c r="AK340">
        <v>128</v>
      </c>
      <c r="AL340" t="s">
        <v>89</v>
      </c>
      <c r="AM340" t="s">
        <v>90</v>
      </c>
      <c r="AN340" t="s">
        <v>91</v>
      </c>
      <c r="AO340" t="s">
        <v>6667</v>
      </c>
      <c r="AP340" t="s">
        <v>6668</v>
      </c>
      <c r="AQ340" t="s">
        <v>74</v>
      </c>
      <c r="AR340" t="s">
        <v>6669</v>
      </c>
      <c r="AS340" t="s">
        <v>6670</v>
      </c>
      <c r="AT340" t="s">
        <v>6624</v>
      </c>
      <c r="AU340">
        <v>2012</v>
      </c>
      <c r="AV340" t="s">
        <v>6671</v>
      </c>
      <c r="AW340" t="s">
        <v>74</v>
      </c>
      <c r="AX340" t="s">
        <v>74</v>
      </c>
      <c r="AY340" t="s">
        <v>74</v>
      </c>
      <c r="AZ340" t="s">
        <v>74</v>
      </c>
      <c r="BA340" t="s">
        <v>74</v>
      </c>
      <c r="BB340">
        <v>16</v>
      </c>
      <c r="BC340">
        <v>31</v>
      </c>
      <c r="BD340" t="s">
        <v>74</v>
      </c>
      <c r="BE340" t="s">
        <v>6672</v>
      </c>
      <c r="BF340" t="str">
        <f>HYPERLINK("http://dx.doi.org/10.1016/j.dsr2.2012.03.007","http://dx.doi.org/10.1016/j.dsr2.2012.03.007")</f>
        <v>http://dx.doi.org/10.1016/j.dsr2.2012.03.007</v>
      </c>
      <c r="BG340" t="s">
        <v>74</v>
      </c>
      <c r="BH340" t="s">
        <v>74</v>
      </c>
      <c r="BI340">
        <v>16</v>
      </c>
      <c r="BJ340" t="s">
        <v>941</v>
      </c>
      <c r="BK340" t="s">
        <v>98</v>
      </c>
      <c r="BL340" t="s">
        <v>941</v>
      </c>
      <c r="BM340" t="s">
        <v>6673</v>
      </c>
      <c r="BN340" t="s">
        <v>74</v>
      </c>
      <c r="BO340" t="s">
        <v>74</v>
      </c>
      <c r="BP340" t="s">
        <v>74</v>
      </c>
      <c r="BQ340" t="s">
        <v>74</v>
      </c>
      <c r="BR340" t="s">
        <v>101</v>
      </c>
      <c r="BS340" t="s">
        <v>6674</v>
      </c>
      <c r="BT340" t="str">
        <f>HYPERLINK("https%3A%2F%2Fwww.webofscience.com%2Fwos%2Fwoscc%2Ffull-record%2FWOS:000305720600003","View Full Record in Web of Science")</f>
        <v>View Full Record in Web of Science</v>
      </c>
    </row>
    <row r="341" spans="1:72" x14ac:dyDescent="0.15">
      <c r="A341" t="s">
        <v>72</v>
      </c>
      <c r="B341" t="s">
        <v>6675</v>
      </c>
      <c r="C341" t="s">
        <v>74</v>
      </c>
      <c r="D341" t="s">
        <v>74</v>
      </c>
      <c r="E341" t="s">
        <v>74</v>
      </c>
      <c r="F341" t="s">
        <v>6676</v>
      </c>
      <c r="G341" t="s">
        <v>74</v>
      </c>
      <c r="H341" t="s">
        <v>74</v>
      </c>
      <c r="I341" t="s">
        <v>6677</v>
      </c>
      <c r="J341" t="s">
        <v>6654</v>
      </c>
      <c r="K341" t="s">
        <v>74</v>
      </c>
      <c r="L341" t="s">
        <v>74</v>
      </c>
      <c r="M341" t="s">
        <v>78</v>
      </c>
      <c r="N341" t="s">
        <v>79</v>
      </c>
      <c r="O341" t="s">
        <v>74</v>
      </c>
      <c r="P341" t="s">
        <v>74</v>
      </c>
      <c r="Q341" t="s">
        <v>74</v>
      </c>
      <c r="R341" t="s">
        <v>74</v>
      </c>
      <c r="S341" t="s">
        <v>74</v>
      </c>
      <c r="T341" t="s">
        <v>6678</v>
      </c>
      <c r="U341" t="s">
        <v>6679</v>
      </c>
      <c r="V341" t="s">
        <v>6680</v>
      </c>
      <c r="W341" t="s">
        <v>6681</v>
      </c>
      <c r="X341" t="s">
        <v>6682</v>
      </c>
      <c r="Y341" t="s">
        <v>6683</v>
      </c>
      <c r="Z341" t="s">
        <v>6684</v>
      </c>
      <c r="AA341" t="s">
        <v>6685</v>
      </c>
      <c r="AB341" t="s">
        <v>6663</v>
      </c>
      <c r="AC341" t="s">
        <v>6686</v>
      </c>
      <c r="AD341" t="s">
        <v>6687</v>
      </c>
      <c r="AE341" t="s">
        <v>6688</v>
      </c>
      <c r="AF341" t="s">
        <v>74</v>
      </c>
      <c r="AG341">
        <v>86</v>
      </c>
      <c r="AH341">
        <v>108</v>
      </c>
      <c r="AI341">
        <v>124</v>
      </c>
      <c r="AJ341">
        <v>4</v>
      </c>
      <c r="AK341">
        <v>125</v>
      </c>
      <c r="AL341" t="s">
        <v>89</v>
      </c>
      <c r="AM341" t="s">
        <v>90</v>
      </c>
      <c r="AN341" t="s">
        <v>91</v>
      </c>
      <c r="AO341" t="s">
        <v>6667</v>
      </c>
      <c r="AP341" t="s">
        <v>6668</v>
      </c>
      <c r="AQ341" t="s">
        <v>74</v>
      </c>
      <c r="AR341" t="s">
        <v>6669</v>
      </c>
      <c r="AS341" t="s">
        <v>6670</v>
      </c>
      <c r="AT341" t="s">
        <v>6624</v>
      </c>
      <c r="AU341">
        <v>2012</v>
      </c>
      <c r="AV341" t="s">
        <v>6671</v>
      </c>
      <c r="AW341" t="s">
        <v>74</v>
      </c>
      <c r="AX341" t="s">
        <v>74</v>
      </c>
      <c r="AY341" t="s">
        <v>74</v>
      </c>
      <c r="AZ341" t="s">
        <v>74</v>
      </c>
      <c r="BA341" t="s">
        <v>74</v>
      </c>
      <c r="BB341">
        <v>32</v>
      </c>
      <c r="BC341">
        <v>48</v>
      </c>
      <c r="BD341" t="s">
        <v>74</v>
      </c>
      <c r="BE341" t="s">
        <v>6689</v>
      </c>
      <c r="BF341" t="str">
        <f>HYPERLINK("http://dx.doi.org/10.1016/j.dsr2.2012.03.005","http://dx.doi.org/10.1016/j.dsr2.2012.03.005")</f>
        <v>http://dx.doi.org/10.1016/j.dsr2.2012.03.005</v>
      </c>
      <c r="BG341" t="s">
        <v>74</v>
      </c>
      <c r="BH341" t="s">
        <v>74</v>
      </c>
      <c r="BI341">
        <v>17</v>
      </c>
      <c r="BJ341" t="s">
        <v>941</v>
      </c>
      <c r="BK341" t="s">
        <v>98</v>
      </c>
      <c r="BL341" t="s">
        <v>941</v>
      </c>
      <c r="BM341" t="s">
        <v>6673</v>
      </c>
      <c r="BN341" t="s">
        <v>74</v>
      </c>
      <c r="BO341" t="s">
        <v>74</v>
      </c>
      <c r="BP341" t="s">
        <v>74</v>
      </c>
      <c r="BQ341" t="s">
        <v>74</v>
      </c>
      <c r="BR341" t="s">
        <v>101</v>
      </c>
      <c r="BS341" t="s">
        <v>6690</v>
      </c>
      <c r="BT341" t="str">
        <f>HYPERLINK("https%3A%2F%2Fwww.webofscience.com%2Fwos%2Fwoscc%2Ffull-record%2FWOS:000305720600004","View Full Record in Web of Science")</f>
        <v>View Full Record in Web of Science</v>
      </c>
    </row>
    <row r="342" spans="1:72" x14ac:dyDescent="0.15">
      <c r="A342" t="s">
        <v>72</v>
      </c>
      <c r="B342" t="s">
        <v>6691</v>
      </c>
      <c r="C342" t="s">
        <v>74</v>
      </c>
      <c r="D342" t="s">
        <v>74</v>
      </c>
      <c r="E342" t="s">
        <v>74</v>
      </c>
      <c r="F342" t="s">
        <v>6692</v>
      </c>
      <c r="G342" t="s">
        <v>74</v>
      </c>
      <c r="H342" t="s">
        <v>74</v>
      </c>
      <c r="I342" t="s">
        <v>6693</v>
      </c>
      <c r="J342" t="s">
        <v>6654</v>
      </c>
      <c r="K342" t="s">
        <v>74</v>
      </c>
      <c r="L342" t="s">
        <v>74</v>
      </c>
      <c r="M342" t="s">
        <v>78</v>
      </c>
      <c r="N342" t="s">
        <v>79</v>
      </c>
      <c r="O342" t="s">
        <v>74</v>
      </c>
      <c r="P342" t="s">
        <v>74</v>
      </c>
      <c r="Q342" t="s">
        <v>74</v>
      </c>
      <c r="R342" t="s">
        <v>74</v>
      </c>
      <c r="S342" t="s">
        <v>74</v>
      </c>
      <c r="T342" t="s">
        <v>6694</v>
      </c>
      <c r="U342" t="s">
        <v>6695</v>
      </c>
      <c r="V342" t="s">
        <v>6696</v>
      </c>
      <c r="W342" t="s">
        <v>6697</v>
      </c>
      <c r="X342" t="s">
        <v>6659</v>
      </c>
      <c r="Y342" t="s">
        <v>6698</v>
      </c>
      <c r="Z342" t="s">
        <v>6699</v>
      </c>
      <c r="AA342" t="s">
        <v>6662</v>
      </c>
      <c r="AB342" t="s">
        <v>6700</v>
      </c>
      <c r="AC342" t="s">
        <v>6701</v>
      </c>
      <c r="AD342" t="s">
        <v>6702</v>
      </c>
      <c r="AE342" t="s">
        <v>6703</v>
      </c>
      <c r="AF342" t="s">
        <v>74</v>
      </c>
      <c r="AG342">
        <v>82</v>
      </c>
      <c r="AH342">
        <v>62</v>
      </c>
      <c r="AI342">
        <v>73</v>
      </c>
      <c r="AJ342">
        <v>3</v>
      </c>
      <c r="AK342">
        <v>83</v>
      </c>
      <c r="AL342" t="s">
        <v>89</v>
      </c>
      <c r="AM342" t="s">
        <v>90</v>
      </c>
      <c r="AN342" t="s">
        <v>91</v>
      </c>
      <c r="AO342" t="s">
        <v>6667</v>
      </c>
      <c r="AP342" t="s">
        <v>6668</v>
      </c>
      <c r="AQ342" t="s">
        <v>74</v>
      </c>
      <c r="AR342" t="s">
        <v>6669</v>
      </c>
      <c r="AS342" t="s">
        <v>6670</v>
      </c>
      <c r="AT342" t="s">
        <v>6624</v>
      </c>
      <c r="AU342">
        <v>2012</v>
      </c>
      <c r="AV342" t="s">
        <v>6671</v>
      </c>
      <c r="AW342" t="s">
        <v>74</v>
      </c>
      <c r="AX342" t="s">
        <v>74</v>
      </c>
      <c r="AY342" t="s">
        <v>74</v>
      </c>
      <c r="AZ342" t="s">
        <v>74</v>
      </c>
      <c r="BA342" t="s">
        <v>74</v>
      </c>
      <c r="BB342">
        <v>49</v>
      </c>
      <c r="BC342">
        <v>60</v>
      </c>
      <c r="BD342" t="s">
        <v>74</v>
      </c>
      <c r="BE342" t="s">
        <v>6704</v>
      </c>
      <c r="BF342" t="str">
        <f>HYPERLINK("http://dx.doi.org/10.1016/j.dsr2.2012.03.009","http://dx.doi.org/10.1016/j.dsr2.2012.03.009")</f>
        <v>http://dx.doi.org/10.1016/j.dsr2.2012.03.009</v>
      </c>
      <c r="BG342" t="s">
        <v>74</v>
      </c>
      <c r="BH342" t="s">
        <v>74</v>
      </c>
      <c r="BI342">
        <v>12</v>
      </c>
      <c r="BJ342" t="s">
        <v>941</v>
      </c>
      <c r="BK342" t="s">
        <v>98</v>
      </c>
      <c r="BL342" t="s">
        <v>941</v>
      </c>
      <c r="BM342" t="s">
        <v>6673</v>
      </c>
      <c r="BN342" t="s">
        <v>74</v>
      </c>
      <c r="BO342" t="s">
        <v>1499</v>
      </c>
      <c r="BP342" t="s">
        <v>74</v>
      </c>
      <c r="BQ342" t="s">
        <v>74</v>
      </c>
      <c r="BR342" t="s">
        <v>101</v>
      </c>
      <c r="BS342" t="s">
        <v>6705</v>
      </c>
      <c r="BT342" t="str">
        <f>HYPERLINK("https%3A%2F%2Fwww.webofscience.com%2Fwos%2Fwoscc%2Ffull-record%2FWOS:000305720600005","View Full Record in Web of Science")</f>
        <v>View Full Record in Web of Science</v>
      </c>
    </row>
    <row r="343" spans="1:72" x14ac:dyDescent="0.15">
      <c r="A343" t="s">
        <v>72</v>
      </c>
      <c r="B343" t="s">
        <v>6706</v>
      </c>
      <c r="C343" t="s">
        <v>74</v>
      </c>
      <c r="D343" t="s">
        <v>74</v>
      </c>
      <c r="E343" t="s">
        <v>74</v>
      </c>
      <c r="F343" t="s">
        <v>6707</v>
      </c>
      <c r="G343" t="s">
        <v>74</v>
      </c>
      <c r="H343" t="s">
        <v>74</v>
      </c>
      <c r="I343" t="s">
        <v>6708</v>
      </c>
      <c r="J343" t="s">
        <v>6654</v>
      </c>
      <c r="K343" t="s">
        <v>74</v>
      </c>
      <c r="L343" t="s">
        <v>74</v>
      </c>
      <c r="M343" t="s">
        <v>78</v>
      </c>
      <c r="N343" t="s">
        <v>79</v>
      </c>
      <c r="O343" t="s">
        <v>74</v>
      </c>
      <c r="P343" t="s">
        <v>74</v>
      </c>
      <c r="Q343" t="s">
        <v>74</v>
      </c>
      <c r="R343" t="s">
        <v>74</v>
      </c>
      <c r="S343" t="s">
        <v>74</v>
      </c>
      <c r="T343" t="s">
        <v>6709</v>
      </c>
      <c r="U343" t="s">
        <v>6710</v>
      </c>
      <c r="V343" t="s">
        <v>6711</v>
      </c>
      <c r="W343" t="s">
        <v>6712</v>
      </c>
      <c r="X343" t="s">
        <v>6713</v>
      </c>
      <c r="Y343" t="s">
        <v>6714</v>
      </c>
      <c r="Z343" t="s">
        <v>6715</v>
      </c>
      <c r="AA343" t="s">
        <v>6716</v>
      </c>
      <c r="AB343" t="s">
        <v>6717</v>
      </c>
      <c r="AC343" t="s">
        <v>6718</v>
      </c>
      <c r="AD343" t="s">
        <v>6719</v>
      </c>
      <c r="AE343" t="s">
        <v>6720</v>
      </c>
      <c r="AF343" t="s">
        <v>74</v>
      </c>
      <c r="AG343">
        <v>82</v>
      </c>
      <c r="AH343">
        <v>49</v>
      </c>
      <c r="AI343">
        <v>60</v>
      </c>
      <c r="AJ343">
        <v>0</v>
      </c>
      <c r="AK343">
        <v>35</v>
      </c>
      <c r="AL343" t="s">
        <v>89</v>
      </c>
      <c r="AM343" t="s">
        <v>90</v>
      </c>
      <c r="AN343" t="s">
        <v>91</v>
      </c>
      <c r="AO343" t="s">
        <v>6667</v>
      </c>
      <c r="AP343" t="s">
        <v>6668</v>
      </c>
      <c r="AQ343" t="s">
        <v>74</v>
      </c>
      <c r="AR343" t="s">
        <v>6669</v>
      </c>
      <c r="AS343" t="s">
        <v>6670</v>
      </c>
      <c r="AT343" t="s">
        <v>6624</v>
      </c>
      <c r="AU343">
        <v>2012</v>
      </c>
      <c r="AV343" t="s">
        <v>6671</v>
      </c>
      <c r="AW343" t="s">
        <v>74</v>
      </c>
      <c r="AX343" t="s">
        <v>74</v>
      </c>
      <c r="AY343" t="s">
        <v>74</v>
      </c>
      <c r="AZ343" t="s">
        <v>74</v>
      </c>
      <c r="BA343" t="s">
        <v>74</v>
      </c>
      <c r="BB343">
        <v>77</v>
      </c>
      <c r="BC343">
        <v>93</v>
      </c>
      <c r="BD343" t="s">
        <v>74</v>
      </c>
      <c r="BE343" t="s">
        <v>6721</v>
      </c>
      <c r="BF343" t="str">
        <f>HYPERLINK("http://dx.doi.org/10.1016/j.dsr2.2012.03.010","http://dx.doi.org/10.1016/j.dsr2.2012.03.010")</f>
        <v>http://dx.doi.org/10.1016/j.dsr2.2012.03.010</v>
      </c>
      <c r="BG343" t="s">
        <v>74</v>
      </c>
      <c r="BH343" t="s">
        <v>74</v>
      </c>
      <c r="BI343">
        <v>17</v>
      </c>
      <c r="BJ343" t="s">
        <v>941</v>
      </c>
      <c r="BK343" t="s">
        <v>98</v>
      </c>
      <c r="BL343" t="s">
        <v>941</v>
      </c>
      <c r="BM343" t="s">
        <v>6673</v>
      </c>
      <c r="BN343" t="s">
        <v>74</v>
      </c>
      <c r="BO343" t="s">
        <v>74</v>
      </c>
      <c r="BP343" t="s">
        <v>74</v>
      </c>
      <c r="BQ343" t="s">
        <v>74</v>
      </c>
      <c r="BR343" t="s">
        <v>101</v>
      </c>
      <c r="BS343" t="s">
        <v>6722</v>
      </c>
      <c r="BT343" t="str">
        <f>HYPERLINK("https%3A%2F%2Fwww.webofscience.com%2Fwos%2Fwoscc%2Ffull-record%2FWOS:000305720600007","View Full Record in Web of Science")</f>
        <v>View Full Record in Web of Science</v>
      </c>
    </row>
    <row r="344" spans="1:72" x14ac:dyDescent="0.15">
      <c r="A344" t="s">
        <v>72</v>
      </c>
      <c r="B344" t="s">
        <v>6723</v>
      </c>
      <c r="C344" t="s">
        <v>74</v>
      </c>
      <c r="D344" t="s">
        <v>74</v>
      </c>
      <c r="E344" t="s">
        <v>74</v>
      </c>
      <c r="F344" t="s">
        <v>6724</v>
      </c>
      <c r="G344" t="s">
        <v>74</v>
      </c>
      <c r="H344" t="s">
        <v>74</v>
      </c>
      <c r="I344" t="s">
        <v>6725</v>
      </c>
      <c r="J344" t="s">
        <v>1417</v>
      </c>
      <c r="K344" t="s">
        <v>74</v>
      </c>
      <c r="L344" t="s">
        <v>74</v>
      </c>
      <c r="M344" t="s">
        <v>78</v>
      </c>
      <c r="N344" t="s">
        <v>79</v>
      </c>
      <c r="O344" t="s">
        <v>74</v>
      </c>
      <c r="P344" t="s">
        <v>74</v>
      </c>
      <c r="Q344" t="s">
        <v>74</v>
      </c>
      <c r="R344" t="s">
        <v>74</v>
      </c>
      <c r="S344" t="s">
        <v>74</v>
      </c>
      <c r="T344" t="s">
        <v>74</v>
      </c>
      <c r="U344" t="s">
        <v>6726</v>
      </c>
      <c r="V344" t="s">
        <v>6727</v>
      </c>
      <c r="W344" t="s">
        <v>6728</v>
      </c>
      <c r="X344" t="s">
        <v>6729</v>
      </c>
      <c r="Y344" t="s">
        <v>6730</v>
      </c>
      <c r="Z344" t="s">
        <v>6731</v>
      </c>
      <c r="AA344" t="s">
        <v>74</v>
      </c>
      <c r="AB344" t="s">
        <v>6732</v>
      </c>
      <c r="AC344" t="s">
        <v>6733</v>
      </c>
      <c r="AD344" t="s">
        <v>6734</v>
      </c>
      <c r="AE344" t="s">
        <v>6735</v>
      </c>
      <c r="AF344" t="s">
        <v>74</v>
      </c>
      <c r="AG344">
        <v>46</v>
      </c>
      <c r="AH344">
        <v>88</v>
      </c>
      <c r="AI344">
        <v>90</v>
      </c>
      <c r="AJ344">
        <v>0</v>
      </c>
      <c r="AK344">
        <v>28</v>
      </c>
      <c r="AL344" t="s">
        <v>1429</v>
      </c>
      <c r="AM344" t="s">
        <v>1430</v>
      </c>
      <c r="AN344" t="s">
        <v>1431</v>
      </c>
      <c r="AO344" t="s">
        <v>1432</v>
      </c>
      <c r="AP344" t="s">
        <v>1433</v>
      </c>
      <c r="AQ344" t="s">
        <v>74</v>
      </c>
      <c r="AR344" t="s">
        <v>1434</v>
      </c>
      <c r="AS344" t="s">
        <v>1435</v>
      </c>
      <c r="AT344" t="s">
        <v>6624</v>
      </c>
      <c r="AU344">
        <v>2012</v>
      </c>
      <c r="AV344">
        <v>25</v>
      </c>
      <c r="AW344">
        <v>18</v>
      </c>
      <c r="AX344" t="s">
        <v>74</v>
      </c>
      <c r="AY344" t="s">
        <v>74</v>
      </c>
      <c r="AZ344" t="s">
        <v>74</v>
      </c>
      <c r="BA344" t="s">
        <v>74</v>
      </c>
      <c r="BB344">
        <v>6233</v>
      </c>
      <c r="BC344">
        <v>6252</v>
      </c>
      <c r="BD344" t="s">
        <v>74</v>
      </c>
      <c r="BE344" t="s">
        <v>6736</v>
      </c>
      <c r="BF344" t="str">
        <f>HYPERLINK("http://dx.doi.org/10.1175/JCLI-D-11-00621.1","http://dx.doi.org/10.1175/JCLI-D-11-00621.1")</f>
        <v>http://dx.doi.org/10.1175/JCLI-D-11-00621.1</v>
      </c>
      <c r="BG344" t="s">
        <v>74</v>
      </c>
      <c r="BH344" t="s">
        <v>74</v>
      </c>
      <c r="BI344">
        <v>20</v>
      </c>
      <c r="BJ344" t="s">
        <v>378</v>
      </c>
      <c r="BK344" t="s">
        <v>98</v>
      </c>
      <c r="BL344" t="s">
        <v>378</v>
      </c>
      <c r="BM344" t="s">
        <v>6626</v>
      </c>
      <c r="BN344" t="s">
        <v>74</v>
      </c>
      <c r="BO344" t="s">
        <v>380</v>
      </c>
      <c r="BP344" t="s">
        <v>74</v>
      </c>
      <c r="BQ344" t="s">
        <v>74</v>
      </c>
      <c r="BR344" t="s">
        <v>101</v>
      </c>
      <c r="BS344" t="s">
        <v>6737</v>
      </c>
      <c r="BT344" t="str">
        <f>HYPERLINK("https%3A%2F%2Fwww.webofscience.com%2Fwos%2Fwoscc%2Ffull-record%2FWOS:000309038000012","View Full Record in Web of Science")</f>
        <v>View Full Record in Web of Science</v>
      </c>
    </row>
    <row r="345" spans="1:72" x14ac:dyDescent="0.15">
      <c r="A345" t="s">
        <v>72</v>
      </c>
      <c r="B345" t="s">
        <v>6738</v>
      </c>
      <c r="C345" t="s">
        <v>74</v>
      </c>
      <c r="D345" t="s">
        <v>74</v>
      </c>
      <c r="E345" t="s">
        <v>74</v>
      </c>
      <c r="F345" t="s">
        <v>6739</v>
      </c>
      <c r="G345" t="s">
        <v>74</v>
      </c>
      <c r="H345" t="s">
        <v>74</v>
      </c>
      <c r="I345" t="s">
        <v>6740</v>
      </c>
      <c r="J345" t="s">
        <v>3666</v>
      </c>
      <c r="K345" t="s">
        <v>74</v>
      </c>
      <c r="L345" t="s">
        <v>74</v>
      </c>
      <c r="M345" t="s">
        <v>78</v>
      </c>
      <c r="N345" t="s">
        <v>79</v>
      </c>
      <c r="O345" t="s">
        <v>74</v>
      </c>
      <c r="P345" t="s">
        <v>74</v>
      </c>
      <c r="Q345" t="s">
        <v>74</v>
      </c>
      <c r="R345" t="s">
        <v>74</v>
      </c>
      <c r="S345" t="s">
        <v>74</v>
      </c>
      <c r="T345" t="s">
        <v>74</v>
      </c>
      <c r="U345" t="s">
        <v>6741</v>
      </c>
      <c r="V345" t="s">
        <v>6742</v>
      </c>
      <c r="W345" t="s">
        <v>6743</v>
      </c>
      <c r="X345" t="s">
        <v>6744</v>
      </c>
      <c r="Y345" t="s">
        <v>6745</v>
      </c>
      <c r="Z345" t="s">
        <v>6746</v>
      </c>
      <c r="AA345" t="s">
        <v>6747</v>
      </c>
      <c r="AB345" t="s">
        <v>6748</v>
      </c>
      <c r="AC345" t="s">
        <v>6749</v>
      </c>
      <c r="AD345" t="s">
        <v>6750</v>
      </c>
      <c r="AE345" t="s">
        <v>6751</v>
      </c>
      <c r="AF345" t="s">
        <v>74</v>
      </c>
      <c r="AG345">
        <v>68</v>
      </c>
      <c r="AH345">
        <v>3</v>
      </c>
      <c r="AI345">
        <v>4</v>
      </c>
      <c r="AJ345">
        <v>1</v>
      </c>
      <c r="AK345">
        <v>25</v>
      </c>
      <c r="AL345" t="s">
        <v>118</v>
      </c>
      <c r="AM345" t="s">
        <v>119</v>
      </c>
      <c r="AN345" t="s">
        <v>120</v>
      </c>
      <c r="AO345" t="s">
        <v>3678</v>
      </c>
      <c r="AP345" t="s">
        <v>3679</v>
      </c>
      <c r="AQ345" t="s">
        <v>74</v>
      </c>
      <c r="AR345" t="s">
        <v>3680</v>
      </c>
      <c r="AS345" t="s">
        <v>3681</v>
      </c>
      <c r="AT345" t="s">
        <v>6752</v>
      </c>
      <c r="AU345">
        <v>2012</v>
      </c>
      <c r="AV345">
        <v>117</v>
      </c>
      <c r="AW345" t="s">
        <v>74</v>
      </c>
      <c r="AX345" t="s">
        <v>74</v>
      </c>
      <c r="AY345" t="s">
        <v>74</v>
      </c>
      <c r="AZ345" t="s">
        <v>74</v>
      </c>
      <c r="BA345" t="s">
        <v>74</v>
      </c>
      <c r="BB345" t="s">
        <v>74</v>
      </c>
      <c r="BC345" t="s">
        <v>74</v>
      </c>
      <c r="BD345" t="s">
        <v>6753</v>
      </c>
      <c r="BE345" t="s">
        <v>6754</v>
      </c>
      <c r="BF345" t="str">
        <f>HYPERLINK("http://dx.doi.org/10.1029/2012JC008135","http://dx.doi.org/10.1029/2012JC008135")</f>
        <v>http://dx.doi.org/10.1029/2012JC008135</v>
      </c>
      <c r="BG345" t="s">
        <v>74</v>
      </c>
      <c r="BH345" t="s">
        <v>74</v>
      </c>
      <c r="BI345">
        <v>12</v>
      </c>
      <c r="BJ345" t="s">
        <v>941</v>
      </c>
      <c r="BK345" t="s">
        <v>98</v>
      </c>
      <c r="BL345" t="s">
        <v>941</v>
      </c>
      <c r="BM345" t="s">
        <v>6755</v>
      </c>
      <c r="BN345" t="s">
        <v>74</v>
      </c>
      <c r="BO345" t="s">
        <v>74</v>
      </c>
      <c r="BP345" t="s">
        <v>74</v>
      </c>
      <c r="BQ345" t="s">
        <v>74</v>
      </c>
      <c r="BR345" t="s">
        <v>101</v>
      </c>
      <c r="BS345" t="s">
        <v>6756</v>
      </c>
      <c r="BT345" t="str">
        <f>HYPERLINK("https%3A%2F%2Fwww.webofscience.com%2Fwos%2Fwoscc%2Ffull-record%2FWOS:000308894100003","View Full Record in Web of Science")</f>
        <v>View Full Record in Web of Science</v>
      </c>
    </row>
    <row r="346" spans="1:72" x14ac:dyDescent="0.15">
      <c r="A346" t="s">
        <v>72</v>
      </c>
      <c r="B346" t="s">
        <v>6757</v>
      </c>
      <c r="C346" t="s">
        <v>74</v>
      </c>
      <c r="D346" t="s">
        <v>74</v>
      </c>
      <c r="E346" t="s">
        <v>74</v>
      </c>
      <c r="F346" t="s">
        <v>6758</v>
      </c>
      <c r="G346" t="s">
        <v>74</v>
      </c>
      <c r="H346" t="s">
        <v>74</v>
      </c>
      <c r="I346" t="s">
        <v>6759</v>
      </c>
      <c r="J346" t="s">
        <v>6760</v>
      </c>
      <c r="K346" t="s">
        <v>74</v>
      </c>
      <c r="L346" t="s">
        <v>74</v>
      </c>
      <c r="M346" t="s">
        <v>78</v>
      </c>
      <c r="N346" t="s">
        <v>79</v>
      </c>
      <c r="O346" t="s">
        <v>74</v>
      </c>
      <c r="P346" t="s">
        <v>74</v>
      </c>
      <c r="Q346" t="s">
        <v>74</v>
      </c>
      <c r="R346" t="s">
        <v>74</v>
      </c>
      <c r="S346" t="s">
        <v>74</v>
      </c>
      <c r="T346" t="s">
        <v>6761</v>
      </c>
      <c r="U346" t="s">
        <v>6762</v>
      </c>
      <c r="V346" t="s">
        <v>6763</v>
      </c>
      <c r="W346" t="s">
        <v>6764</v>
      </c>
      <c r="X346" t="s">
        <v>6765</v>
      </c>
      <c r="Y346" t="s">
        <v>6766</v>
      </c>
      <c r="Z346" t="s">
        <v>6767</v>
      </c>
      <c r="AA346" t="s">
        <v>6768</v>
      </c>
      <c r="AB346" t="s">
        <v>6769</v>
      </c>
      <c r="AC346" t="s">
        <v>6770</v>
      </c>
      <c r="AD346" t="s">
        <v>6771</v>
      </c>
      <c r="AE346" t="s">
        <v>6772</v>
      </c>
      <c r="AF346" t="s">
        <v>74</v>
      </c>
      <c r="AG346">
        <v>21</v>
      </c>
      <c r="AH346">
        <v>30</v>
      </c>
      <c r="AI346">
        <v>37</v>
      </c>
      <c r="AJ346">
        <v>1</v>
      </c>
      <c r="AK346">
        <v>28</v>
      </c>
      <c r="AL346" t="s">
        <v>6773</v>
      </c>
      <c r="AM346" t="s">
        <v>6774</v>
      </c>
      <c r="AN346" t="s">
        <v>6775</v>
      </c>
      <c r="AO346" t="s">
        <v>6776</v>
      </c>
      <c r="AP346" t="s">
        <v>6777</v>
      </c>
      <c r="AQ346" t="s">
        <v>74</v>
      </c>
      <c r="AR346" t="s">
        <v>6778</v>
      </c>
      <c r="AS346" t="s">
        <v>6779</v>
      </c>
      <c r="AT346" t="s">
        <v>6780</v>
      </c>
      <c r="AU346">
        <v>2012</v>
      </c>
      <c r="AV346">
        <v>525</v>
      </c>
      <c r="AW346">
        <v>2</v>
      </c>
      <c r="AX346" t="s">
        <v>74</v>
      </c>
      <c r="AY346" t="s">
        <v>74</v>
      </c>
      <c r="AZ346" t="s">
        <v>74</v>
      </c>
      <c r="BA346" t="s">
        <v>74</v>
      </c>
      <c r="BB346">
        <v>146</v>
      </c>
      <c r="BC346">
        <v>151</v>
      </c>
      <c r="BD346" t="s">
        <v>74</v>
      </c>
      <c r="BE346" t="s">
        <v>6781</v>
      </c>
      <c r="BF346" t="str">
        <f>HYPERLINK("http://dx.doi.org/10.1016/j.neulet.2012.06.046","http://dx.doi.org/10.1016/j.neulet.2012.06.046")</f>
        <v>http://dx.doi.org/10.1016/j.neulet.2012.06.046</v>
      </c>
      <c r="BG346" t="s">
        <v>74</v>
      </c>
      <c r="BH346" t="s">
        <v>74</v>
      </c>
      <c r="BI346">
        <v>6</v>
      </c>
      <c r="BJ346" t="s">
        <v>6782</v>
      </c>
      <c r="BK346" t="s">
        <v>98</v>
      </c>
      <c r="BL346" t="s">
        <v>6783</v>
      </c>
      <c r="BM346" t="s">
        <v>6784</v>
      </c>
      <c r="BN346">
        <v>22750209</v>
      </c>
      <c r="BO346" t="s">
        <v>74</v>
      </c>
      <c r="BP346" t="s">
        <v>74</v>
      </c>
      <c r="BQ346" t="s">
        <v>74</v>
      </c>
      <c r="BR346" t="s">
        <v>101</v>
      </c>
      <c r="BS346" t="s">
        <v>6785</v>
      </c>
      <c r="BT346" t="str">
        <f>HYPERLINK("https%3A%2F%2Fwww.webofscience.com%2Fwos%2Fwoscc%2Ffull-record%2FWOS:000309015600012","View Full Record in Web of Science")</f>
        <v>View Full Record in Web of Science</v>
      </c>
    </row>
    <row r="347" spans="1:72" x14ac:dyDescent="0.15">
      <c r="A347" t="s">
        <v>72</v>
      </c>
      <c r="B347" t="s">
        <v>6786</v>
      </c>
      <c r="C347" t="s">
        <v>74</v>
      </c>
      <c r="D347" t="s">
        <v>74</v>
      </c>
      <c r="E347" t="s">
        <v>74</v>
      </c>
      <c r="F347" t="s">
        <v>6787</v>
      </c>
      <c r="G347" t="s">
        <v>74</v>
      </c>
      <c r="H347" t="s">
        <v>74</v>
      </c>
      <c r="I347" t="s">
        <v>6788</v>
      </c>
      <c r="J347" t="s">
        <v>77</v>
      </c>
      <c r="K347" t="s">
        <v>74</v>
      </c>
      <c r="L347" t="s">
        <v>74</v>
      </c>
      <c r="M347" t="s">
        <v>78</v>
      </c>
      <c r="N347" t="s">
        <v>79</v>
      </c>
      <c r="O347" t="s">
        <v>74</v>
      </c>
      <c r="P347" t="s">
        <v>74</v>
      </c>
      <c r="Q347" t="s">
        <v>74</v>
      </c>
      <c r="R347" t="s">
        <v>74</v>
      </c>
      <c r="S347" t="s">
        <v>74</v>
      </c>
      <c r="T347" t="s">
        <v>6789</v>
      </c>
      <c r="U347" t="s">
        <v>6790</v>
      </c>
      <c r="V347" t="s">
        <v>6791</v>
      </c>
      <c r="W347" t="s">
        <v>6792</v>
      </c>
      <c r="X347" t="s">
        <v>6793</v>
      </c>
      <c r="Y347" t="s">
        <v>6794</v>
      </c>
      <c r="Z347" t="s">
        <v>6795</v>
      </c>
      <c r="AA347" t="s">
        <v>74</v>
      </c>
      <c r="AB347" t="s">
        <v>6796</v>
      </c>
      <c r="AC347" t="s">
        <v>6797</v>
      </c>
      <c r="AD347" t="s">
        <v>793</v>
      </c>
      <c r="AE347" t="s">
        <v>6798</v>
      </c>
      <c r="AF347" t="s">
        <v>74</v>
      </c>
      <c r="AG347">
        <v>65</v>
      </c>
      <c r="AH347">
        <v>22</v>
      </c>
      <c r="AI347">
        <v>29</v>
      </c>
      <c r="AJ347">
        <v>0</v>
      </c>
      <c r="AK347">
        <v>35</v>
      </c>
      <c r="AL347" t="s">
        <v>89</v>
      </c>
      <c r="AM347" t="s">
        <v>90</v>
      </c>
      <c r="AN347" t="s">
        <v>91</v>
      </c>
      <c r="AO347" t="s">
        <v>92</v>
      </c>
      <c r="AP347" t="s">
        <v>74</v>
      </c>
      <c r="AQ347" t="s">
        <v>74</v>
      </c>
      <c r="AR347" t="s">
        <v>93</v>
      </c>
      <c r="AS347" t="s">
        <v>94</v>
      </c>
      <c r="AT347" t="s">
        <v>6799</v>
      </c>
      <c r="AU347">
        <v>2012</v>
      </c>
      <c r="AV347">
        <v>50</v>
      </c>
      <c r="AW347" t="s">
        <v>74</v>
      </c>
      <c r="AX347" t="s">
        <v>74</v>
      </c>
      <c r="AY347" t="s">
        <v>74</v>
      </c>
      <c r="AZ347" t="s">
        <v>74</v>
      </c>
      <c r="BA347" t="s">
        <v>74</v>
      </c>
      <c r="BB347">
        <v>1</v>
      </c>
      <c r="BC347">
        <v>13</v>
      </c>
      <c r="BD347" t="s">
        <v>74</v>
      </c>
      <c r="BE347" t="s">
        <v>6800</v>
      </c>
      <c r="BF347" t="str">
        <f>HYPERLINK("http://dx.doi.org/10.1016/j.quascirev.2012.06.010","http://dx.doi.org/10.1016/j.quascirev.2012.06.010")</f>
        <v>http://dx.doi.org/10.1016/j.quascirev.2012.06.010</v>
      </c>
      <c r="BG347" t="s">
        <v>74</v>
      </c>
      <c r="BH347" t="s">
        <v>74</v>
      </c>
      <c r="BI347">
        <v>13</v>
      </c>
      <c r="BJ347" t="s">
        <v>97</v>
      </c>
      <c r="BK347" t="s">
        <v>98</v>
      </c>
      <c r="BL347" t="s">
        <v>99</v>
      </c>
      <c r="BM347" t="s">
        <v>6801</v>
      </c>
      <c r="BN347" t="s">
        <v>74</v>
      </c>
      <c r="BO347" t="s">
        <v>74</v>
      </c>
      <c r="BP347" t="s">
        <v>74</v>
      </c>
      <c r="BQ347" t="s">
        <v>74</v>
      </c>
      <c r="BR347" t="s">
        <v>101</v>
      </c>
      <c r="BS347" t="s">
        <v>6802</v>
      </c>
      <c r="BT347" t="str">
        <f>HYPERLINK("https%3A%2F%2Fwww.webofscience.com%2Fwos%2Fwoscc%2Ffull-record%2FWOS:000309434000001","View Full Record in Web of Science")</f>
        <v>View Full Record in Web of Science</v>
      </c>
    </row>
    <row r="348" spans="1:72" x14ac:dyDescent="0.15">
      <c r="A348" t="s">
        <v>72</v>
      </c>
      <c r="B348" t="s">
        <v>6803</v>
      </c>
      <c r="C348" t="s">
        <v>74</v>
      </c>
      <c r="D348" t="s">
        <v>74</v>
      </c>
      <c r="E348" t="s">
        <v>74</v>
      </c>
      <c r="F348" t="s">
        <v>6804</v>
      </c>
      <c r="G348" t="s">
        <v>74</v>
      </c>
      <c r="H348" t="s">
        <v>74</v>
      </c>
      <c r="I348" t="s">
        <v>6805</v>
      </c>
      <c r="J348" t="s">
        <v>77</v>
      </c>
      <c r="K348" t="s">
        <v>74</v>
      </c>
      <c r="L348" t="s">
        <v>74</v>
      </c>
      <c r="M348" t="s">
        <v>78</v>
      </c>
      <c r="N348" t="s">
        <v>79</v>
      </c>
      <c r="O348" t="s">
        <v>74</v>
      </c>
      <c r="P348" t="s">
        <v>74</v>
      </c>
      <c r="Q348" t="s">
        <v>74</v>
      </c>
      <c r="R348" t="s">
        <v>74</v>
      </c>
      <c r="S348" t="s">
        <v>74</v>
      </c>
      <c r="T348" t="s">
        <v>6806</v>
      </c>
      <c r="U348" t="s">
        <v>6807</v>
      </c>
      <c r="V348" t="s">
        <v>6808</v>
      </c>
      <c r="W348" t="s">
        <v>6809</v>
      </c>
      <c r="X348" t="s">
        <v>6810</v>
      </c>
      <c r="Y348" t="s">
        <v>6811</v>
      </c>
      <c r="Z348" t="s">
        <v>6812</v>
      </c>
      <c r="AA348" t="s">
        <v>74</v>
      </c>
      <c r="AB348" t="s">
        <v>74</v>
      </c>
      <c r="AC348" t="s">
        <v>6813</v>
      </c>
      <c r="AD348" t="s">
        <v>6814</v>
      </c>
      <c r="AE348" t="s">
        <v>6815</v>
      </c>
      <c r="AF348" t="s">
        <v>74</v>
      </c>
      <c r="AG348">
        <v>85</v>
      </c>
      <c r="AH348">
        <v>27</v>
      </c>
      <c r="AI348">
        <v>28</v>
      </c>
      <c r="AJ348">
        <v>2</v>
      </c>
      <c r="AK348">
        <v>43</v>
      </c>
      <c r="AL348" t="s">
        <v>89</v>
      </c>
      <c r="AM348" t="s">
        <v>90</v>
      </c>
      <c r="AN348" t="s">
        <v>91</v>
      </c>
      <c r="AO348" t="s">
        <v>92</v>
      </c>
      <c r="AP348" t="s">
        <v>74</v>
      </c>
      <c r="AQ348" t="s">
        <v>74</v>
      </c>
      <c r="AR348" t="s">
        <v>93</v>
      </c>
      <c r="AS348" t="s">
        <v>94</v>
      </c>
      <c r="AT348" t="s">
        <v>6799</v>
      </c>
      <c r="AU348">
        <v>2012</v>
      </c>
      <c r="AV348">
        <v>50</v>
      </c>
      <c r="AW348" t="s">
        <v>74</v>
      </c>
      <c r="AX348" t="s">
        <v>74</v>
      </c>
      <c r="AY348" t="s">
        <v>74</v>
      </c>
      <c r="AZ348" t="s">
        <v>74</v>
      </c>
      <c r="BA348" t="s">
        <v>74</v>
      </c>
      <c r="BB348">
        <v>125</v>
      </c>
      <c r="BC348">
        <v>140</v>
      </c>
      <c r="BD348" t="s">
        <v>74</v>
      </c>
      <c r="BE348" t="s">
        <v>6816</v>
      </c>
      <c r="BF348" t="str">
        <f>HYPERLINK("http://dx.doi.org/10.1016/j.quascirev.2012.07.005","http://dx.doi.org/10.1016/j.quascirev.2012.07.005")</f>
        <v>http://dx.doi.org/10.1016/j.quascirev.2012.07.005</v>
      </c>
      <c r="BG348" t="s">
        <v>74</v>
      </c>
      <c r="BH348" t="s">
        <v>74</v>
      </c>
      <c r="BI348">
        <v>16</v>
      </c>
      <c r="BJ348" t="s">
        <v>97</v>
      </c>
      <c r="BK348" t="s">
        <v>98</v>
      </c>
      <c r="BL348" t="s">
        <v>99</v>
      </c>
      <c r="BM348" t="s">
        <v>6801</v>
      </c>
      <c r="BN348" t="s">
        <v>74</v>
      </c>
      <c r="BO348" t="s">
        <v>74</v>
      </c>
      <c r="BP348" t="s">
        <v>74</v>
      </c>
      <c r="BQ348" t="s">
        <v>74</v>
      </c>
      <c r="BR348" t="s">
        <v>101</v>
      </c>
      <c r="BS348" t="s">
        <v>6817</v>
      </c>
      <c r="BT348" t="str">
        <f>HYPERLINK("https%3A%2F%2Fwww.webofscience.com%2Fwos%2Fwoscc%2Ffull-record%2FWOS:000309434000009","View Full Record in Web of Science")</f>
        <v>View Full Record in Web of Science</v>
      </c>
    </row>
    <row r="349" spans="1:72" x14ac:dyDescent="0.15">
      <c r="A349" t="s">
        <v>72</v>
      </c>
      <c r="B349" t="s">
        <v>6818</v>
      </c>
      <c r="C349" t="s">
        <v>74</v>
      </c>
      <c r="D349" t="s">
        <v>74</v>
      </c>
      <c r="E349" t="s">
        <v>74</v>
      </c>
      <c r="F349" t="s">
        <v>6819</v>
      </c>
      <c r="G349" t="s">
        <v>74</v>
      </c>
      <c r="H349" t="s">
        <v>74</v>
      </c>
      <c r="I349" t="s">
        <v>6820</v>
      </c>
      <c r="J349" t="s">
        <v>444</v>
      </c>
      <c r="K349" t="s">
        <v>74</v>
      </c>
      <c r="L349" t="s">
        <v>74</v>
      </c>
      <c r="M349" t="s">
        <v>78</v>
      </c>
      <c r="N349" t="s">
        <v>79</v>
      </c>
      <c r="O349" t="s">
        <v>74</v>
      </c>
      <c r="P349" t="s">
        <v>74</v>
      </c>
      <c r="Q349" t="s">
        <v>74</v>
      </c>
      <c r="R349" t="s">
        <v>74</v>
      </c>
      <c r="S349" t="s">
        <v>74</v>
      </c>
      <c r="T349" t="s">
        <v>74</v>
      </c>
      <c r="U349" t="s">
        <v>6821</v>
      </c>
      <c r="V349" t="s">
        <v>6822</v>
      </c>
      <c r="W349" t="s">
        <v>6823</v>
      </c>
      <c r="X349" t="s">
        <v>6824</v>
      </c>
      <c r="Y349" t="s">
        <v>6825</v>
      </c>
      <c r="Z349" t="s">
        <v>6826</v>
      </c>
      <c r="AA349" t="s">
        <v>6827</v>
      </c>
      <c r="AB349" t="s">
        <v>6828</v>
      </c>
      <c r="AC349" t="s">
        <v>6829</v>
      </c>
      <c r="AD349" t="s">
        <v>6830</v>
      </c>
      <c r="AE349" t="s">
        <v>6831</v>
      </c>
      <c r="AF349" t="s">
        <v>74</v>
      </c>
      <c r="AG349">
        <v>21</v>
      </c>
      <c r="AH349">
        <v>33</v>
      </c>
      <c r="AI349">
        <v>35</v>
      </c>
      <c r="AJ349">
        <v>0</v>
      </c>
      <c r="AK349">
        <v>18</v>
      </c>
      <c r="AL349" t="s">
        <v>118</v>
      </c>
      <c r="AM349" t="s">
        <v>119</v>
      </c>
      <c r="AN349" t="s">
        <v>120</v>
      </c>
      <c r="AO349" t="s">
        <v>454</v>
      </c>
      <c r="AP349" t="s">
        <v>74</v>
      </c>
      <c r="AQ349" t="s">
        <v>74</v>
      </c>
      <c r="AR349" t="s">
        <v>456</v>
      </c>
      <c r="AS349" t="s">
        <v>457</v>
      </c>
      <c r="AT349" t="s">
        <v>6799</v>
      </c>
      <c r="AU349">
        <v>2012</v>
      </c>
      <c r="AV349">
        <v>39</v>
      </c>
      <c r="AW349" t="s">
        <v>74</v>
      </c>
      <c r="AX349" t="s">
        <v>74</v>
      </c>
      <c r="AY349" t="s">
        <v>74</v>
      </c>
      <c r="AZ349" t="s">
        <v>74</v>
      </c>
      <c r="BA349" t="s">
        <v>74</v>
      </c>
      <c r="BB349" t="s">
        <v>74</v>
      </c>
      <c r="BC349" t="s">
        <v>74</v>
      </c>
      <c r="BD349" t="s">
        <v>6832</v>
      </c>
      <c r="BE349" t="s">
        <v>6833</v>
      </c>
      <c r="BF349" t="str">
        <f>HYPERLINK("http://dx.doi.org/10.1029/2012GL052559","http://dx.doi.org/10.1029/2012GL052559")</f>
        <v>http://dx.doi.org/10.1029/2012GL052559</v>
      </c>
      <c r="BG349" t="s">
        <v>74</v>
      </c>
      <c r="BH349" t="s">
        <v>74</v>
      </c>
      <c r="BI349">
        <v>6</v>
      </c>
      <c r="BJ349" t="s">
        <v>461</v>
      </c>
      <c r="BK349" t="s">
        <v>98</v>
      </c>
      <c r="BL349" t="s">
        <v>462</v>
      </c>
      <c r="BM349" t="s">
        <v>6834</v>
      </c>
      <c r="BN349" t="s">
        <v>74</v>
      </c>
      <c r="BO349" t="s">
        <v>6835</v>
      </c>
      <c r="BP349" t="s">
        <v>74</v>
      </c>
      <c r="BQ349" t="s">
        <v>74</v>
      </c>
      <c r="BR349" t="s">
        <v>101</v>
      </c>
      <c r="BS349" t="s">
        <v>6836</v>
      </c>
      <c r="BT349" t="str">
        <f>HYPERLINK("https%3A%2F%2Fwww.webofscience.com%2Fwos%2Fwoscc%2Ffull-record%2FWOS:000308890700001","View Full Record in Web of Science")</f>
        <v>View Full Record in Web of Science</v>
      </c>
    </row>
    <row r="350" spans="1:72" x14ac:dyDescent="0.15">
      <c r="A350" t="s">
        <v>72</v>
      </c>
      <c r="B350" t="s">
        <v>6837</v>
      </c>
      <c r="C350" t="s">
        <v>74</v>
      </c>
      <c r="D350" t="s">
        <v>74</v>
      </c>
      <c r="E350" t="s">
        <v>74</v>
      </c>
      <c r="F350" t="s">
        <v>6838</v>
      </c>
      <c r="G350" t="s">
        <v>74</v>
      </c>
      <c r="H350" t="s">
        <v>74</v>
      </c>
      <c r="I350" t="s">
        <v>6839</v>
      </c>
      <c r="J350" t="s">
        <v>134</v>
      </c>
      <c r="K350" t="s">
        <v>74</v>
      </c>
      <c r="L350" t="s">
        <v>74</v>
      </c>
      <c r="M350" t="s">
        <v>78</v>
      </c>
      <c r="N350" t="s">
        <v>79</v>
      </c>
      <c r="O350" t="s">
        <v>74</v>
      </c>
      <c r="P350" t="s">
        <v>74</v>
      </c>
      <c r="Q350" t="s">
        <v>74</v>
      </c>
      <c r="R350" t="s">
        <v>74</v>
      </c>
      <c r="S350" t="s">
        <v>74</v>
      </c>
      <c r="T350" t="s">
        <v>74</v>
      </c>
      <c r="U350" t="s">
        <v>6840</v>
      </c>
      <c r="V350" t="s">
        <v>6841</v>
      </c>
      <c r="W350" t="s">
        <v>6842</v>
      </c>
      <c r="X350" t="s">
        <v>6843</v>
      </c>
      <c r="Y350" t="s">
        <v>6844</v>
      </c>
      <c r="Z350" t="s">
        <v>6845</v>
      </c>
      <c r="AA350" t="s">
        <v>6846</v>
      </c>
      <c r="AB350" t="s">
        <v>6847</v>
      </c>
      <c r="AC350" t="s">
        <v>6848</v>
      </c>
      <c r="AD350" t="s">
        <v>6849</v>
      </c>
      <c r="AE350" t="s">
        <v>6850</v>
      </c>
      <c r="AF350" t="s">
        <v>74</v>
      </c>
      <c r="AG350">
        <v>70</v>
      </c>
      <c r="AH350">
        <v>96</v>
      </c>
      <c r="AI350">
        <v>110</v>
      </c>
      <c r="AJ350">
        <v>0</v>
      </c>
      <c r="AK350">
        <v>51</v>
      </c>
      <c r="AL350" t="s">
        <v>146</v>
      </c>
      <c r="AM350" t="s">
        <v>147</v>
      </c>
      <c r="AN350" t="s">
        <v>148</v>
      </c>
      <c r="AO350" t="s">
        <v>149</v>
      </c>
      <c r="AP350" t="s">
        <v>74</v>
      </c>
      <c r="AQ350" t="s">
        <v>74</v>
      </c>
      <c r="AR350" t="s">
        <v>134</v>
      </c>
      <c r="AS350" t="s">
        <v>150</v>
      </c>
      <c r="AT350" t="s">
        <v>6799</v>
      </c>
      <c r="AU350">
        <v>2012</v>
      </c>
      <c r="AV350">
        <v>7</v>
      </c>
      <c r="AW350">
        <v>9</v>
      </c>
      <c r="AX350" t="s">
        <v>74</v>
      </c>
      <c r="AY350" t="s">
        <v>74</v>
      </c>
      <c r="AZ350" t="s">
        <v>74</v>
      </c>
      <c r="BA350" t="s">
        <v>74</v>
      </c>
      <c r="BB350" t="s">
        <v>74</v>
      </c>
      <c r="BC350" t="s">
        <v>74</v>
      </c>
      <c r="BD350" t="s">
        <v>6851</v>
      </c>
      <c r="BE350" t="s">
        <v>6852</v>
      </c>
      <c r="BF350" t="str">
        <f>HYPERLINK("http://dx.doi.org/10.1371/journal.pone.0044075","http://dx.doi.org/10.1371/journal.pone.0044075")</f>
        <v>http://dx.doi.org/10.1371/journal.pone.0044075</v>
      </c>
      <c r="BG350" t="s">
        <v>74</v>
      </c>
      <c r="BH350" t="s">
        <v>74</v>
      </c>
      <c r="BI350">
        <v>13</v>
      </c>
      <c r="BJ350" t="s">
        <v>153</v>
      </c>
      <c r="BK350" t="s">
        <v>98</v>
      </c>
      <c r="BL350" t="s">
        <v>154</v>
      </c>
      <c r="BM350" t="s">
        <v>6853</v>
      </c>
      <c r="BN350">
        <v>22984461</v>
      </c>
      <c r="BO350" t="s">
        <v>3409</v>
      </c>
      <c r="BP350" t="s">
        <v>74</v>
      </c>
      <c r="BQ350" t="s">
        <v>74</v>
      </c>
      <c r="BR350" t="s">
        <v>101</v>
      </c>
      <c r="BS350" t="s">
        <v>6854</v>
      </c>
      <c r="BT350" t="str">
        <f>HYPERLINK("https%3A%2F%2Fwww.webofscience.com%2Fwos%2Fwoscc%2Ffull-record%2FWOS:000308738500028","View Full Record in Web of Science")</f>
        <v>View Full Record in Web of Science</v>
      </c>
    </row>
    <row r="351" spans="1:72" x14ac:dyDescent="0.15">
      <c r="A351" t="s">
        <v>72</v>
      </c>
      <c r="B351" t="s">
        <v>6855</v>
      </c>
      <c r="C351" t="s">
        <v>74</v>
      </c>
      <c r="D351" t="s">
        <v>74</v>
      </c>
      <c r="E351" t="s">
        <v>74</v>
      </c>
      <c r="F351" t="s">
        <v>6856</v>
      </c>
      <c r="G351" t="s">
        <v>74</v>
      </c>
      <c r="H351" t="s">
        <v>74</v>
      </c>
      <c r="I351" t="s">
        <v>6857</v>
      </c>
      <c r="J351" t="s">
        <v>444</v>
      </c>
      <c r="K351" t="s">
        <v>74</v>
      </c>
      <c r="L351" t="s">
        <v>74</v>
      </c>
      <c r="M351" t="s">
        <v>78</v>
      </c>
      <c r="N351" t="s">
        <v>79</v>
      </c>
      <c r="O351" t="s">
        <v>74</v>
      </c>
      <c r="P351" t="s">
        <v>74</v>
      </c>
      <c r="Q351" t="s">
        <v>74</v>
      </c>
      <c r="R351" t="s">
        <v>74</v>
      </c>
      <c r="S351" t="s">
        <v>74</v>
      </c>
      <c r="T351" t="s">
        <v>74</v>
      </c>
      <c r="U351" t="s">
        <v>6858</v>
      </c>
      <c r="V351" t="s">
        <v>6859</v>
      </c>
      <c r="W351" t="s">
        <v>6860</v>
      </c>
      <c r="X351" t="s">
        <v>6861</v>
      </c>
      <c r="Y351" t="s">
        <v>6862</v>
      </c>
      <c r="Z351" t="s">
        <v>6863</v>
      </c>
      <c r="AA351" t="s">
        <v>6864</v>
      </c>
      <c r="AB351" t="s">
        <v>6865</v>
      </c>
      <c r="AC351" t="s">
        <v>6866</v>
      </c>
      <c r="AD351" t="s">
        <v>6866</v>
      </c>
      <c r="AE351" t="s">
        <v>6867</v>
      </c>
      <c r="AF351" t="s">
        <v>74</v>
      </c>
      <c r="AG351">
        <v>24</v>
      </c>
      <c r="AH351">
        <v>5</v>
      </c>
      <c r="AI351">
        <v>6</v>
      </c>
      <c r="AJ351">
        <v>0</v>
      </c>
      <c r="AK351">
        <v>22</v>
      </c>
      <c r="AL351" t="s">
        <v>118</v>
      </c>
      <c r="AM351" t="s">
        <v>119</v>
      </c>
      <c r="AN351" t="s">
        <v>120</v>
      </c>
      <c r="AO351" t="s">
        <v>454</v>
      </c>
      <c r="AP351" t="s">
        <v>455</v>
      </c>
      <c r="AQ351" t="s">
        <v>74</v>
      </c>
      <c r="AR351" t="s">
        <v>456</v>
      </c>
      <c r="AS351" t="s">
        <v>457</v>
      </c>
      <c r="AT351" t="s">
        <v>6868</v>
      </c>
      <c r="AU351">
        <v>2012</v>
      </c>
      <c r="AV351">
        <v>39</v>
      </c>
      <c r="AW351" t="s">
        <v>74</v>
      </c>
      <c r="AX351" t="s">
        <v>74</v>
      </c>
      <c r="AY351" t="s">
        <v>74</v>
      </c>
      <c r="AZ351" t="s">
        <v>74</v>
      </c>
      <c r="BA351" t="s">
        <v>74</v>
      </c>
      <c r="BB351" t="s">
        <v>74</v>
      </c>
      <c r="BC351" t="s">
        <v>74</v>
      </c>
      <c r="BD351" t="s">
        <v>6869</v>
      </c>
      <c r="BE351" t="s">
        <v>6870</v>
      </c>
      <c r="BF351" t="str">
        <f>HYPERLINK("http://dx.doi.org/10.1029/2012GL052454","http://dx.doi.org/10.1029/2012GL052454")</f>
        <v>http://dx.doi.org/10.1029/2012GL052454</v>
      </c>
      <c r="BG351" t="s">
        <v>74</v>
      </c>
      <c r="BH351" t="s">
        <v>74</v>
      </c>
      <c r="BI351">
        <v>6</v>
      </c>
      <c r="BJ351" t="s">
        <v>461</v>
      </c>
      <c r="BK351" t="s">
        <v>98</v>
      </c>
      <c r="BL351" t="s">
        <v>462</v>
      </c>
      <c r="BM351" t="s">
        <v>6871</v>
      </c>
      <c r="BN351" t="s">
        <v>74</v>
      </c>
      <c r="BO351" t="s">
        <v>607</v>
      </c>
      <c r="BP351" t="s">
        <v>74</v>
      </c>
      <c r="BQ351" t="s">
        <v>74</v>
      </c>
      <c r="BR351" t="s">
        <v>101</v>
      </c>
      <c r="BS351" t="s">
        <v>6872</v>
      </c>
      <c r="BT351" t="str">
        <f>HYPERLINK("https%3A%2F%2Fwww.webofscience.com%2Fwos%2Fwoscc%2Ffull-record%2FWOS:000308586400001","View Full Record in Web of Science")</f>
        <v>View Full Record in Web of Science</v>
      </c>
    </row>
    <row r="352" spans="1:72" x14ac:dyDescent="0.15">
      <c r="A352" t="s">
        <v>72</v>
      </c>
      <c r="B352" t="s">
        <v>6873</v>
      </c>
      <c r="C352" t="s">
        <v>74</v>
      </c>
      <c r="D352" t="s">
        <v>74</v>
      </c>
      <c r="E352" t="s">
        <v>74</v>
      </c>
      <c r="F352" t="s">
        <v>6874</v>
      </c>
      <c r="G352" t="s">
        <v>74</v>
      </c>
      <c r="H352" t="s">
        <v>74</v>
      </c>
      <c r="I352" t="s">
        <v>6875</v>
      </c>
      <c r="J352" t="s">
        <v>6876</v>
      </c>
      <c r="K352" t="s">
        <v>74</v>
      </c>
      <c r="L352" t="s">
        <v>74</v>
      </c>
      <c r="M352" t="s">
        <v>78</v>
      </c>
      <c r="N352" t="s">
        <v>79</v>
      </c>
      <c r="O352" t="s">
        <v>74</v>
      </c>
      <c r="P352" t="s">
        <v>74</v>
      </c>
      <c r="Q352" t="s">
        <v>74</v>
      </c>
      <c r="R352" t="s">
        <v>74</v>
      </c>
      <c r="S352" t="s">
        <v>74</v>
      </c>
      <c r="T352" t="s">
        <v>74</v>
      </c>
      <c r="U352" t="s">
        <v>6877</v>
      </c>
      <c r="V352" t="s">
        <v>74</v>
      </c>
      <c r="W352" t="s">
        <v>6878</v>
      </c>
      <c r="X352" t="s">
        <v>6879</v>
      </c>
      <c r="Y352" t="s">
        <v>6880</v>
      </c>
      <c r="Z352" t="s">
        <v>6881</v>
      </c>
      <c r="AA352" t="s">
        <v>6882</v>
      </c>
      <c r="AB352" t="s">
        <v>6883</v>
      </c>
      <c r="AC352" t="s">
        <v>6884</v>
      </c>
      <c r="AD352" t="s">
        <v>6885</v>
      </c>
      <c r="AE352" t="s">
        <v>74</v>
      </c>
      <c r="AF352" t="s">
        <v>74</v>
      </c>
      <c r="AG352">
        <v>23</v>
      </c>
      <c r="AH352">
        <v>14</v>
      </c>
      <c r="AI352">
        <v>18</v>
      </c>
      <c r="AJ352">
        <v>0</v>
      </c>
      <c r="AK352">
        <v>9</v>
      </c>
      <c r="AL352" t="s">
        <v>6886</v>
      </c>
      <c r="AM352" t="s">
        <v>434</v>
      </c>
      <c r="AN352" t="s">
        <v>6887</v>
      </c>
      <c r="AO352" t="s">
        <v>6888</v>
      </c>
      <c r="AP352" t="s">
        <v>74</v>
      </c>
      <c r="AQ352" t="s">
        <v>74</v>
      </c>
      <c r="AR352" t="s">
        <v>6889</v>
      </c>
      <c r="AS352" t="s">
        <v>6890</v>
      </c>
      <c r="AT352" t="s">
        <v>6868</v>
      </c>
      <c r="AU352">
        <v>2012</v>
      </c>
      <c r="AV352">
        <v>171</v>
      </c>
      <c r="AW352">
        <v>10</v>
      </c>
      <c r="AX352" t="s">
        <v>74</v>
      </c>
      <c r="AY352" t="s">
        <v>74</v>
      </c>
      <c r="AZ352" t="s">
        <v>74</v>
      </c>
      <c r="BA352" t="s">
        <v>74</v>
      </c>
      <c r="BB352">
        <v>249</v>
      </c>
      <c r="BC352" t="s">
        <v>4531</v>
      </c>
      <c r="BD352" t="s">
        <v>74</v>
      </c>
      <c r="BE352" t="s">
        <v>6891</v>
      </c>
      <c r="BF352" t="str">
        <f>HYPERLINK("http://dx.doi.org/10.1136/vr.100848","http://dx.doi.org/10.1136/vr.100848")</f>
        <v>http://dx.doi.org/10.1136/vr.100848</v>
      </c>
      <c r="BG352" t="s">
        <v>74</v>
      </c>
      <c r="BH352" t="s">
        <v>74</v>
      </c>
      <c r="BI352">
        <v>2</v>
      </c>
      <c r="BJ352" t="s">
        <v>6409</v>
      </c>
      <c r="BK352" t="s">
        <v>98</v>
      </c>
      <c r="BL352" t="s">
        <v>6409</v>
      </c>
      <c r="BM352" t="s">
        <v>6892</v>
      </c>
      <c r="BN352">
        <v>22798344</v>
      </c>
      <c r="BO352" t="s">
        <v>74</v>
      </c>
      <c r="BP352" t="s">
        <v>74</v>
      </c>
      <c r="BQ352" t="s">
        <v>74</v>
      </c>
      <c r="BR352" t="s">
        <v>101</v>
      </c>
      <c r="BS352" t="s">
        <v>6893</v>
      </c>
      <c r="BT352" t="str">
        <f>HYPERLINK("https%3A%2F%2Fwww.webofscience.com%2Fwos%2Fwoscc%2Ffull-record%2FWOS:000308531100016","View Full Record in Web of Science")</f>
        <v>View Full Record in Web of Science</v>
      </c>
    </row>
    <row r="353" spans="1:72" x14ac:dyDescent="0.15">
      <c r="A353" t="s">
        <v>72</v>
      </c>
      <c r="B353" t="s">
        <v>6894</v>
      </c>
      <c r="C353" t="s">
        <v>74</v>
      </c>
      <c r="D353" t="s">
        <v>74</v>
      </c>
      <c r="E353" t="s">
        <v>74</v>
      </c>
      <c r="F353" t="s">
        <v>6895</v>
      </c>
      <c r="G353" t="s">
        <v>74</v>
      </c>
      <c r="H353" t="s">
        <v>74</v>
      </c>
      <c r="I353" t="s">
        <v>6896</v>
      </c>
      <c r="J353" t="s">
        <v>3733</v>
      </c>
      <c r="K353" t="s">
        <v>74</v>
      </c>
      <c r="L353" t="s">
        <v>74</v>
      </c>
      <c r="M353" t="s">
        <v>78</v>
      </c>
      <c r="N353" t="s">
        <v>79</v>
      </c>
      <c r="O353" t="s">
        <v>74</v>
      </c>
      <c r="P353" t="s">
        <v>74</v>
      </c>
      <c r="Q353" t="s">
        <v>74</v>
      </c>
      <c r="R353" t="s">
        <v>74</v>
      </c>
      <c r="S353" t="s">
        <v>74</v>
      </c>
      <c r="T353" t="s">
        <v>74</v>
      </c>
      <c r="U353" t="s">
        <v>6897</v>
      </c>
      <c r="V353" t="s">
        <v>6898</v>
      </c>
      <c r="W353" t="s">
        <v>6899</v>
      </c>
      <c r="X353" t="s">
        <v>6900</v>
      </c>
      <c r="Y353" t="s">
        <v>6901</v>
      </c>
      <c r="Z353" t="s">
        <v>6902</v>
      </c>
      <c r="AA353" t="s">
        <v>74</v>
      </c>
      <c r="AB353" t="s">
        <v>74</v>
      </c>
      <c r="AC353" t="s">
        <v>6903</v>
      </c>
      <c r="AD353" t="s">
        <v>6904</v>
      </c>
      <c r="AE353" t="s">
        <v>6905</v>
      </c>
      <c r="AF353" t="s">
        <v>74</v>
      </c>
      <c r="AG353">
        <v>62</v>
      </c>
      <c r="AH353">
        <v>27</v>
      </c>
      <c r="AI353">
        <v>32</v>
      </c>
      <c r="AJ353">
        <v>0</v>
      </c>
      <c r="AK353">
        <v>28</v>
      </c>
      <c r="AL353" t="s">
        <v>118</v>
      </c>
      <c r="AM353" t="s">
        <v>119</v>
      </c>
      <c r="AN353" t="s">
        <v>120</v>
      </c>
      <c r="AO353" t="s">
        <v>3745</v>
      </c>
      <c r="AP353" t="s">
        <v>3746</v>
      </c>
      <c r="AQ353" t="s">
        <v>74</v>
      </c>
      <c r="AR353" t="s">
        <v>3733</v>
      </c>
      <c r="AS353" t="s">
        <v>3747</v>
      </c>
      <c r="AT353" t="s">
        <v>6906</v>
      </c>
      <c r="AU353">
        <v>2012</v>
      </c>
      <c r="AV353">
        <v>27</v>
      </c>
      <c r="AW353" t="s">
        <v>74</v>
      </c>
      <c r="AX353" t="s">
        <v>74</v>
      </c>
      <c r="AY353" t="s">
        <v>74</v>
      </c>
      <c r="AZ353" t="s">
        <v>74</v>
      </c>
      <c r="BA353" t="s">
        <v>74</v>
      </c>
      <c r="BB353" t="s">
        <v>74</v>
      </c>
      <c r="BC353" t="s">
        <v>74</v>
      </c>
      <c r="BD353" t="s">
        <v>6907</v>
      </c>
      <c r="BE353" t="s">
        <v>6908</v>
      </c>
      <c r="BF353" t="str">
        <f>HYPERLINK("http://dx.doi.org/10.1029/2011PA002273","http://dx.doi.org/10.1029/2011PA002273")</f>
        <v>http://dx.doi.org/10.1029/2011PA002273</v>
      </c>
      <c r="BG353" t="s">
        <v>74</v>
      </c>
      <c r="BH353" t="s">
        <v>74</v>
      </c>
      <c r="BI353">
        <v>14</v>
      </c>
      <c r="BJ353" t="s">
        <v>3750</v>
      </c>
      <c r="BK353" t="s">
        <v>98</v>
      </c>
      <c r="BL353" t="s">
        <v>3751</v>
      </c>
      <c r="BM353" t="s">
        <v>6909</v>
      </c>
      <c r="BN353" t="s">
        <v>74</v>
      </c>
      <c r="BO353" t="s">
        <v>494</v>
      </c>
      <c r="BP353" t="s">
        <v>74</v>
      </c>
      <c r="BQ353" t="s">
        <v>74</v>
      </c>
      <c r="BR353" t="s">
        <v>101</v>
      </c>
      <c r="BS353" t="s">
        <v>6910</v>
      </c>
      <c r="BT353" t="str">
        <f>HYPERLINK("https%3A%2F%2Fwww.webofscience.com%2Fwos%2Fwoscc%2Ffull-record%2FWOS:000310540900001","View Full Record in Web of Science")</f>
        <v>View Full Record in Web of Science</v>
      </c>
    </row>
    <row r="354" spans="1:72" x14ac:dyDescent="0.15">
      <c r="A354" t="s">
        <v>72</v>
      </c>
      <c r="B354" t="s">
        <v>6911</v>
      </c>
      <c r="C354" t="s">
        <v>74</v>
      </c>
      <c r="D354" t="s">
        <v>74</v>
      </c>
      <c r="E354" t="s">
        <v>74</v>
      </c>
      <c r="F354" t="s">
        <v>6912</v>
      </c>
      <c r="G354" t="s">
        <v>74</v>
      </c>
      <c r="H354" t="s">
        <v>74</v>
      </c>
      <c r="I354" t="s">
        <v>6913</v>
      </c>
      <c r="J354" t="s">
        <v>106</v>
      </c>
      <c r="K354" t="s">
        <v>74</v>
      </c>
      <c r="L354" t="s">
        <v>74</v>
      </c>
      <c r="M354" t="s">
        <v>78</v>
      </c>
      <c r="N354" t="s">
        <v>79</v>
      </c>
      <c r="O354" t="s">
        <v>74</v>
      </c>
      <c r="P354" t="s">
        <v>74</v>
      </c>
      <c r="Q354" t="s">
        <v>74</v>
      </c>
      <c r="R354" t="s">
        <v>74</v>
      </c>
      <c r="S354" t="s">
        <v>74</v>
      </c>
      <c r="T354" t="s">
        <v>74</v>
      </c>
      <c r="U354" t="s">
        <v>6914</v>
      </c>
      <c r="V354" t="s">
        <v>6915</v>
      </c>
      <c r="W354" t="s">
        <v>6916</v>
      </c>
      <c r="X354" t="s">
        <v>6917</v>
      </c>
      <c r="Y354" t="s">
        <v>6918</v>
      </c>
      <c r="Z354" t="s">
        <v>6919</v>
      </c>
      <c r="AA354" t="s">
        <v>74</v>
      </c>
      <c r="AB354" t="s">
        <v>6920</v>
      </c>
      <c r="AC354" t="s">
        <v>6921</v>
      </c>
      <c r="AD354" t="s">
        <v>6922</v>
      </c>
      <c r="AE354" t="s">
        <v>6923</v>
      </c>
      <c r="AF354" t="s">
        <v>74</v>
      </c>
      <c r="AG354">
        <v>41</v>
      </c>
      <c r="AH354">
        <v>12</v>
      </c>
      <c r="AI354">
        <v>13</v>
      </c>
      <c r="AJ354">
        <v>0</v>
      </c>
      <c r="AK354">
        <v>7</v>
      </c>
      <c r="AL354" t="s">
        <v>118</v>
      </c>
      <c r="AM354" t="s">
        <v>119</v>
      </c>
      <c r="AN354" t="s">
        <v>120</v>
      </c>
      <c r="AO354" t="s">
        <v>121</v>
      </c>
      <c r="AP354" t="s">
        <v>122</v>
      </c>
      <c r="AQ354" t="s">
        <v>74</v>
      </c>
      <c r="AR354" t="s">
        <v>123</v>
      </c>
      <c r="AS354" t="s">
        <v>124</v>
      </c>
      <c r="AT354" t="s">
        <v>6906</v>
      </c>
      <c r="AU354">
        <v>2012</v>
      </c>
      <c r="AV354">
        <v>117</v>
      </c>
      <c r="AW354" t="s">
        <v>74</v>
      </c>
      <c r="AX354" t="s">
        <v>74</v>
      </c>
      <c r="AY354" t="s">
        <v>74</v>
      </c>
      <c r="AZ354" t="s">
        <v>74</v>
      </c>
      <c r="BA354" t="s">
        <v>74</v>
      </c>
      <c r="BB354" t="s">
        <v>74</v>
      </c>
      <c r="BC354" t="s">
        <v>74</v>
      </c>
      <c r="BD354" t="s">
        <v>6924</v>
      </c>
      <c r="BE354" t="s">
        <v>6925</v>
      </c>
      <c r="BF354" t="str">
        <f>HYPERLINK("http://dx.doi.org/10.1029/2012JA017755","http://dx.doi.org/10.1029/2012JA017755")</f>
        <v>http://dx.doi.org/10.1029/2012JA017755</v>
      </c>
      <c r="BG354" t="s">
        <v>74</v>
      </c>
      <c r="BH354" t="s">
        <v>74</v>
      </c>
      <c r="BI354">
        <v>13</v>
      </c>
      <c r="BJ354" t="s">
        <v>127</v>
      </c>
      <c r="BK354" t="s">
        <v>98</v>
      </c>
      <c r="BL354" t="s">
        <v>127</v>
      </c>
      <c r="BM354" t="s">
        <v>6926</v>
      </c>
      <c r="BN354" t="s">
        <v>74</v>
      </c>
      <c r="BO354" t="s">
        <v>607</v>
      </c>
      <c r="BP354" t="s">
        <v>74</v>
      </c>
      <c r="BQ354" t="s">
        <v>74</v>
      </c>
      <c r="BR354" t="s">
        <v>101</v>
      </c>
      <c r="BS354" t="s">
        <v>6927</v>
      </c>
      <c r="BT354" t="str">
        <f>HYPERLINK("https%3A%2F%2Fwww.webofscience.com%2Fwos%2Fwoscc%2Ffull-record%2FWOS:000310540500004","View Full Record in Web of Science")</f>
        <v>View Full Record in Web of Science</v>
      </c>
    </row>
    <row r="355" spans="1:72" x14ac:dyDescent="0.15">
      <c r="A355" t="s">
        <v>72</v>
      </c>
      <c r="B355" t="s">
        <v>6928</v>
      </c>
      <c r="C355" t="s">
        <v>74</v>
      </c>
      <c r="D355" t="s">
        <v>74</v>
      </c>
      <c r="E355" t="s">
        <v>74</v>
      </c>
      <c r="F355" t="s">
        <v>6929</v>
      </c>
      <c r="G355" t="s">
        <v>74</v>
      </c>
      <c r="H355" t="s">
        <v>74</v>
      </c>
      <c r="I355" t="s">
        <v>6930</v>
      </c>
      <c r="J355" t="s">
        <v>421</v>
      </c>
      <c r="K355" t="s">
        <v>74</v>
      </c>
      <c r="L355" t="s">
        <v>74</v>
      </c>
      <c r="M355" t="s">
        <v>78</v>
      </c>
      <c r="N355" t="s">
        <v>2829</v>
      </c>
      <c r="O355" t="s">
        <v>74</v>
      </c>
      <c r="P355" t="s">
        <v>74</v>
      </c>
      <c r="Q355" t="s">
        <v>74</v>
      </c>
      <c r="R355" t="s">
        <v>74</v>
      </c>
      <c r="S355" t="s">
        <v>74</v>
      </c>
      <c r="T355" t="s">
        <v>74</v>
      </c>
      <c r="U355" t="s">
        <v>6931</v>
      </c>
      <c r="V355" t="s">
        <v>74</v>
      </c>
      <c r="W355" t="s">
        <v>6932</v>
      </c>
      <c r="X355" t="s">
        <v>6933</v>
      </c>
      <c r="Y355" t="s">
        <v>6934</v>
      </c>
      <c r="Z355" t="s">
        <v>6935</v>
      </c>
      <c r="AA355" t="s">
        <v>6936</v>
      </c>
      <c r="AB355" t="s">
        <v>6937</v>
      </c>
      <c r="AC355" t="s">
        <v>6938</v>
      </c>
      <c r="AD355" t="s">
        <v>3425</v>
      </c>
      <c r="AE355" t="s">
        <v>74</v>
      </c>
      <c r="AF355" t="s">
        <v>74</v>
      </c>
      <c r="AG355">
        <v>14</v>
      </c>
      <c r="AH355">
        <v>3</v>
      </c>
      <c r="AI355">
        <v>4</v>
      </c>
      <c r="AJ355">
        <v>1</v>
      </c>
      <c r="AK355">
        <v>15</v>
      </c>
      <c r="AL355" t="s">
        <v>433</v>
      </c>
      <c r="AM355" t="s">
        <v>434</v>
      </c>
      <c r="AN355" t="s">
        <v>435</v>
      </c>
      <c r="AO355" t="s">
        <v>436</v>
      </c>
      <c r="AP355" t="s">
        <v>74</v>
      </c>
      <c r="AQ355" t="s">
        <v>74</v>
      </c>
      <c r="AR355" t="s">
        <v>421</v>
      </c>
      <c r="AS355" t="s">
        <v>437</v>
      </c>
      <c r="AT355" t="s">
        <v>6906</v>
      </c>
      <c r="AU355">
        <v>2012</v>
      </c>
      <c r="AV355">
        <v>489</v>
      </c>
      <c r="AW355">
        <v>7414</v>
      </c>
      <c r="AX355" t="s">
        <v>74</v>
      </c>
      <c r="AY355" t="s">
        <v>74</v>
      </c>
      <c r="AZ355" t="s">
        <v>74</v>
      </c>
      <c r="BA355" t="s">
        <v>74</v>
      </c>
      <c r="BB355">
        <v>39</v>
      </c>
      <c r="BC355">
        <v>41</v>
      </c>
      <c r="BD355" t="s">
        <v>74</v>
      </c>
      <c r="BE355" t="s">
        <v>6939</v>
      </c>
      <c r="BF355" t="str">
        <f>HYPERLINK("http://dx.doi.org/10.1038/nature11483","http://dx.doi.org/10.1038/nature11483")</f>
        <v>http://dx.doi.org/10.1038/nature11483</v>
      </c>
      <c r="BG355" t="s">
        <v>74</v>
      </c>
      <c r="BH355" t="s">
        <v>74</v>
      </c>
      <c r="BI355">
        <v>3</v>
      </c>
      <c r="BJ355" t="s">
        <v>153</v>
      </c>
      <c r="BK355" t="s">
        <v>98</v>
      </c>
      <c r="BL355" t="s">
        <v>154</v>
      </c>
      <c r="BM355" t="s">
        <v>6940</v>
      </c>
      <c r="BN355">
        <v>22962706</v>
      </c>
      <c r="BO355" t="s">
        <v>74</v>
      </c>
      <c r="BP355" t="s">
        <v>74</v>
      </c>
      <c r="BQ355" t="s">
        <v>74</v>
      </c>
      <c r="BR355" t="s">
        <v>101</v>
      </c>
      <c r="BS355" t="s">
        <v>6941</v>
      </c>
      <c r="BT355" t="str">
        <f>HYPERLINK("https%3A%2F%2Fwww.webofscience.com%2Fwos%2Fwoscc%2Ffull-record%2FWOS:000308347000028","View Full Record in Web of Science")</f>
        <v>View Full Record in Web of Science</v>
      </c>
    </row>
    <row r="356" spans="1:72" x14ac:dyDescent="0.15">
      <c r="A356" t="s">
        <v>72</v>
      </c>
      <c r="B356" t="s">
        <v>6942</v>
      </c>
      <c r="C356" t="s">
        <v>74</v>
      </c>
      <c r="D356" t="s">
        <v>74</v>
      </c>
      <c r="E356" t="s">
        <v>74</v>
      </c>
      <c r="F356" t="s">
        <v>6943</v>
      </c>
      <c r="G356" t="s">
        <v>74</v>
      </c>
      <c r="H356" t="s">
        <v>74</v>
      </c>
      <c r="I356" t="s">
        <v>6944</v>
      </c>
      <c r="J356" t="s">
        <v>421</v>
      </c>
      <c r="K356" t="s">
        <v>74</v>
      </c>
      <c r="L356" t="s">
        <v>74</v>
      </c>
      <c r="M356" t="s">
        <v>78</v>
      </c>
      <c r="N356" t="s">
        <v>79</v>
      </c>
      <c r="O356" t="s">
        <v>74</v>
      </c>
      <c r="P356" t="s">
        <v>74</v>
      </c>
      <c r="Q356" t="s">
        <v>74</v>
      </c>
      <c r="R356" t="s">
        <v>74</v>
      </c>
      <c r="S356" t="s">
        <v>74</v>
      </c>
      <c r="T356" t="s">
        <v>74</v>
      </c>
      <c r="U356" t="s">
        <v>6945</v>
      </c>
      <c r="V356" t="s">
        <v>6946</v>
      </c>
      <c r="W356" t="s">
        <v>6947</v>
      </c>
      <c r="X356" t="s">
        <v>6948</v>
      </c>
      <c r="Y356" t="s">
        <v>6949</v>
      </c>
      <c r="Z356" t="s">
        <v>6950</v>
      </c>
      <c r="AA356" t="s">
        <v>6951</v>
      </c>
      <c r="AB356" t="s">
        <v>6952</v>
      </c>
      <c r="AC356" t="s">
        <v>6953</v>
      </c>
      <c r="AD356" t="s">
        <v>6954</v>
      </c>
      <c r="AE356" t="s">
        <v>6955</v>
      </c>
      <c r="AF356" t="s">
        <v>74</v>
      </c>
      <c r="AG356">
        <v>30</v>
      </c>
      <c r="AH356">
        <v>231</v>
      </c>
      <c r="AI356">
        <v>262</v>
      </c>
      <c r="AJ356">
        <v>7</v>
      </c>
      <c r="AK356">
        <v>169</v>
      </c>
      <c r="AL356" t="s">
        <v>6956</v>
      </c>
      <c r="AM356" t="s">
        <v>6957</v>
      </c>
      <c r="AN356" t="s">
        <v>6958</v>
      </c>
      <c r="AO356" t="s">
        <v>436</v>
      </c>
      <c r="AP356" t="s">
        <v>3383</v>
      </c>
      <c r="AQ356" t="s">
        <v>74</v>
      </c>
      <c r="AR356" t="s">
        <v>421</v>
      </c>
      <c r="AS356" t="s">
        <v>437</v>
      </c>
      <c r="AT356" t="s">
        <v>6906</v>
      </c>
      <c r="AU356">
        <v>2012</v>
      </c>
      <c r="AV356">
        <v>489</v>
      </c>
      <c r="AW356">
        <v>7414</v>
      </c>
      <c r="AX356" t="s">
        <v>74</v>
      </c>
      <c r="AY356" t="s">
        <v>74</v>
      </c>
      <c r="AZ356" t="s">
        <v>74</v>
      </c>
      <c r="BA356" t="s">
        <v>74</v>
      </c>
      <c r="BB356">
        <v>141</v>
      </c>
      <c r="BC356" t="s">
        <v>6959</v>
      </c>
      <c r="BD356" t="s">
        <v>74</v>
      </c>
      <c r="BE356" t="s">
        <v>6960</v>
      </c>
      <c r="BF356" t="str">
        <f>HYPERLINK("http://dx.doi.org/10.1038/nature11391","http://dx.doi.org/10.1038/nature11391")</f>
        <v>http://dx.doi.org/10.1038/nature11391</v>
      </c>
      <c r="BG356" t="s">
        <v>74</v>
      </c>
      <c r="BH356" t="s">
        <v>74</v>
      </c>
      <c r="BI356">
        <v>5</v>
      </c>
      <c r="BJ356" t="s">
        <v>153</v>
      </c>
      <c r="BK356" t="s">
        <v>98</v>
      </c>
      <c r="BL356" t="s">
        <v>154</v>
      </c>
      <c r="BM356" t="s">
        <v>6940</v>
      </c>
      <c r="BN356">
        <v>22914090</v>
      </c>
      <c r="BO356" t="s">
        <v>416</v>
      </c>
      <c r="BP356" t="s">
        <v>74</v>
      </c>
      <c r="BQ356" t="s">
        <v>74</v>
      </c>
      <c r="BR356" t="s">
        <v>101</v>
      </c>
      <c r="BS356" t="s">
        <v>6961</v>
      </c>
      <c r="BT356" t="str">
        <f>HYPERLINK("https%3A%2F%2Fwww.webofscience.com%2Fwos%2Fwoscc%2Ffull-record%2FWOS:000308347000051","View Full Record in Web of Science")</f>
        <v>View Full Record in Web of Science</v>
      </c>
    </row>
    <row r="357" spans="1:72" x14ac:dyDescent="0.15">
      <c r="A357" t="s">
        <v>72</v>
      </c>
      <c r="B357" t="s">
        <v>6962</v>
      </c>
      <c r="C357" t="s">
        <v>74</v>
      </c>
      <c r="D357" t="s">
        <v>74</v>
      </c>
      <c r="E357" t="s">
        <v>74</v>
      </c>
      <c r="F357" t="s">
        <v>6963</v>
      </c>
      <c r="G357" t="s">
        <v>74</v>
      </c>
      <c r="H357" t="s">
        <v>74</v>
      </c>
      <c r="I357" t="s">
        <v>6964</v>
      </c>
      <c r="J357" t="s">
        <v>3666</v>
      </c>
      <c r="K357" t="s">
        <v>74</v>
      </c>
      <c r="L357" t="s">
        <v>74</v>
      </c>
      <c r="M357" t="s">
        <v>78</v>
      </c>
      <c r="N357" t="s">
        <v>79</v>
      </c>
      <c r="O357" t="s">
        <v>74</v>
      </c>
      <c r="P357" t="s">
        <v>74</v>
      </c>
      <c r="Q357" t="s">
        <v>74</v>
      </c>
      <c r="R357" t="s">
        <v>74</v>
      </c>
      <c r="S357" t="s">
        <v>74</v>
      </c>
      <c r="T357" t="s">
        <v>74</v>
      </c>
      <c r="U357" t="s">
        <v>6965</v>
      </c>
      <c r="V357" t="s">
        <v>6966</v>
      </c>
      <c r="W357" t="s">
        <v>6967</v>
      </c>
      <c r="X357" t="s">
        <v>74</v>
      </c>
      <c r="Y357" t="s">
        <v>6968</v>
      </c>
      <c r="Z357" t="s">
        <v>6969</v>
      </c>
      <c r="AA357" t="s">
        <v>74</v>
      </c>
      <c r="AB357" t="s">
        <v>74</v>
      </c>
      <c r="AC357" t="s">
        <v>6970</v>
      </c>
      <c r="AD357" t="s">
        <v>6164</v>
      </c>
      <c r="AE357" t="s">
        <v>6971</v>
      </c>
      <c r="AF357" t="s">
        <v>74</v>
      </c>
      <c r="AG357">
        <v>22</v>
      </c>
      <c r="AH357">
        <v>0</v>
      </c>
      <c r="AI357">
        <v>0</v>
      </c>
      <c r="AJ357">
        <v>0</v>
      </c>
      <c r="AK357">
        <v>7</v>
      </c>
      <c r="AL357" t="s">
        <v>118</v>
      </c>
      <c r="AM357" t="s">
        <v>119</v>
      </c>
      <c r="AN357" t="s">
        <v>120</v>
      </c>
      <c r="AO357" t="s">
        <v>3678</v>
      </c>
      <c r="AP357" t="s">
        <v>3679</v>
      </c>
      <c r="AQ357" t="s">
        <v>74</v>
      </c>
      <c r="AR357" t="s">
        <v>3680</v>
      </c>
      <c r="AS357" t="s">
        <v>3681</v>
      </c>
      <c r="AT357" t="s">
        <v>6972</v>
      </c>
      <c r="AU357">
        <v>2012</v>
      </c>
      <c r="AV357">
        <v>117</v>
      </c>
      <c r="AW357" t="s">
        <v>74</v>
      </c>
      <c r="AX357" t="s">
        <v>74</v>
      </c>
      <c r="AY357" t="s">
        <v>74</v>
      </c>
      <c r="AZ357" t="s">
        <v>74</v>
      </c>
      <c r="BA357" t="s">
        <v>74</v>
      </c>
      <c r="BB357" t="s">
        <v>74</v>
      </c>
      <c r="BC357" t="s">
        <v>74</v>
      </c>
      <c r="BD357" t="s">
        <v>6973</v>
      </c>
      <c r="BE357" t="s">
        <v>6974</v>
      </c>
      <c r="BF357" t="str">
        <f>HYPERLINK("http://dx.doi.org/10.1029/2012JC007976","http://dx.doi.org/10.1029/2012JC007976")</f>
        <v>http://dx.doi.org/10.1029/2012JC007976</v>
      </c>
      <c r="BG357" t="s">
        <v>74</v>
      </c>
      <c r="BH357" t="s">
        <v>74</v>
      </c>
      <c r="BI357">
        <v>12</v>
      </c>
      <c r="BJ357" t="s">
        <v>941</v>
      </c>
      <c r="BK357" t="s">
        <v>98</v>
      </c>
      <c r="BL357" t="s">
        <v>941</v>
      </c>
      <c r="BM357" t="s">
        <v>6975</v>
      </c>
      <c r="BN357" t="s">
        <v>74</v>
      </c>
      <c r="BO357" t="s">
        <v>74</v>
      </c>
      <c r="BP357" t="s">
        <v>74</v>
      </c>
      <c r="BQ357" t="s">
        <v>74</v>
      </c>
      <c r="BR357" t="s">
        <v>101</v>
      </c>
      <c r="BS357" t="s">
        <v>6976</v>
      </c>
      <c r="BT357" t="str">
        <f>HYPERLINK("https%3A%2F%2Fwww.webofscience.com%2Fwos%2Fwoscc%2Ffull-record%2FWOS:000308599100002","View Full Record in Web of Science")</f>
        <v>View Full Record in Web of Science</v>
      </c>
    </row>
    <row r="358" spans="1:72" x14ac:dyDescent="0.15">
      <c r="A358" t="s">
        <v>72</v>
      </c>
      <c r="B358" t="s">
        <v>6977</v>
      </c>
      <c r="C358" t="s">
        <v>74</v>
      </c>
      <c r="D358" t="s">
        <v>74</v>
      </c>
      <c r="E358" t="s">
        <v>74</v>
      </c>
      <c r="F358" t="s">
        <v>6978</v>
      </c>
      <c r="G358" t="s">
        <v>74</v>
      </c>
      <c r="H358" t="s">
        <v>74</v>
      </c>
      <c r="I358" t="s">
        <v>6979</v>
      </c>
      <c r="J358" t="s">
        <v>6980</v>
      </c>
      <c r="K358" t="s">
        <v>74</v>
      </c>
      <c r="L358" t="s">
        <v>74</v>
      </c>
      <c r="M358" t="s">
        <v>78</v>
      </c>
      <c r="N358" t="s">
        <v>79</v>
      </c>
      <c r="O358" t="s">
        <v>74</v>
      </c>
      <c r="P358" t="s">
        <v>74</v>
      </c>
      <c r="Q358" t="s">
        <v>74</v>
      </c>
      <c r="R358" t="s">
        <v>74</v>
      </c>
      <c r="S358" t="s">
        <v>74</v>
      </c>
      <c r="T358" t="s">
        <v>6981</v>
      </c>
      <c r="U358" t="s">
        <v>6982</v>
      </c>
      <c r="V358" t="s">
        <v>6983</v>
      </c>
      <c r="W358" t="s">
        <v>6984</v>
      </c>
      <c r="X358" t="s">
        <v>6985</v>
      </c>
      <c r="Y358" t="s">
        <v>6986</v>
      </c>
      <c r="Z358" t="s">
        <v>6987</v>
      </c>
      <c r="AA358" t="s">
        <v>6988</v>
      </c>
      <c r="AB358" t="s">
        <v>6989</v>
      </c>
      <c r="AC358" t="s">
        <v>6990</v>
      </c>
      <c r="AD358" t="s">
        <v>6991</v>
      </c>
      <c r="AE358" t="s">
        <v>6992</v>
      </c>
      <c r="AF358" t="s">
        <v>74</v>
      </c>
      <c r="AG358">
        <v>43</v>
      </c>
      <c r="AH358">
        <v>19</v>
      </c>
      <c r="AI358">
        <v>23</v>
      </c>
      <c r="AJ358">
        <v>0</v>
      </c>
      <c r="AK358">
        <v>42</v>
      </c>
      <c r="AL358" t="s">
        <v>188</v>
      </c>
      <c r="AM358" t="s">
        <v>189</v>
      </c>
      <c r="AN358" t="s">
        <v>190</v>
      </c>
      <c r="AO358" t="s">
        <v>6993</v>
      </c>
      <c r="AP358" t="s">
        <v>6994</v>
      </c>
      <c r="AQ358" t="s">
        <v>74</v>
      </c>
      <c r="AR358" t="s">
        <v>6995</v>
      </c>
      <c r="AS358" t="s">
        <v>6996</v>
      </c>
      <c r="AT358" t="s">
        <v>6972</v>
      </c>
      <c r="AU358">
        <v>2012</v>
      </c>
      <c r="AV358">
        <v>322</v>
      </c>
      <c r="AW358" t="s">
        <v>74</v>
      </c>
      <c r="AX358" t="s">
        <v>74</v>
      </c>
      <c r="AY358" t="s">
        <v>74</v>
      </c>
      <c r="AZ358" t="s">
        <v>74</v>
      </c>
      <c r="BA358" t="s">
        <v>74</v>
      </c>
      <c r="BB358">
        <v>79</v>
      </c>
      <c r="BC358">
        <v>90</v>
      </c>
      <c r="BD358" t="s">
        <v>74</v>
      </c>
      <c r="BE358" t="s">
        <v>6997</v>
      </c>
      <c r="BF358" t="str">
        <f>HYPERLINK("http://dx.doi.org/10.1016/j.chemgeo.2012.06.009","http://dx.doi.org/10.1016/j.chemgeo.2012.06.009")</f>
        <v>http://dx.doi.org/10.1016/j.chemgeo.2012.06.009</v>
      </c>
      <c r="BG358" t="s">
        <v>74</v>
      </c>
      <c r="BH358" t="s">
        <v>74</v>
      </c>
      <c r="BI358">
        <v>12</v>
      </c>
      <c r="BJ358" t="s">
        <v>241</v>
      </c>
      <c r="BK358" t="s">
        <v>98</v>
      </c>
      <c r="BL358" t="s">
        <v>241</v>
      </c>
      <c r="BM358" t="s">
        <v>6998</v>
      </c>
      <c r="BN358" t="s">
        <v>74</v>
      </c>
      <c r="BO358" t="s">
        <v>74</v>
      </c>
      <c r="BP358" t="s">
        <v>74</v>
      </c>
      <c r="BQ358" t="s">
        <v>74</v>
      </c>
      <c r="BR358" t="s">
        <v>101</v>
      </c>
      <c r="BS358" t="s">
        <v>6999</v>
      </c>
      <c r="BT358" t="str">
        <f>HYPERLINK("https%3A%2F%2Fwww.webofscience.com%2Fwos%2Fwoscc%2Ffull-record%2FWOS:000308973600007","View Full Record in Web of Science")</f>
        <v>View Full Record in Web of Science</v>
      </c>
    </row>
    <row r="359" spans="1:72" x14ac:dyDescent="0.15">
      <c r="A359" t="s">
        <v>72</v>
      </c>
      <c r="B359" t="s">
        <v>7000</v>
      </c>
      <c r="C359" t="s">
        <v>74</v>
      </c>
      <c r="D359" t="s">
        <v>74</v>
      </c>
      <c r="E359" t="s">
        <v>74</v>
      </c>
      <c r="F359" t="s">
        <v>7001</v>
      </c>
      <c r="G359" t="s">
        <v>74</v>
      </c>
      <c r="H359" t="s">
        <v>74</v>
      </c>
      <c r="I359" t="s">
        <v>7002</v>
      </c>
      <c r="J359" t="s">
        <v>6980</v>
      </c>
      <c r="K359" t="s">
        <v>74</v>
      </c>
      <c r="L359" t="s">
        <v>74</v>
      </c>
      <c r="M359" t="s">
        <v>78</v>
      </c>
      <c r="N359" t="s">
        <v>79</v>
      </c>
      <c r="O359" t="s">
        <v>74</v>
      </c>
      <c r="P359" t="s">
        <v>74</v>
      </c>
      <c r="Q359" t="s">
        <v>74</v>
      </c>
      <c r="R359" t="s">
        <v>74</v>
      </c>
      <c r="S359" t="s">
        <v>74</v>
      </c>
      <c r="T359" t="s">
        <v>7003</v>
      </c>
      <c r="U359" t="s">
        <v>7004</v>
      </c>
      <c r="V359" t="s">
        <v>7005</v>
      </c>
      <c r="W359" t="s">
        <v>7006</v>
      </c>
      <c r="X359" t="s">
        <v>7007</v>
      </c>
      <c r="Y359" t="s">
        <v>7008</v>
      </c>
      <c r="Z359" t="s">
        <v>7009</v>
      </c>
      <c r="AA359" t="s">
        <v>7010</v>
      </c>
      <c r="AB359" t="s">
        <v>7011</v>
      </c>
      <c r="AC359" t="s">
        <v>7012</v>
      </c>
      <c r="AD359" t="s">
        <v>7013</v>
      </c>
      <c r="AE359" t="s">
        <v>7014</v>
      </c>
      <c r="AF359" t="s">
        <v>74</v>
      </c>
      <c r="AG359">
        <v>91</v>
      </c>
      <c r="AH359">
        <v>97</v>
      </c>
      <c r="AI359">
        <v>109</v>
      </c>
      <c r="AJ359">
        <v>0</v>
      </c>
      <c r="AK359">
        <v>43</v>
      </c>
      <c r="AL359" t="s">
        <v>188</v>
      </c>
      <c r="AM359" t="s">
        <v>189</v>
      </c>
      <c r="AN359" t="s">
        <v>190</v>
      </c>
      <c r="AO359" t="s">
        <v>6993</v>
      </c>
      <c r="AP359" t="s">
        <v>6994</v>
      </c>
      <c r="AQ359" t="s">
        <v>74</v>
      </c>
      <c r="AR359" t="s">
        <v>6995</v>
      </c>
      <c r="AS359" t="s">
        <v>6996</v>
      </c>
      <c r="AT359" t="s">
        <v>6972</v>
      </c>
      <c r="AU359">
        <v>2012</v>
      </c>
      <c r="AV359">
        <v>322</v>
      </c>
      <c r="AW359" t="s">
        <v>74</v>
      </c>
      <c r="AX359" t="s">
        <v>74</v>
      </c>
      <c r="AY359" t="s">
        <v>74</v>
      </c>
      <c r="AZ359" t="s">
        <v>74</v>
      </c>
      <c r="BA359" t="s">
        <v>74</v>
      </c>
      <c r="BB359">
        <v>192</v>
      </c>
      <c r="BC359">
        <v>208</v>
      </c>
      <c r="BD359" t="s">
        <v>74</v>
      </c>
      <c r="BE359" t="s">
        <v>7015</v>
      </c>
      <c r="BF359" t="str">
        <f>HYPERLINK("http://dx.doi.org/10.1016/j.chemgeo.2012.07.001","http://dx.doi.org/10.1016/j.chemgeo.2012.07.001")</f>
        <v>http://dx.doi.org/10.1016/j.chemgeo.2012.07.001</v>
      </c>
      <c r="BG359" t="s">
        <v>74</v>
      </c>
      <c r="BH359" t="s">
        <v>74</v>
      </c>
      <c r="BI359">
        <v>17</v>
      </c>
      <c r="BJ359" t="s">
        <v>241</v>
      </c>
      <c r="BK359" t="s">
        <v>98</v>
      </c>
      <c r="BL359" t="s">
        <v>241</v>
      </c>
      <c r="BM359" t="s">
        <v>6998</v>
      </c>
      <c r="BN359" t="s">
        <v>74</v>
      </c>
      <c r="BO359" t="s">
        <v>74</v>
      </c>
      <c r="BP359" t="s">
        <v>74</v>
      </c>
      <c r="BQ359" t="s">
        <v>74</v>
      </c>
      <c r="BR359" t="s">
        <v>101</v>
      </c>
      <c r="BS359" t="s">
        <v>7016</v>
      </c>
      <c r="BT359" t="str">
        <f>HYPERLINK("https%3A%2F%2Fwww.webofscience.com%2Fwos%2Fwoscc%2Ffull-record%2FWOS:000308973600015","View Full Record in Web of Science")</f>
        <v>View Full Record in Web of Science</v>
      </c>
    </row>
    <row r="360" spans="1:72" x14ac:dyDescent="0.15">
      <c r="A360" t="s">
        <v>72</v>
      </c>
      <c r="B360" t="s">
        <v>7017</v>
      </c>
      <c r="C360" t="s">
        <v>74</v>
      </c>
      <c r="D360" t="s">
        <v>74</v>
      </c>
      <c r="E360" t="s">
        <v>74</v>
      </c>
      <c r="F360" t="s">
        <v>7018</v>
      </c>
      <c r="G360" t="s">
        <v>74</v>
      </c>
      <c r="H360" t="s">
        <v>74</v>
      </c>
      <c r="I360" t="s">
        <v>7019</v>
      </c>
      <c r="J360" t="s">
        <v>7020</v>
      </c>
      <c r="K360" t="s">
        <v>74</v>
      </c>
      <c r="L360" t="s">
        <v>74</v>
      </c>
      <c r="M360" t="s">
        <v>78</v>
      </c>
      <c r="N360" t="s">
        <v>79</v>
      </c>
      <c r="O360" t="s">
        <v>74</v>
      </c>
      <c r="P360" t="s">
        <v>74</v>
      </c>
      <c r="Q360" t="s">
        <v>74</v>
      </c>
      <c r="R360" t="s">
        <v>74</v>
      </c>
      <c r="S360" t="s">
        <v>74</v>
      </c>
      <c r="T360" t="s">
        <v>7021</v>
      </c>
      <c r="U360" t="s">
        <v>7022</v>
      </c>
      <c r="V360" t="s">
        <v>7023</v>
      </c>
      <c r="W360" t="s">
        <v>7024</v>
      </c>
      <c r="X360" t="s">
        <v>7025</v>
      </c>
      <c r="Y360" t="s">
        <v>7026</v>
      </c>
      <c r="Z360" t="s">
        <v>7027</v>
      </c>
      <c r="AA360" t="s">
        <v>7028</v>
      </c>
      <c r="AB360" t="s">
        <v>7029</v>
      </c>
      <c r="AC360" t="s">
        <v>7030</v>
      </c>
      <c r="AD360" t="s">
        <v>7031</v>
      </c>
      <c r="AE360" t="s">
        <v>7032</v>
      </c>
      <c r="AF360" t="s">
        <v>74</v>
      </c>
      <c r="AG360">
        <v>90</v>
      </c>
      <c r="AH360">
        <v>21</v>
      </c>
      <c r="AI360">
        <v>21</v>
      </c>
      <c r="AJ360">
        <v>0</v>
      </c>
      <c r="AK360">
        <v>41</v>
      </c>
      <c r="AL360" t="s">
        <v>7033</v>
      </c>
      <c r="AM360" t="s">
        <v>7034</v>
      </c>
      <c r="AN360" t="s">
        <v>7035</v>
      </c>
      <c r="AO360" t="s">
        <v>7036</v>
      </c>
      <c r="AP360" t="s">
        <v>7037</v>
      </c>
      <c r="AQ360" t="s">
        <v>74</v>
      </c>
      <c r="AR360" t="s">
        <v>7038</v>
      </c>
      <c r="AS360" t="s">
        <v>7039</v>
      </c>
      <c r="AT360" t="s">
        <v>7040</v>
      </c>
      <c r="AU360">
        <v>2012</v>
      </c>
      <c r="AV360">
        <v>114</v>
      </c>
      <c r="AW360" t="s">
        <v>74</v>
      </c>
      <c r="AX360" t="s">
        <v>74</v>
      </c>
      <c r="AY360" t="s">
        <v>74</v>
      </c>
      <c r="AZ360" t="s">
        <v>74</v>
      </c>
      <c r="BA360" t="s">
        <v>74</v>
      </c>
      <c r="BB360">
        <v>1</v>
      </c>
      <c r="BC360">
        <v>14</v>
      </c>
      <c r="BD360" t="s">
        <v>74</v>
      </c>
      <c r="BE360" t="s">
        <v>7041</v>
      </c>
      <c r="BF360" t="str">
        <f>HYPERLINK("http://dx.doi.org/10.1016/j.jphotobiol.2012.03.011","http://dx.doi.org/10.1016/j.jphotobiol.2012.03.011")</f>
        <v>http://dx.doi.org/10.1016/j.jphotobiol.2012.03.011</v>
      </c>
      <c r="BG360" t="s">
        <v>74</v>
      </c>
      <c r="BH360" t="s">
        <v>74</v>
      </c>
      <c r="BI360">
        <v>14</v>
      </c>
      <c r="BJ360" t="s">
        <v>1676</v>
      </c>
      <c r="BK360" t="s">
        <v>98</v>
      </c>
      <c r="BL360" t="s">
        <v>1676</v>
      </c>
      <c r="BM360" t="s">
        <v>7042</v>
      </c>
      <c r="BN360">
        <v>22682778</v>
      </c>
      <c r="BO360" t="s">
        <v>74</v>
      </c>
      <c r="BP360" t="s">
        <v>74</v>
      </c>
      <c r="BQ360" t="s">
        <v>74</v>
      </c>
      <c r="BR360" t="s">
        <v>101</v>
      </c>
      <c r="BS360" t="s">
        <v>7043</v>
      </c>
      <c r="BT360" t="str">
        <f>HYPERLINK("https%3A%2F%2Fwww.webofscience.com%2Fwos%2Fwoscc%2Ffull-record%2FWOS:000307415500001","View Full Record in Web of Science")</f>
        <v>View Full Record in Web of Science</v>
      </c>
    </row>
    <row r="361" spans="1:72" x14ac:dyDescent="0.15">
      <c r="A361" t="s">
        <v>72</v>
      </c>
      <c r="B361" t="s">
        <v>7044</v>
      </c>
      <c r="C361" t="s">
        <v>74</v>
      </c>
      <c r="D361" t="s">
        <v>74</v>
      </c>
      <c r="E361" t="s">
        <v>74</v>
      </c>
      <c r="F361" t="s">
        <v>7045</v>
      </c>
      <c r="G361" t="s">
        <v>74</v>
      </c>
      <c r="H361" t="s">
        <v>74</v>
      </c>
      <c r="I361" t="s">
        <v>7046</v>
      </c>
      <c r="J361" t="s">
        <v>7047</v>
      </c>
      <c r="K361" t="s">
        <v>74</v>
      </c>
      <c r="L361" t="s">
        <v>74</v>
      </c>
      <c r="M361" t="s">
        <v>78</v>
      </c>
      <c r="N361" t="s">
        <v>79</v>
      </c>
      <c r="O361" t="s">
        <v>74</v>
      </c>
      <c r="P361" t="s">
        <v>74</v>
      </c>
      <c r="Q361" t="s">
        <v>74</v>
      </c>
      <c r="R361" t="s">
        <v>74</v>
      </c>
      <c r="S361" t="s">
        <v>74</v>
      </c>
      <c r="T361" t="s">
        <v>7048</v>
      </c>
      <c r="U361" t="s">
        <v>7049</v>
      </c>
      <c r="V361" t="s">
        <v>7050</v>
      </c>
      <c r="W361" t="s">
        <v>7051</v>
      </c>
      <c r="X361" t="s">
        <v>7052</v>
      </c>
      <c r="Y361" t="s">
        <v>7053</v>
      </c>
      <c r="Z361" t="s">
        <v>7054</v>
      </c>
      <c r="AA361" t="s">
        <v>7055</v>
      </c>
      <c r="AB361" t="s">
        <v>7056</v>
      </c>
      <c r="AC361" t="s">
        <v>74</v>
      </c>
      <c r="AD361" t="s">
        <v>74</v>
      </c>
      <c r="AE361" t="s">
        <v>74</v>
      </c>
      <c r="AF361" t="s">
        <v>74</v>
      </c>
      <c r="AG361">
        <v>62</v>
      </c>
      <c r="AH361">
        <v>11</v>
      </c>
      <c r="AI361">
        <v>11</v>
      </c>
      <c r="AJ361">
        <v>1</v>
      </c>
      <c r="AK361">
        <v>20</v>
      </c>
      <c r="AL361" t="s">
        <v>7057</v>
      </c>
      <c r="AM361" t="s">
        <v>3019</v>
      </c>
      <c r="AN361" t="s">
        <v>3020</v>
      </c>
      <c r="AO361" t="s">
        <v>7058</v>
      </c>
      <c r="AP361" t="s">
        <v>74</v>
      </c>
      <c r="AQ361" t="s">
        <v>74</v>
      </c>
      <c r="AR361" t="s">
        <v>7059</v>
      </c>
      <c r="AS361" t="s">
        <v>7060</v>
      </c>
      <c r="AT361" t="s">
        <v>7061</v>
      </c>
      <c r="AU361">
        <v>2012</v>
      </c>
      <c r="AV361">
        <v>3</v>
      </c>
      <c r="AW361">
        <v>3</v>
      </c>
      <c r="AX361" t="s">
        <v>74</v>
      </c>
      <c r="AY361" t="s">
        <v>74</v>
      </c>
      <c r="AZ361" t="s">
        <v>74</v>
      </c>
      <c r="BA361" t="s">
        <v>74</v>
      </c>
      <c r="BB361">
        <v>320</v>
      </c>
      <c r="BC361">
        <v>351</v>
      </c>
      <c r="BD361" t="s">
        <v>74</v>
      </c>
      <c r="BE361" t="s">
        <v>7062</v>
      </c>
      <c r="BF361" t="str">
        <f>HYPERLINK("http://dx.doi.org/10.3390/atmos3030320","http://dx.doi.org/10.3390/atmos3030320")</f>
        <v>http://dx.doi.org/10.3390/atmos3030320</v>
      </c>
      <c r="BG361" t="s">
        <v>74</v>
      </c>
      <c r="BH361" t="s">
        <v>74</v>
      </c>
      <c r="BI361">
        <v>32</v>
      </c>
      <c r="BJ361" t="s">
        <v>4129</v>
      </c>
      <c r="BK361" t="s">
        <v>98</v>
      </c>
      <c r="BL361" t="s">
        <v>2844</v>
      </c>
      <c r="BM361" t="s">
        <v>7063</v>
      </c>
      <c r="BN361" t="s">
        <v>74</v>
      </c>
      <c r="BO361" t="s">
        <v>998</v>
      </c>
      <c r="BP361" t="s">
        <v>74</v>
      </c>
      <c r="BQ361" t="s">
        <v>74</v>
      </c>
      <c r="BR361" t="s">
        <v>101</v>
      </c>
      <c r="BS361" t="s">
        <v>7064</v>
      </c>
      <c r="BT361" t="str">
        <f>HYPERLINK("https%3A%2F%2Fwww.webofscience.com%2Fwos%2Fwoscc%2Ffull-record%2FWOS:000321247800002","View Full Record in Web of Science")</f>
        <v>View Full Record in Web of Science</v>
      </c>
    </row>
    <row r="362" spans="1:72" x14ac:dyDescent="0.15">
      <c r="A362" t="s">
        <v>72</v>
      </c>
      <c r="B362" t="s">
        <v>7065</v>
      </c>
      <c r="C362" t="s">
        <v>74</v>
      </c>
      <c r="D362" t="s">
        <v>74</v>
      </c>
      <c r="E362" t="s">
        <v>74</v>
      </c>
      <c r="F362" t="s">
        <v>7066</v>
      </c>
      <c r="G362" t="s">
        <v>74</v>
      </c>
      <c r="H362" t="s">
        <v>74</v>
      </c>
      <c r="I362" t="s">
        <v>7067</v>
      </c>
      <c r="J362" t="s">
        <v>7047</v>
      </c>
      <c r="K362" t="s">
        <v>74</v>
      </c>
      <c r="L362" t="s">
        <v>74</v>
      </c>
      <c r="M362" t="s">
        <v>78</v>
      </c>
      <c r="N362" t="s">
        <v>79</v>
      </c>
      <c r="O362" t="s">
        <v>74</v>
      </c>
      <c r="P362" t="s">
        <v>74</v>
      </c>
      <c r="Q362" t="s">
        <v>74</v>
      </c>
      <c r="R362" t="s">
        <v>74</v>
      </c>
      <c r="S362" t="s">
        <v>74</v>
      </c>
      <c r="T362" t="s">
        <v>7068</v>
      </c>
      <c r="U362" t="s">
        <v>7069</v>
      </c>
      <c r="V362" t="s">
        <v>7070</v>
      </c>
      <c r="W362" t="s">
        <v>7071</v>
      </c>
      <c r="X362" t="s">
        <v>3762</v>
      </c>
      <c r="Y362" t="s">
        <v>7072</v>
      </c>
      <c r="Z362" t="s">
        <v>7073</v>
      </c>
      <c r="AA362" t="s">
        <v>7074</v>
      </c>
      <c r="AB362" t="s">
        <v>7075</v>
      </c>
      <c r="AC362" t="s">
        <v>7076</v>
      </c>
      <c r="AD362" t="s">
        <v>7076</v>
      </c>
      <c r="AE362" t="s">
        <v>7077</v>
      </c>
      <c r="AF362" t="s">
        <v>74</v>
      </c>
      <c r="AG362">
        <v>71</v>
      </c>
      <c r="AH362">
        <v>8</v>
      </c>
      <c r="AI362">
        <v>9</v>
      </c>
      <c r="AJ362">
        <v>1</v>
      </c>
      <c r="AK362">
        <v>14</v>
      </c>
      <c r="AL362" t="s">
        <v>3018</v>
      </c>
      <c r="AM362" t="s">
        <v>3019</v>
      </c>
      <c r="AN362" t="s">
        <v>3020</v>
      </c>
      <c r="AO362" t="s">
        <v>74</v>
      </c>
      <c r="AP362" t="s">
        <v>7058</v>
      </c>
      <c r="AQ362" t="s">
        <v>74</v>
      </c>
      <c r="AR362" t="s">
        <v>7059</v>
      </c>
      <c r="AS362" t="s">
        <v>7060</v>
      </c>
      <c r="AT362" t="s">
        <v>7061</v>
      </c>
      <c r="AU362">
        <v>2012</v>
      </c>
      <c r="AV362">
        <v>3</v>
      </c>
      <c r="AW362">
        <v>3</v>
      </c>
      <c r="AX362" t="s">
        <v>74</v>
      </c>
      <c r="AY362" t="s">
        <v>74</v>
      </c>
      <c r="AZ362" t="s">
        <v>74</v>
      </c>
      <c r="BA362" t="s">
        <v>74</v>
      </c>
      <c r="BB362">
        <v>419</v>
      </c>
      <c r="BC362">
        <v>450</v>
      </c>
      <c r="BD362" t="s">
        <v>74</v>
      </c>
      <c r="BE362" t="s">
        <v>7078</v>
      </c>
      <c r="BF362" t="str">
        <f>HYPERLINK("http://dx.doi.org/10.3390/atmos3030419","http://dx.doi.org/10.3390/atmos3030419")</f>
        <v>http://dx.doi.org/10.3390/atmos3030419</v>
      </c>
      <c r="BG362" t="s">
        <v>74</v>
      </c>
      <c r="BH362" t="s">
        <v>74</v>
      </c>
      <c r="BI362">
        <v>32</v>
      </c>
      <c r="BJ362" t="s">
        <v>4129</v>
      </c>
      <c r="BK362" t="s">
        <v>98</v>
      </c>
      <c r="BL362" t="s">
        <v>2844</v>
      </c>
      <c r="BM362" t="s">
        <v>7063</v>
      </c>
      <c r="BN362" t="s">
        <v>74</v>
      </c>
      <c r="BO362" t="s">
        <v>3028</v>
      </c>
      <c r="BP362" t="s">
        <v>74</v>
      </c>
      <c r="BQ362" t="s">
        <v>74</v>
      </c>
      <c r="BR362" t="s">
        <v>101</v>
      </c>
      <c r="BS362" t="s">
        <v>7079</v>
      </c>
      <c r="BT362" t="str">
        <f>HYPERLINK("https%3A%2F%2Fwww.webofscience.com%2Fwos%2Fwoscc%2Ffull-record%2FWOS:000321247800006","View Full Record in Web of Science")</f>
        <v>View Full Record in Web of Science</v>
      </c>
    </row>
    <row r="363" spans="1:72" x14ac:dyDescent="0.15">
      <c r="A363" t="s">
        <v>72</v>
      </c>
      <c r="B363" t="s">
        <v>7080</v>
      </c>
      <c r="C363" t="s">
        <v>74</v>
      </c>
      <c r="D363" t="s">
        <v>74</v>
      </c>
      <c r="E363" t="s">
        <v>74</v>
      </c>
      <c r="F363" t="s">
        <v>7081</v>
      </c>
      <c r="G363" t="s">
        <v>74</v>
      </c>
      <c r="H363" t="s">
        <v>74</v>
      </c>
      <c r="I363" t="s">
        <v>7082</v>
      </c>
      <c r="J363" t="s">
        <v>7083</v>
      </c>
      <c r="K363" t="s">
        <v>74</v>
      </c>
      <c r="L363" t="s">
        <v>74</v>
      </c>
      <c r="M363" t="s">
        <v>78</v>
      </c>
      <c r="N363" t="s">
        <v>974</v>
      </c>
      <c r="O363" t="s">
        <v>74</v>
      </c>
      <c r="P363" t="s">
        <v>74</v>
      </c>
      <c r="Q363" t="s">
        <v>74</v>
      </c>
      <c r="R363" t="s">
        <v>74</v>
      </c>
      <c r="S363" t="s">
        <v>74</v>
      </c>
      <c r="T363" t="s">
        <v>7084</v>
      </c>
      <c r="U363" t="s">
        <v>7085</v>
      </c>
      <c r="V363" t="s">
        <v>7086</v>
      </c>
      <c r="W363" t="s">
        <v>7087</v>
      </c>
      <c r="X363" t="s">
        <v>7088</v>
      </c>
      <c r="Y363" t="s">
        <v>7089</v>
      </c>
      <c r="Z363" t="s">
        <v>7090</v>
      </c>
      <c r="AA363" t="s">
        <v>7091</v>
      </c>
      <c r="AB363" t="s">
        <v>7092</v>
      </c>
      <c r="AC363" t="s">
        <v>74</v>
      </c>
      <c r="AD363" t="s">
        <v>74</v>
      </c>
      <c r="AE363" t="s">
        <v>74</v>
      </c>
      <c r="AF363" t="s">
        <v>74</v>
      </c>
      <c r="AG363">
        <v>42</v>
      </c>
      <c r="AH363">
        <v>1</v>
      </c>
      <c r="AI363">
        <v>1</v>
      </c>
      <c r="AJ363">
        <v>2</v>
      </c>
      <c r="AK363">
        <v>86</v>
      </c>
      <c r="AL363" t="s">
        <v>7093</v>
      </c>
      <c r="AM363" t="s">
        <v>7094</v>
      </c>
      <c r="AN363" t="s">
        <v>7095</v>
      </c>
      <c r="AO363" t="s">
        <v>7096</v>
      </c>
      <c r="AP363" t="s">
        <v>7097</v>
      </c>
      <c r="AQ363" t="s">
        <v>74</v>
      </c>
      <c r="AR363" t="s">
        <v>7098</v>
      </c>
      <c r="AS363" t="s">
        <v>7099</v>
      </c>
      <c r="AT363" t="s">
        <v>7061</v>
      </c>
      <c r="AU363">
        <v>2012</v>
      </c>
      <c r="AV363">
        <v>82</v>
      </c>
      <c r="AW363">
        <v>3</v>
      </c>
      <c r="AX363" t="s">
        <v>74</v>
      </c>
      <c r="AY363" t="s">
        <v>74</v>
      </c>
      <c r="AZ363" t="s">
        <v>74</v>
      </c>
      <c r="BA363" t="s">
        <v>74</v>
      </c>
      <c r="BB363">
        <v>353</v>
      </c>
      <c r="BC363">
        <v>359</v>
      </c>
      <c r="BD363" t="s">
        <v>74</v>
      </c>
      <c r="BE363" t="s">
        <v>7100</v>
      </c>
      <c r="BF363" t="str">
        <f>HYPERLINK("http://dx.doi.org/10.1007/s40011-012-0054-9","http://dx.doi.org/10.1007/s40011-012-0054-9")</f>
        <v>http://dx.doi.org/10.1007/s40011-012-0054-9</v>
      </c>
      <c r="BG363" t="s">
        <v>74</v>
      </c>
      <c r="BH363" t="s">
        <v>74</v>
      </c>
      <c r="BI363">
        <v>7</v>
      </c>
      <c r="BJ363" t="s">
        <v>1966</v>
      </c>
      <c r="BK363" t="s">
        <v>98</v>
      </c>
      <c r="BL363" t="s">
        <v>1967</v>
      </c>
      <c r="BM363" t="s">
        <v>7101</v>
      </c>
      <c r="BN363" t="s">
        <v>74</v>
      </c>
      <c r="BO363" t="s">
        <v>74</v>
      </c>
      <c r="BP363" t="s">
        <v>74</v>
      </c>
      <c r="BQ363" t="s">
        <v>74</v>
      </c>
      <c r="BR363" t="s">
        <v>101</v>
      </c>
      <c r="BS363" t="s">
        <v>7102</v>
      </c>
      <c r="BT363" t="str">
        <f>HYPERLINK("https%3A%2F%2Fwww.webofscience.com%2Fwos%2Fwoscc%2Ffull-record%2FWOS:000314458500003","View Full Record in Web of Science")</f>
        <v>View Full Record in Web of Science</v>
      </c>
    </row>
    <row r="364" spans="1:72" x14ac:dyDescent="0.15">
      <c r="A364" t="s">
        <v>72</v>
      </c>
      <c r="B364" t="s">
        <v>7103</v>
      </c>
      <c r="C364" t="s">
        <v>74</v>
      </c>
      <c r="D364" t="s">
        <v>74</v>
      </c>
      <c r="E364" t="s">
        <v>74</v>
      </c>
      <c r="F364" t="s">
        <v>7104</v>
      </c>
      <c r="G364" t="s">
        <v>74</v>
      </c>
      <c r="H364" t="s">
        <v>74</v>
      </c>
      <c r="I364" t="s">
        <v>7105</v>
      </c>
      <c r="J364" t="s">
        <v>947</v>
      </c>
      <c r="K364" t="s">
        <v>74</v>
      </c>
      <c r="L364" t="s">
        <v>74</v>
      </c>
      <c r="M364" t="s">
        <v>78</v>
      </c>
      <c r="N364" t="s">
        <v>79</v>
      </c>
      <c r="O364" t="s">
        <v>74</v>
      </c>
      <c r="P364" t="s">
        <v>74</v>
      </c>
      <c r="Q364" t="s">
        <v>74</v>
      </c>
      <c r="R364" t="s">
        <v>74</v>
      </c>
      <c r="S364" t="s">
        <v>74</v>
      </c>
      <c r="T364" t="s">
        <v>7106</v>
      </c>
      <c r="U364" t="s">
        <v>7107</v>
      </c>
      <c r="V364" t="s">
        <v>7108</v>
      </c>
      <c r="W364" t="s">
        <v>7109</v>
      </c>
      <c r="X364" t="s">
        <v>7110</v>
      </c>
      <c r="Y364" t="s">
        <v>7111</v>
      </c>
      <c r="Z364" t="s">
        <v>7112</v>
      </c>
      <c r="AA364" t="s">
        <v>7113</v>
      </c>
      <c r="AB364" t="s">
        <v>7114</v>
      </c>
      <c r="AC364" t="s">
        <v>7115</v>
      </c>
      <c r="AD364" t="s">
        <v>7115</v>
      </c>
      <c r="AE364" t="s">
        <v>7116</v>
      </c>
      <c r="AF364" t="s">
        <v>74</v>
      </c>
      <c r="AG364">
        <v>76</v>
      </c>
      <c r="AH364">
        <v>11</v>
      </c>
      <c r="AI364">
        <v>11</v>
      </c>
      <c r="AJ364">
        <v>1</v>
      </c>
      <c r="AK364">
        <v>30</v>
      </c>
      <c r="AL364" t="s">
        <v>188</v>
      </c>
      <c r="AM364" t="s">
        <v>189</v>
      </c>
      <c r="AN364" t="s">
        <v>190</v>
      </c>
      <c r="AO364" t="s">
        <v>960</v>
      </c>
      <c r="AP364" t="s">
        <v>961</v>
      </c>
      <c r="AQ364" t="s">
        <v>74</v>
      </c>
      <c r="AR364" t="s">
        <v>962</v>
      </c>
      <c r="AS364" t="s">
        <v>963</v>
      </c>
      <c r="AT364" t="s">
        <v>7117</v>
      </c>
      <c r="AU364">
        <v>2012</v>
      </c>
      <c r="AV364">
        <v>323</v>
      </c>
      <c r="AW364" t="s">
        <v>74</v>
      </c>
      <c r="AX364" t="s">
        <v>74</v>
      </c>
      <c r="AY364" t="s">
        <v>74</v>
      </c>
      <c r="AZ364" t="s">
        <v>74</v>
      </c>
      <c r="BA364" t="s">
        <v>74</v>
      </c>
      <c r="BB364">
        <v>1</v>
      </c>
      <c r="BC364">
        <v>13</v>
      </c>
      <c r="BD364" t="s">
        <v>74</v>
      </c>
      <c r="BE364" t="s">
        <v>7118</v>
      </c>
      <c r="BF364" t="str">
        <f>HYPERLINK("http://dx.doi.org/10.1016/j.margeo.2012.07.011","http://dx.doi.org/10.1016/j.margeo.2012.07.011")</f>
        <v>http://dx.doi.org/10.1016/j.margeo.2012.07.011</v>
      </c>
      <c r="BG364" t="s">
        <v>74</v>
      </c>
      <c r="BH364" t="s">
        <v>74</v>
      </c>
      <c r="BI364">
        <v>13</v>
      </c>
      <c r="BJ364" t="s">
        <v>966</v>
      </c>
      <c r="BK364" t="s">
        <v>98</v>
      </c>
      <c r="BL364" t="s">
        <v>967</v>
      </c>
      <c r="BM364" t="s">
        <v>7119</v>
      </c>
      <c r="BN364" t="s">
        <v>74</v>
      </c>
      <c r="BO364" t="s">
        <v>74</v>
      </c>
      <c r="BP364" t="s">
        <v>74</v>
      </c>
      <c r="BQ364" t="s">
        <v>74</v>
      </c>
      <c r="BR364" t="s">
        <v>101</v>
      </c>
      <c r="BS364" t="s">
        <v>7120</v>
      </c>
      <c r="BT364" t="str">
        <f>HYPERLINK("https%3A%2F%2Fwww.webofscience.com%2Fwos%2Fwoscc%2Ffull-record%2FWOS:000310123700001","View Full Record in Web of Science")</f>
        <v>View Full Record in Web of Science</v>
      </c>
    </row>
    <row r="365" spans="1:72" x14ac:dyDescent="0.15">
      <c r="A365" t="s">
        <v>72</v>
      </c>
      <c r="B365" t="s">
        <v>7121</v>
      </c>
      <c r="C365" t="s">
        <v>74</v>
      </c>
      <c r="D365" t="s">
        <v>74</v>
      </c>
      <c r="E365" t="s">
        <v>74</v>
      </c>
      <c r="F365" t="s">
        <v>7122</v>
      </c>
      <c r="G365" t="s">
        <v>74</v>
      </c>
      <c r="H365" t="s">
        <v>74</v>
      </c>
      <c r="I365" t="s">
        <v>7123</v>
      </c>
      <c r="J365" t="s">
        <v>1121</v>
      </c>
      <c r="K365" t="s">
        <v>74</v>
      </c>
      <c r="L365" t="s">
        <v>74</v>
      </c>
      <c r="M365" t="s">
        <v>78</v>
      </c>
      <c r="N365" t="s">
        <v>79</v>
      </c>
      <c r="O365" t="s">
        <v>74</v>
      </c>
      <c r="P365" t="s">
        <v>74</v>
      </c>
      <c r="Q365" t="s">
        <v>74</v>
      </c>
      <c r="R365" t="s">
        <v>74</v>
      </c>
      <c r="S365" t="s">
        <v>74</v>
      </c>
      <c r="T365" t="s">
        <v>74</v>
      </c>
      <c r="U365" t="s">
        <v>7124</v>
      </c>
      <c r="V365" t="s">
        <v>7125</v>
      </c>
      <c r="W365" t="s">
        <v>7126</v>
      </c>
      <c r="X365" t="s">
        <v>4263</v>
      </c>
      <c r="Y365" t="s">
        <v>7127</v>
      </c>
      <c r="Z365" t="s">
        <v>7128</v>
      </c>
      <c r="AA365" t="s">
        <v>7129</v>
      </c>
      <c r="AB365" t="s">
        <v>7130</v>
      </c>
      <c r="AC365" t="s">
        <v>7131</v>
      </c>
      <c r="AD365" t="s">
        <v>7132</v>
      </c>
      <c r="AE365" t="s">
        <v>7133</v>
      </c>
      <c r="AF365" t="s">
        <v>74</v>
      </c>
      <c r="AG365">
        <v>43</v>
      </c>
      <c r="AH365">
        <v>8</v>
      </c>
      <c r="AI365">
        <v>8</v>
      </c>
      <c r="AJ365">
        <v>0</v>
      </c>
      <c r="AK365">
        <v>14</v>
      </c>
      <c r="AL365" t="s">
        <v>1130</v>
      </c>
      <c r="AM365" t="s">
        <v>371</v>
      </c>
      <c r="AN365" t="s">
        <v>1131</v>
      </c>
      <c r="AO365" t="s">
        <v>1132</v>
      </c>
      <c r="AP365" t="s">
        <v>7134</v>
      </c>
      <c r="AQ365" t="s">
        <v>74</v>
      </c>
      <c r="AR365" t="s">
        <v>1133</v>
      </c>
      <c r="AS365" t="s">
        <v>1134</v>
      </c>
      <c r="AT365" t="s">
        <v>7061</v>
      </c>
      <c r="AU365">
        <v>2012</v>
      </c>
      <c r="AV365">
        <v>52</v>
      </c>
      <c r="AW365">
        <v>5</v>
      </c>
      <c r="AX365" t="s">
        <v>74</v>
      </c>
      <c r="AY365" t="s">
        <v>74</v>
      </c>
      <c r="AZ365" t="s">
        <v>74</v>
      </c>
      <c r="BA365" t="s">
        <v>74</v>
      </c>
      <c r="BB365">
        <v>623</v>
      </c>
      <c r="BC365">
        <v>634</v>
      </c>
      <c r="BD365" t="s">
        <v>74</v>
      </c>
      <c r="BE365" t="s">
        <v>7135</v>
      </c>
      <c r="BF365" t="str">
        <f>HYPERLINK("http://dx.doi.org/10.1134/S0001437012050050","http://dx.doi.org/10.1134/S0001437012050050")</f>
        <v>http://dx.doi.org/10.1134/S0001437012050050</v>
      </c>
      <c r="BG365" t="s">
        <v>74</v>
      </c>
      <c r="BH365" t="s">
        <v>74</v>
      </c>
      <c r="BI365">
        <v>12</v>
      </c>
      <c r="BJ365" t="s">
        <v>941</v>
      </c>
      <c r="BK365" t="s">
        <v>98</v>
      </c>
      <c r="BL365" t="s">
        <v>941</v>
      </c>
      <c r="BM365" t="s">
        <v>7136</v>
      </c>
      <c r="BN365" t="s">
        <v>74</v>
      </c>
      <c r="BO365" t="s">
        <v>74</v>
      </c>
      <c r="BP365" t="s">
        <v>74</v>
      </c>
      <c r="BQ365" t="s">
        <v>74</v>
      </c>
      <c r="BR365" t="s">
        <v>101</v>
      </c>
      <c r="BS365" t="s">
        <v>7137</v>
      </c>
      <c r="BT365" t="str">
        <f>HYPERLINK("https%3A%2F%2Fwww.webofscience.com%2Fwos%2Fwoscc%2Ffull-record%2FWOS:000310347700005","View Full Record in Web of Science")</f>
        <v>View Full Record in Web of Science</v>
      </c>
    </row>
    <row r="366" spans="1:72" x14ac:dyDescent="0.15">
      <c r="A366" t="s">
        <v>72</v>
      </c>
      <c r="B366" t="s">
        <v>7138</v>
      </c>
      <c r="C366" t="s">
        <v>74</v>
      </c>
      <c r="D366" t="s">
        <v>74</v>
      </c>
      <c r="E366" t="s">
        <v>74</v>
      </c>
      <c r="F366" t="s">
        <v>7139</v>
      </c>
      <c r="G366" t="s">
        <v>74</v>
      </c>
      <c r="H366" t="s">
        <v>74</v>
      </c>
      <c r="I366" t="s">
        <v>7140</v>
      </c>
      <c r="J366" t="s">
        <v>7141</v>
      </c>
      <c r="K366" t="s">
        <v>74</v>
      </c>
      <c r="L366" t="s">
        <v>74</v>
      </c>
      <c r="M366" t="s">
        <v>78</v>
      </c>
      <c r="N366" t="s">
        <v>79</v>
      </c>
      <c r="O366" t="s">
        <v>74</v>
      </c>
      <c r="P366" t="s">
        <v>74</v>
      </c>
      <c r="Q366" t="s">
        <v>74</v>
      </c>
      <c r="R366" t="s">
        <v>74</v>
      </c>
      <c r="S366" t="s">
        <v>74</v>
      </c>
      <c r="T366" t="s">
        <v>7142</v>
      </c>
      <c r="U366" t="s">
        <v>7143</v>
      </c>
      <c r="V366" t="s">
        <v>7144</v>
      </c>
      <c r="W366" t="s">
        <v>7145</v>
      </c>
      <c r="X366" t="s">
        <v>7146</v>
      </c>
      <c r="Y366" t="s">
        <v>7147</v>
      </c>
      <c r="Z366" t="s">
        <v>7148</v>
      </c>
      <c r="AA366" t="s">
        <v>74</v>
      </c>
      <c r="AB366" t="s">
        <v>74</v>
      </c>
      <c r="AC366" t="s">
        <v>7149</v>
      </c>
      <c r="AD366" t="s">
        <v>368</v>
      </c>
      <c r="AE366" t="s">
        <v>7150</v>
      </c>
      <c r="AF366" t="s">
        <v>74</v>
      </c>
      <c r="AG366">
        <v>73</v>
      </c>
      <c r="AH366">
        <v>12</v>
      </c>
      <c r="AI366">
        <v>13</v>
      </c>
      <c r="AJ366">
        <v>0</v>
      </c>
      <c r="AK366">
        <v>5</v>
      </c>
      <c r="AL366" t="s">
        <v>898</v>
      </c>
      <c r="AM366" t="s">
        <v>899</v>
      </c>
      <c r="AN366" t="s">
        <v>900</v>
      </c>
      <c r="AO366" t="s">
        <v>7151</v>
      </c>
      <c r="AP366" t="s">
        <v>7152</v>
      </c>
      <c r="AQ366" t="s">
        <v>74</v>
      </c>
      <c r="AR366" t="s">
        <v>7153</v>
      </c>
      <c r="AS366" t="s">
        <v>7154</v>
      </c>
      <c r="AT366" t="s">
        <v>7061</v>
      </c>
      <c r="AU366">
        <v>2012</v>
      </c>
      <c r="AV366">
        <v>99</v>
      </c>
      <c r="AW366">
        <v>9</v>
      </c>
      <c r="AX366" t="s">
        <v>74</v>
      </c>
      <c r="AY366" t="s">
        <v>74</v>
      </c>
      <c r="AZ366" t="s">
        <v>74</v>
      </c>
      <c r="BA366" t="s">
        <v>74</v>
      </c>
      <c r="BB366">
        <v>1531</v>
      </c>
      <c r="BC366">
        <v>1540</v>
      </c>
      <c r="BD366" t="s">
        <v>74</v>
      </c>
      <c r="BE366" t="s">
        <v>7155</v>
      </c>
      <c r="BF366" t="str">
        <f>HYPERLINK("http://dx.doi.org/10.3732/ajb.1200142","http://dx.doi.org/10.3732/ajb.1200142")</f>
        <v>http://dx.doi.org/10.3732/ajb.1200142</v>
      </c>
      <c r="BG366" t="s">
        <v>74</v>
      </c>
      <c r="BH366" t="s">
        <v>74</v>
      </c>
      <c r="BI366">
        <v>10</v>
      </c>
      <c r="BJ366" t="s">
        <v>2056</v>
      </c>
      <c r="BK366" t="s">
        <v>98</v>
      </c>
      <c r="BL366" t="s">
        <v>2056</v>
      </c>
      <c r="BM366" t="s">
        <v>7156</v>
      </c>
      <c r="BN366">
        <v>22922397</v>
      </c>
      <c r="BO366" t="s">
        <v>74</v>
      </c>
      <c r="BP366" t="s">
        <v>74</v>
      </c>
      <c r="BQ366" t="s">
        <v>74</v>
      </c>
      <c r="BR366" t="s">
        <v>101</v>
      </c>
      <c r="BS366" t="s">
        <v>7157</v>
      </c>
      <c r="BT366" t="str">
        <f>HYPERLINK("https%3A%2F%2Fwww.webofscience.com%2Fwos%2Fwoscc%2Ffull-record%2FWOS:000308689800023","View Full Record in Web of Science")</f>
        <v>View Full Record in Web of Science</v>
      </c>
    </row>
    <row r="367" spans="1:72" x14ac:dyDescent="0.15">
      <c r="A367" t="s">
        <v>72</v>
      </c>
      <c r="B367" t="s">
        <v>7158</v>
      </c>
      <c r="C367" t="s">
        <v>74</v>
      </c>
      <c r="D367" t="s">
        <v>74</v>
      </c>
      <c r="E367" t="s">
        <v>74</v>
      </c>
      <c r="F367" t="s">
        <v>7159</v>
      </c>
      <c r="G367" t="s">
        <v>74</v>
      </c>
      <c r="H367" t="s">
        <v>74</v>
      </c>
      <c r="I367" t="s">
        <v>7160</v>
      </c>
      <c r="J367" t="s">
        <v>7161</v>
      </c>
      <c r="K367" t="s">
        <v>74</v>
      </c>
      <c r="L367" t="s">
        <v>74</v>
      </c>
      <c r="M367" t="s">
        <v>78</v>
      </c>
      <c r="N367" t="s">
        <v>79</v>
      </c>
      <c r="O367" t="s">
        <v>74</v>
      </c>
      <c r="P367" t="s">
        <v>74</v>
      </c>
      <c r="Q367" t="s">
        <v>74</v>
      </c>
      <c r="R367" t="s">
        <v>74</v>
      </c>
      <c r="S367" t="s">
        <v>74</v>
      </c>
      <c r="T367" t="s">
        <v>74</v>
      </c>
      <c r="U367" t="s">
        <v>7162</v>
      </c>
      <c r="V367" t="s">
        <v>7163</v>
      </c>
      <c r="W367" t="s">
        <v>7164</v>
      </c>
      <c r="X367" t="s">
        <v>7165</v>
      </c>
      <c r="Y367" t="s">
        <v>7166</v>
      </c>
      <c r="Z367" t="s">
        <v>7167</v>
      </c>
      <c r="AA367" t="s">
        <v>7168</v>
      </c>
      <c r="AB367" t="s">
        <v>7169</v>
      </c>
      <c r="AC367" t="s">
        <v>7170</v>
      </c>
      <c r="AD367" t="s">
        <v>7171</v>
      </c>
      <c r="AE367" t="s">
        <v>7172</v>
      </c>
      <c r="AF367" t="s">
        <v>74</v>
      </c>
      <c r="AG367">
        <v>37</v>
      </c>
      <c r="AH367">
        <v>17</v>
      </c>
      <c r="AI367">
        <v>17</v>
      </c>
      <c r="AJ367">
        <v>0</v>
      </c>
      <c r="AK367">
        <v>1</v>
      </c>
      <c r="AL367" t="s">
        <v>7173</v>
      </c>
      <c r="AM367" t="s">
        <v>7174</v>
      </c>
      <c r="AN367" t="s">
        <v>7175</v>
      </c>
      <c r="AO367" t="s">
        <v>7176</v>
      </c>
      <c r="AP367" t="s">
        <v>74</v>
      </c>
      <c r="AQ367" t="s">
        <v>74</v>
      </c>
      <c r="AR367" t="s">
        <v>7177</v>
      </c>
      <c r="AS367" t="s">
        <v>7178</v>
      </c>
      <c r="AT367" t="s">
        <v>7061</v>
      </c>
      <c r="AU367">
        <v>2012</v>
      </c>
      <c r="AV367">
        <v>62</v>
      </c>
      <c r="AW367" t="s">
        <v>74</v>
      </c>
      <c r="AX367">
        <v>9</v>
      </c>
      <c r="AY367" t="s">
        <v>74</v>
      </c>
      <c r="AZ367" t="s">
        <v>74</v>
      </c>
      <c r="BA367" t="s">
        <v>74</v>
      </c>
      <c r="BB367">
        <v>2133</v>
      </c>
      <c r="BC367">
        <v>2139</v>
      </c>
      <c r="BD367" t="s">
        <v>74</v>
      </c>
      <c r="BE367" t="s">
        <v>7179</v>
      </c>
      <c r="BF367" t="str">
        <f>HYPERLINK("http://dx.doi.org/10.1099/ijs.0.038661-0","http://dx.doi.org/10.1099/ijs.0.038661-0")</f>
        <v>http://dx.doi.org/10.1099/ijs.0.038661-0</v>
      </c>
      <c r="BG367" t="s">
        <v>74</v>
      </c>
      <c r="BH367" t="s">
        <v>74</v>
      </c>
      <c r="BI367">
        <v>7</v>
      </c>
      <c r="BJ367" t="s">
        <v>775</v>
      </c>
      <c r="BK367" t="s">
        <v>98</v>
      </c>
      <c r="BL367" t="s">
        <v>775</v>
      </c>
      <c r="BM367" t="s">
        <v>7180</v>
      </c>
      <c r="BN367">
        <v>22039004</v>
      </c>
      <c r="BO367" t="s">
        <v>607</v>
      </c>
      <c r="BP367" t="s">
        <v>74</v>
      </c>
      <c r="BQ367" t="s">
        <v>74</v>
      </c>
      <c r="BR367" t="s">
        <v>101</v>
      </c>
      <c r="BS367" t="s">
        <v>7181</v>
      </c>
      <c r="BT367" t="str">
        <f>HYPERLINK("https%3A%2F%2Fwww.webofscience.com%2Fwos%2Fwoscc%2Ffull-record%2FWOS:000310048600013","View Full Record in Web of Science")</f>
        <v>View Full Record in Web of Science</v>
      </c>
    </row>
    <row r="368" spans="1:72" x14ac:dyDescent="0.15">
      <c r="A368" t="s">
        <v>72</v>
      </c>
      <c r="B368" t="s">
        <v>7182</v>
      </c>
      <c r="C368" t="s">
        <v>74</v>
      </c>
      <c r="D368" t="s">
        <v>74</v>
      </c>
      <c r="E368" t="s">
        <v>74</v>
      </c>
      <c r="F368" t="s">
        <v>7183</v>
      </c>
      <c r="G368" t="s">
        <v>74</v>
      </c>
      <c r="H368" t="s">
        <v>74</v>
      </c>
      <c r="I368" t="s">
        <v>7184</v>
      </c>
      <c r="J368" t="s">
        <v>7161</v>
      </c>
      <c r="K368" t="s">
        <v>74</v>
      </c>
      <c r="L368" t="s">
        <v>74</v>
      </c>
      <c r="M368" t="s">
        <v>78</v>
      </c>
      <c r="N368" t="s">
        <v>79</v>
      </c>
      <c r="O368" t="s">
        <v>74</v>
      </c>
      <c r="P368" t="s">
        <v>74</v>
      </c>
      <c r="Q368" t="s">
        <v>74</v>
      </c>
      <c r="R368" t="s">
        <v>74</v>
      </c>
      <c r="S368" t="s">
        <v>74</v>
      </c>
      <c r="T368" t="s">
        <v>74</v>
      </c>
      <c r="U368" t="s">
        <v>7185</v>
      </c>
      <c r="V368" t="s">
        <v>7186</v>
      </c>
      <c r="W368" t="s">
        <v>7187</v>
      </c>
      <c r="X368" t="s">
        <v>4865</v>
      </c>
      <c r="Y368" t="s">
        <v>7188</v>
      </c>
      <c r="Z368" t="s">
        <v>7189</v>
      </c>
      <c r="AA368" t="s">
        <v>74</v>
      </c>
      <c r="AB368" t="s">
        <v>74</v>
      </c>
      <c r="AC368" t="s">
        <v>7190</v>
      </c>
      <c r="AD368" t="s">
        <v>7191</v>
      </c>
      <c r="AE368" t="s">
        <v>7192</v>
      </c>
      <c r="AF368" t="s">
        <v>74</v>
      </c>
      <c r="AG368">
        <v>46</v>
      </c>
      <c r="AH368">
        <v>12</v>
      </c>
      <c r="AI368">
        <v>16</v>
      </c>
      <c r="AJ368">
        <v>2</v>
      </c>
      <c r="AK368">
        <v>13</v>
      </c>
      <c r="AL368" t="s">
        <v>7193</v>
      </c>
      <c r="AM368" t="s">
        <v>434</v>
      </c>
      <c r="AN368" t="s">
        <v>7194</v>
      </c>
      <c r="AO368" t="s">
        <v>7176</v>
      </c>
      <c r="AP368" t="s">
        <v>7195</v>
      </c>
      <c r="AQ368" t="s">
        <v>74</v>
      </c>
      <c r="AR368" t="s">
        <v>7177</v>
      </c>
      <c r="AS368" t="s">
        <v>7178</v>
      </c>
      <c r="AT368" t="s">
        <v>7061</v>
      </c>
      <c r="AU368">
        <v>2012</v>
      </c>
      <c r="AV368">
        <v>62</v>
      </c>
      <c r="AW368" t="s">
        <v>74</v>
      </c>
      <c r="AX368">
        <v>9</v>
      </c>
      <c r="AY368" t="s">
        <v>74</v>
      </c>
      <c r="AZ368" t="s">
        <v>74</v>
      </c>
      <c r="BA368" t="s">
        <v>74</v>
      </c>
      <c r="BB368">
        <v>2218</v>
      </c>
      <c r="BC368">
        <v>2223</v>
      </c>
      <c r="BD368" t="s">
        <v>74</v>
      </c>
      <c r="BE368" t="s">
        <v>7196</v>
      </c>
      <c r="BF368" t="str">
        <f>HYPERLINK("http://dx.doi.org/10.1099/ijs.0.037515-0","http://dx.doi.org/10.1099/ijs.0.037515-0")</f>
        <v>http://dx.doi.org/10.1099/ijs.0.037515-0</v>
      </c>
      <c r="BG368" t="s">
        <v>74</v>
      </c>
      <c r="BH368" t="s">
        <v>74</v>
      </c>
      <c r="BI368">
        <v>6</v>
      </c>
      <c r="BJ368" t="s">
        <v>775</v>
      </c>
      <c r="BK368" t="s">
        <v>98</v>
      </c>
      <c r="BL368" t="s">
        <v>775</v>
      </c>
      <c r="BM368" t="s">
        <v>7180</v>
      </c>
      <c r="BN368">
        <v>22081722</v>
      </c>
      <c r="BO368" t="s">
        <v>74</v>
      </c>
      <c r="BP368" t="s">
        <v>74</v>
      </c>
      <c r="BQ368" t="s">
        <v>74</v>
      </c>
      <c r="BR368" t="s">
        <v>101</v>
      </c>
      <c r="BS368" t="s">
        <v>7197</v>
      </c>
      <c r="BT368" t="str">
        <f>HYPERLINK("https%3A%2F%2Fwww.webofscience.com%2Fwos%2Fwoscc%2Ffull-record%2FWOS:000310048600028","View Full Record in Web of Science")</f>
        <v>View Full Record in Web of Science</v>
      </c>
    </row>
    <row r="369" spans="1:72" x14ac:dyDescent="0.15">
      <c r="A369" t="s">
        <v>72</v>
      </c>
      <c r="B369" t="s">
        <v>7198</v>
      </c>
      <c r="C369" t="s">
        <v>74</v>
      </c>
      <c r="D369" t="s">
        <v>74</v>
      </c>
      <c r="E369" t="s">
        <v>74</v>
      </c>
      <c r="F369" t="s">
        <v>7199</v>
      </c>
      <c r="G369" t="s">
        <v>74</v>
      </c>
      <c r="H369" t="s">
        <v>74</v>
      </c>
      <c r="I369" t="s">
        <v>7200</v>
      </c>
      <c r="J369" t="s">
        <v>7161</v>
      </c>
      <c r="K369" t="s">
        <v>74</v>
      </c>
      <c r="L369" t="s">
        <v>74</v>
      </c>
      <c r="M369" t="s">
        <v>78</v>
      </c>
      <c r="N369" t="s">
        <v>79</v>
      </c>
      <c r="O369" t="s">
        <v>74</v>
      </c>
      <c r="P369" t="s">
        <v>74</v>
      </c>
      <c r="Q369" t="s">
        <v>74</v>
      </c>
      <c r="R369" t="s">
        <v>74</v>
      </c>
      <c r="S369" t="s">
        <v>74</v>
      </c>
      <c r="T369" t="s">
        <v>74</v>
      </c>
      <c r="U369" t="s">
        <v>7201</v>
      </c>
      <c r="V369" t="s">
        <v>7202</v>
      </c>
      <c r="W369" t="s">
        <v>7203</v>
      </c>
      <c r="X369" t="s">
        <v>7204</v>
      </c>
      <c r="Y369" t="s">
        <v>7166</v>
      </c>
      <c r="Z369" t="s">
        <v>7167</v>
      </c>
      <c r="AA369" t="s">
        <v>7205</v>
      </c>
      <c r="AB369" t="s">
        <v>7206</v>
      </c>
      <c r="AC369" t="s">
        <v>7207</v>
      </c>
      <c r="AD369" t="s">
        <v>7208</v>
      </c>
      <c r="AE369" t="s">
        <v>7209</v>
      </c>
      <c r="AF369" t="s">
        <v>74</v>
      </c>
      <c r="AG369">
        <v>35</v>
      </c>
      <c r="AH369">
        <v>22</v>
      </c>
      <c r="AI369">
        <v>23</v>
      </c>
      <c r="AJ369">
        <v>1</v>
      </c>
      <c r="AK369">
        <v>10</v>
      </c>
      <c r="AL369" t="s">
        <v>7173</v>
      </c>
      <c r="AM369" t="s">
        <v>7174</v>
      </c>
      <c r="AN369" t="s">
        <v>7175</v>
      </c>
      <c r="AO369" t="s">
        <v>7176</v>
      </c>
      <c r="AP369" t="s">
        <v>7195</v>
      </c>
      <c r="AQ369" t="s">
        <v>74</v>
      </c>
      <c r="AR369" t="s">
        <v>7177</v>
      </c>
      <c r="AS369" t="s">
        <v>7178</v>
      </c>
      <c r="AT369" t="s">
        <v>7061</v>
      </c>
      <c r="AU369">
        <v>2012</v>
      </c>
      <c r="AV369">
        <v>62</v>
      </c>
      <c r="AW369" t="s">
        <v>74</v>
      </c>
      <c r="AX369">
        <v>9</v>
      </c>
      <c r="AY369" t="s">
        <v>74</v>
      </c>
      <c r="AZ369" t="s">
        <v>74</v>
      </c>
      <c r="BA369" t="s">
        <v>74</v>
      </c>
      <c r="BB369">
        <v>2252</v>
      </c>
      <c r="BC369">
        <v>2258</v>
      </c>
      <c r="BD369" t="s">
        <v>74</v>
      </c>
      <c r="BE369" t="s">
        <v>7210</v>
      </c>
      <c r="BF369" t="str">
        <f>HYPERLINK("http://dx.doi.org/10.1099/ijs.0.038604-0","http://dx.doi.org/10.1099/ijs.0.038604-0")</f>
        <v>http://dx.doi.org/10.1099/ijs.0.038604-0</v>
      </c>
      <c r="BG369" t="s">
        <v>74</v>
      </c>
      <c r="BH369" t="s">
        <v>74</v>
      </c>
      <c r="BI369">
        <v>7</v>
      </c>
      <c r="BJ369" t="s">
        <v>775</v>
      </c>
      <c r="BK369" t="s">
        <v>98</v>
      </c>
      <c r="BL369" t="s">
        <v>775</v>
      </c>
      <c r="BM369" t="s">
        <v>7180</v>
      </c>
      <c r="BN369">
        <v>22081718</v>
      </c>
      <c r="BO369" t="s">
        <v>607</v>
      </c>
      <c r="BP369" t="s">
        <v>74</v>
      </c>
      <c r="BQ369" t="s">
        <v>74</v>
      </c>
      <c r="BR369" t="s">
        <v>101</v>
      </c>
      <c r="BS369" t="s">
        <v>7211</v>
      </c>
      <c r="BT369" t="str">
        <f>HYPERLINK("https%3A%2F%2Fwww.webofscience.com%2Fwos%2Fwoscc%2Ffull-record%2FWOS:000310048600034","View Full Record in Web of Science")</f>
        <v>View Full Record in Web of Science</v>
      </c>
    </row>
    <row r="370" spans="1:72" x14ac:dyDescent="0.15">
      <c r="A370" t="s">
        <v>72</v>
      </c>
      <c r="B370" t="s">
        <v>7212</v>
      </c>
      <c r="C370" t="s">
        <v>74</v>
      </c>
      <c r="D370" t="s">
        <v>74</v>
      </c>
      <c r="E370" t="s">
        <v>74</v>
      </c>
      <c r="F370" t="s">
        <v>7213</v>
      </c>
      <c r="G370" t="s">
        <v>74</v>
      </c>
      <c r="H370" t="s">
        <v>74</v>
      </c>
      <c r="I370" t="s">
        <v>7214</v>
      </c>
      <c r="J370" t="s">
        <v>1141</v>
      </c>
      <c r="K370" t="s">
        <v>74</v>
      </c>
      <c r="L370" t="s">
        <v>74</v>
      </c>
      <c r="M370" t="s">
        <v>78</v>
      </c>
      <c r="N370" t="s">
        <v>79</v>
      </c>
      <c r="O370" t="s">
        <v>74</v>
      </c>
      <c r="P370" t="s">
        <v>74</v>
      </c>
      <c r="Q370" t="s">
        <v>74</v>
      </c>
      <c r="R370" t="s">
        <v>74</v>
      </c>
      <c r="S370" t="s">
        <v>74</v>
      </c>
      <c r="T370" t="s">
        <v>74</v>
      </c>
      <c r="U370" t="s">
        <v>7215</v>
      </c>
      <c r="V370" t="s">
        <v>7216</v>
      </c>
      <c r="W370" t="s">
        <v>7217</v>
      </c>
      <c r="X370" t="s">
        <v>3651</v>
      </c>
      <c r="Y370" t="s">
        <v>7218</v>
      </c>
      <c r="Z370" t="s">
        <v>7219</v>
      </c>
      <c r="AA370" t="s">
        <v>74</v>
      </c>
      <c r="AB370" t="s">
        <v>74</v>
      </c>
      <c r="AC370" t="s">
        <v>7220</v>
      </c>
      <c r="AD370" t="s">
        <v>7221</v>
      </c>
      <c r="AE370" t="s">
        <v>7222</v>
      </c>
      <c r="AF370" t="s">
        <v>74</v>
      </c>
      <c r="AG370">
        <v>43</v>
      </c>
      <c r="AH370">
        <v>14</v>
      </c>
      <c r="AI370">
        <v>16</v>
      </c>
      <c r="AJ370">
        <v>0</v>
      </c>
      <c r="AK370">
        <v>15</v>
      </c>
      <c r="AL370" t="s">
        <v>1153</v>
      </c>
      <c r="AM370" t="s">
        <v>1154</v>
      </c>
      <c r="AN370" t="s">
        <v>1155</v>
      </c>
      <c r="AO370" t="s">
        <v>1156</v>
      </c>
      <c r="AP370" t="s">
        <v>74</v>
      </c>
      <c r="AQ370" t="s">
        <v>74</v>
      </c>
      <c r="AR370" t="s">
        <v>1157</v>
      </c>
      <c r="AS370" t="s">
        <v>1158</v>
      </c>
      <c r="AT370" t="s">
        <v>7061</v>
      </c>
      <c r="AU370">
        <v>2012</v>
      </c>
      <c r="AV370">
        <v>10</v>
      </c>
      <c r="AW370" t="s">
        <v>74</v>
      </c>
      <c r="AX370" t="s">
        <v>74</v>
      </c>
      <c r="AY370" t="s">
        <v>74</v>
      </c>
      <c r="AZ370" t="s">
        <v>74</v>
      </c>
      <c r="BA370" t="s">
        <v>74</v>
      </c>
      <c r="BB370">
        <v>618</v>
      </c>
      <c r="BC370">
        <v>630</v>
      </c>
      <c r="BD370" t="s">
        <v>74</v>
      </c>
      <c r="BE370" t="s">
        <v>7223</v>
      </c>
      <c r="BF370" t="str">
        <f>HYPERLINK("http://dx.doi.org/10.4319/lom.2012.10.618","http://dx.doi.org/10.4319/lom.2012.10.618")</f>
        <v>http://dx.doi.org/10.4319/lom.2012.10.618</v>
      </c>
      <c r="BG370" t="s">
        <v>74</v>
      </c>
      <c r="BH370" t="s">
        <v>74</v>
      </c>
      <c r="BI370">
        <v>13</v>
      </c>
      <c r="BJ370" t="s">
        <v>1160</v>
      </c>
      <c r="BK370" t="s">
        <v>98</v>
      </c>
      <c r="BL370" t="s">
        <v>1161</v>
      </c>
      <c r="BM370" t="s">
        <v>7224</v>
      </c>
      <c r="BN370" t="s">
        <v>74</v>
      </c>
      <c r="BO370" t="s">
        <v>74</v>
      </c>
      <c r="BP370" t="s">
        <v>74</v>
      </c>
      <c r="BQ370" t="s">
        <v>74</v>
      </c>
      <c r="BR370" t="s">
        <v>101</v>
      </c>
      <c r="BS370" t="s">
        <v>7225</v>
      </c>
      <c r="BT370" t="str">
        <f>HYPERLINK("https%3A%2F%2Fwww.webofscience.com%2Fwos%2Fwoscc%2Ffull-record%2FWOS:000310052700001","View Full Record in Web of Science")</f>
        <v>View Full Record in Web of Science</v>
      </c>
    </row>
    <row r="371" spans="1:72" x14ac:dyDescent="0.15">
      <c r="A371" t="s">
        <v>72</v>
      </c>
      <c r="B371" t="s">
        <v>7226</v>
      </c>
      <c r="C371" t="s">
        <v>74</v>
      </c>
      <c r="D371" t="s">
        <v>74</v>
      </c>
      <c r="E371" t="s">
        <v>74</v>
      </c>
      <c r="F371" t="s">
        <v>7227</v>
      </c>
      <c r="G371" t="s">
        <v>74</v>
      </c>
      <c r="H371" t="s">
        <v>74</v>
      </c>
      <c r="I371" t="s">
        <v>7228</v>
      </c>
      <c r="J371" t="s">
        <v>7229</v>
      </c>
      <c r="K371" t="s">
        <v>74</v>
      </c>
      <c r="L371" t="s">
        <v>74</v>
      </c>
      <c r="M371" t="s">
        <v>78</v>
      </c>
      <c r="N371" t="s">
        <v>79</v>
      </c>
      <c r="O371" t="s">
        <v>74</v>
      </c>
      <c r="P371" t="s">
        <v>74</v>
      </c>
      <c r="Q371" t="s">
        <v>74</v>
      </c>
      <c r="R371" t="s">
        <v>74</v>
      </c>
      <c r="S371" t="s">
        <v>74</v>
      </c>
      <c r="T371" t="s">
        <v>7230</v>
      </c>
      <c r="U371" t="s">
        <v>7231</v>
      </c>
      <c r="V371" t="s">
        <v>7232</v>
      </c>
      <c r="W371" t="s">
        <v>7233</v>
      </c>
      <c r="X371" t="s">
        <v>597</v>
      </c>
      <c r="Y371" t="s">
        <v>7234</v>
      </c>
      <c r="Z371" t="s">
        <v>7235</v>
      </c>
      <c r="AA371" t="s">
        <v>7236</v>
      </c>
      <c r="AB371" t="s">
        <v>7237</v>
      </c>
      <c r="AC371" t="s">
        <v>7238</v>
      </c>
      <c r="AD371" t="s">
        <v>7239</v>
      </c>
      <c r="AE371" t="s">
        <v>7240</v>
      </c>
      <c r="AF371" t="s">
        <v>74</v>
      </c>
      <c r="AG371">
        <v>28</v>
      </c>
      <c r="AH371">
        <v>12</v>
      </c>
      <c r="AI371">
        <v>12</v>
      </c>
      <c r="AJ371">
        <v>1</v>
      </c>
      <c r="AK371">
        <v>10</v>
      </c>
      <c r="AL371" t="s">
        <v>935</v>
      </c>
      <c r="AM371" t="s">
        <v>2382</v>
      </c>
      <c r="AN371" t="s">
        <v>2383</v>
      </c>
      <c r="AO371" t="s">
        <v>7241</v>
      </c>
      <c r="AP371" t="s">
        <v>74</v>
      </c>
      <c r="AQ371" t="s">
        <v>74</v>
      </c>
      <c r="AR371" t="s">
        <v>7242</v>
      </c>
      <c r="AS371" t="s">
        <v>7243</v>
      </c>
      <c r="AT371" t="s">
        <v>7061</v>
      </c>
      <c r="AU371">
        <v>2012</v>
      </c>
      <c r="AV371">
        <v>33</v>
      </c>
      <c r="AW371">
        <v>3</v>
      </c>
      <c r="AX371" t="s">
        <v>74</v>
      </c>
      <c r="AY371" t="s">
        <v>74</v>
      </c>
      <c r="AZ371" t="s">
        <v>74</v>
      </c>
      <c r="BA371" t="s">
        <v>74</v>
      </c>
      <c r="BB371">
        <v>229</v>
      </c>
      <c r="BC371">
        <v>238</v>
      </c>
      <c r="BD371" t="s">
        <v>74</v>
      </c>
      <c r="BE371" t="s">
        <v>7244</v>
      </c>
      <c r="BF371" t="str">
        <f>HYPERLINK("http://dx.doi.org/10.1007/s11001-012-9158-0","http://dx.doi.org/10.1007/s11001-012-9158-0")</f>
        <v>http://dx.doi.org/10.1007/s11001-012-9158-0</v>
      </c>
      <c r="BG371" t="s">
        <v>74</v>
      </c>
      <c r="BH371" t="s">
        <v>74</v>
      </c>
      <c r="BI371">
        <v>10</v>
      </c>
      <c r="BJ371" t="s">
        <v>7245</v>
      </c>
      <c r="BK371" t="s">
        <v>98</v>
      </c>
      <c r="BL371" t="s">
        <v>7245</v>
      </c>
      <c r="BM371" t="s">
        <v>7246</v>
      </c>
      <c r="BN371" t="s">
        <v>74</v>
      </c>
      <c r="BO371" t="s">
        <v>74</v>
      </c>
      <c r="BP371" t="s">
        <v>74</v>
      </c>
      <c r="BQ371" t="s">
        <v>74</v>
      </c>
      <c r="BR371" t="s">
        <v>101</v>
      </c>
      <c r="BS371" t="s">
        <v>7247</v>
      </c>
      <c r="BT371" t="str">
        <f>HYPERLINK("https%3A%2F%2Fwww.webofscience.com%2Fwos%2Fwoscc%2Ffull-record%2FWOS:000309875700003","View Full Record in Web of Science")</f>
        <v>View Full Record in Web of Science</v>
      </c>
    </row>
    <row r="372" spans="1:72" x14ac:dyDescent="0.15">
      <c r="A372" t="s">
        <v>72</v>
      </c>
      <c r="B372" t="s">
        <v>7248</v>
      </c>
      <c r="C372" t="s">
        <v>74</v>
      </c>
      <c r="D372" t="s">
        <v>74</v>
      </c>
      <c r="E372" t="s">
        <v>74</v>
      </c>
      <c r="F372" t="s">
        <v>7249</v>
      </c>
      <c r="G372" t="s">
        <v>74</v>
      </c>
      <c r="H372" t="s">
        <v>74</v>
      </c>
      <c r="I372" t="s">
        <v>7250</v>
      </c>
      <c r="J372" t="s">
        <v>924</v>
      </c>
      <c r="K372" t="s">
        <v>74</v>
      </c>
      <c r="L372" t="s">
        <v>74</v>
      </c>
      <c r="M372" t="s">
        <v>78</v>
      </c>
      <c r="N372" t="s">
        <v>79</v>
      </c>
      <c r="O372" t="s">
        <v>74</v>
      </c>
      <c r="P372" t="s">
        <v>74</v>
      </c>
      <c r="Q372" t="s">
        <v>74</v>
      </c>
      <c r="R372" t="s">
        <v>74</v>
      </c>
      <c r="S372" t="s">
        <v>74</v>
      </c>
      <c r="T372" t="s">
        <v>7251</v>
      </c>
      <c r="U372" t="s">
        <v>7252</v>
      </c>
      <c r="V372" t="s">
        <v>7253</v>
      </c>
      <c r="W372" t="s">
        <v>7254</v>
      </c>
      <c r="X372" t="s">
        <v>7255</v>
      </c>
      <c r="Y372" t="s">
        <v>7256</v>
      </c>
      <c r="Z372" t="s">
        <v>7257</v>
      </c>
      <c r="AA372" t="s">
        <v>7258</v>
      </c>
      <c r="AB372" t="s">
        <v>7259</v>
      </c>
      <c r="AC372" t="s">
        <v>7260</v>
      </c>
      <c r="AD372" t="s">
        <v>7261</v>
      </c>
      <c r="AE372" t="s">
        <v>7262</v>
      </c>
      <c r="AF372" t="s">
        <v>74</v>
      </c>
      <c r="AG372">
        <v>36</v>
      </c>
      <c r="AH372">
        <v>6</v>
      </c>
      <c r="AI372">
        <v>6</v>
      </c>
      <c r="AJ372">
        <v>0</v>
      </c>
      <c r="AK372">
        <v>50</v>
      </c>
      <c r="AL372" t="s">
        <v>935</v>
      </c>
      <c r="AM372" t="s">
        <v>371</v>
      </c>
      <c r="AN372" t="s">
        <v>1873</v>
      </c>
      <c r="AO372" t="s">
        <v>937</v>
      </c>
      <c r="AP372" t="s">
        <v>7263</v>
      </c>
      <c r="AQ372" t="s">
        <v>74</v>
      </c>
      <c r="AR372" t="s">
        <v>938</v>
      </c>
      <c r="AS372" t="s">
        <v>939</v>
      </c>
      <c r="AT372" t="s">
        <v>7061</v>
      </c>
      <c r="AU372">
        <v>2012</v>
      </c>
      <c r="AV372">
        <v>31</v>
      </c>
      <c r="AW372">
        <v>5</v>
      </c>
      <c r="AX372" t="s">
        <v>74</v>
      </c>
      <c r="AY372" t="s">
        <v>74</v>
      </c>
      <c r="AZ372" t="s">
        <v>74</v>
      </c>
      <c r="BA372" t="s">
        <v>74</v>
      </c>
      <c r="BB372">
        <v>87</v>
      </c>
      <c r="BC372">
        <v>97</v>
      </c>
      <c r="BD372" t="s">
        <v>74</v>
      </c>
      <c r="BE372" t="s">
        <v>7264</v>
      </c>
      <c r="BF372" t="str">
        <f>HYPERLINK("http://dx.doi.org/10.1007/s13131-012-0239-3","http://dx.doi.org/10.1007/s13131-012-0239-3")</f>
        <v>http://dx.doi.org/10.1007/s13131-012-0239-3</v>
      </c>
      <c r="BG372" t="s">
        <v>74</v>
      </c>
      <c r="BH372" t="s">
        <v>74</v>
      </c>
      <c r="BI372">
        <v>11</v>
      </c>
      <c r="BJ372" t="s">
        <v>941</v>
      </c>
      <c r="BK372" t="s">
        <v>98</v>
      </c>
      <c r="BL372" t="s">
        <v>941</v>
      </c>
      <c r="BM372" t="s">
        <v>7265</v>
      </c>
      <c r="BN372" t="s">
        <v>74</v>
      </c>
      <c r="BO372" t="s">
        <v>74</v>
      </c>
      <c r="BP372" t="s">
        <v>74</v>
      </c>
      <c r="BQ372" t="s">
        <v>74</v>
      </c>
      <c r="BR372" t="s">
        <v>101</v>
      </c>
      <c r="BS372" t="s">
        <v>7266</v>
      </c>
      <c r="BT372" t="str">
        <f>HYPERLINK("https%3A%2F%2Fwww.webofscience.com%2Fwos%2Fwoscc%2Ffull-record%2FWOS:000309856200009","View Full Record in Web of Science")</f>
        <v>View Full Record in Web of Science</v>
      </c>
    </row>
    <row r="373" spans="1:72" x14ac:dyDescent="0.15">
      <c r="A373" t="s">
        <v>72</v>
      </c>
      <c r="B373" t="s">
        <v>7267</v>
      </c>
      <c r="C373" t="s">
        <v>74</v>
      </c>
      <c r="D373" t="s">
        <v>74</v>
      </c>
      <c r="E373" t="s">
        <v>74</v>
      </c>
      <c r="F373" t="s">
        <v>7268</v>
      </c>
      <c r="G373" t="s">
        <v>74</v>
      </c>
      <c r="H373" t="s">
        <v>74</v>
      </c>
      <c r="I373" t="s">
        <v>7269</v>
      </c>
      <c r="J373" t="s">
        <v>7270</v>
      </c>
      <c r="K373" t="s">
        <v>74</v>
      </c>
      <c r="L373" t="s">
        <v>74</v>
      </c>
      <c r="M373" t="s">
        <v>78</v>
      </c>
      <c r="N373" t="s">
        <v>7271</v>
      </c>
      <c r="O373" t="s">
        <v>74</v>
      </c>
      <c r="P373" t="s">
        <v>74</v>
      </c>
      <c r="Q373" t="s">
        <v>74</v>
      </c>
      <c r="R373" t="s">
        <v>74</v>
      </c>
      <c r="S373" t="s">
        <v>74</v>
      </c>
      <c r="T373" t="s">
        <v>74</v>
      </c>
      <c r="U373" t="s">
        <v>74</v>
      </c>
      <c r="V373" t="s">
        <v>7272</v>
      </c>
      <c r="W373" t="s">
        <v>7273</v>
      </c>
      <c r="X373" t="s">
        <v>7274</v>
      </c>
      <c r="Y373" t="s">
        <v>7275</v>
      </c>
      <c r="Z373" t="s">
        <v>7276</v>
      </c>
      <c r="AA373" t="s">
        <v>74</v>
      </c>
      <c r="AB373" t="s">
        <v>74</v>
      </c>
      <c r="AC373" t="s">
        <v>74</v>
      </c>
      <c r="AD373" t="s">
        <v>74</v>
      </c>
      <c r="AE373" t="s">
        <v>74</v>
      </c>
      <c r="AF373" t="s">
        <v>74</v>
      </c>
      <c r="AG373">
        <v>1</v>
      </c>
      <c r="AH373">
        <v>2</v>
      </c>
      <c r="AI373">
        <v>2</v>
      </c>
      <c r="AJ373">
        <v>1</v>
      </c>
      <c r="AK373">
        <v>88</v>
      </c>
      <c r="AL373" t="s">
        <v>1771</v>
      </c>
      <c r="AM373" t="s">
        <v>90</v>
      </c>
      <c r="AN373" t="s">
        <v>1772</v>
      </c>
      <c r="AO373" t="s">
        <v>7277</v>
      </c>
      <c r="AP373" t="s">
        <v>74</v>
      </c>
      <c r="AQ373" t="s">
        <v>74</v>
      </c>
      <c r="AR373" t="s">
        <v>7278</v>
      </c>
      <c r="AS373" t="s">
        <v>7279</v>
      </c>
      <c r="AT373" t="s">
        <v>7061</v>
      </c>
      <c r="AU373">
        <v>2012</v>
      </c>
      <c r="AV373">
        <v>11</v>
      </c>
      <c r="AW373">
        <v>3</v>
      </c>
      <c r="AX373" t="s">
        <v>74</v>
      </c>
      <c r="AY373" t="s">
        <v>74</v>
      </c>
      <c r="AZ373" t="s">
        <v>74</v>
      </c>
      <c r="BA373" t="s">
        <v>74</v>
      </c>
      <c r="BB373">
        <v>541</v>
      </c>
      <c r="BC373">
        <v>607</v>
      </c>
      <c r="BD373" t="s">
        <v>74</v>
      </c>
      <c r="BE373" t="s">
        <v>7280</v>
      </c>
      <c r="BF373" t="str">
        <f>HYPERLINK("http://dx.doi.org/10.1093/chinesejil/jms038","http://dx.doi.org/10.1093/chinesejil/jms038")</f>
        <v>http://dx.doi.org/10.1093/chinesejil/jms038</v>
      </c>
      <c r="BG373" t="s">
        <v>74</v>
      </c>
      <c r="BH373" t="s">
        <v>74</v>
      </c>
      <c r="BI373">
        <v>67</v>
      </c>
      <c r="BJ373" t="s">
        <v>7281</v>
      </c>
      <c r="BK373" t="s">
        <v>7282</v>
      </c>
      <c r="BL373" t="s">
        <v>7283</v>
      </c>
      <c r="BM373" t="s">
        <v>7284</v>
      </c>
      <c r="BN373" t="s">
        <v>74</v>
      </c>
      <c r="BO373" t="s">
        <v>74</v>
      </c>
      <c r="BP373" t="s">
        <v>74</v>
      </c>
      <c r="BQ373" t="s">
        <v>74</v>
      </c>
      <c r="BR373" t="s">
        <v>101</v>
      </c>
      <c r="BS373" t="s">
        <v>7285</v>
      </c>
      <c r="BT373" t="str">
        <f>HYPERLINK("https%3A%2F%2Fwww.webofscience.com%2Fwos%2Fwoscc%2Ffull-record%2FWOS:000309460700008","View Full Record in Web of Science")</f>
        <v>View Full Record in Web of Science</v>
      </c>
    </row>
    <row r="374" spans="1:72" x14ac:dyDescent="0.15">
      <c r="A374" t="s">
        <v>72</v>
      </c>
      <c r="B374" t="s">
        <v>7286</v>
      </c>
      <c r="C374" t="s">
        <v>74</v>
      </c>
      <c r="D374" t="s">
        <v>74</v>
      </c>
      <c r="E374" t="s">
        <v>74</v>
      </c>
      <c r="F374" t="s">
        <v>7287</v>
      </c>
      <c r="G374" t="s">
        <v>74</v>
      </c>
      <c r="H374" t="s">
        <v>74</v>
      </c>
      <c r="I374" t="s">
        <v>7288</v>
      </c>
      <c r="J374" t="s">
        <v>1068</v>
      </c>
      <c r="K374" t="s">
        <v>74</v>
      </c>
      <c r="L374" t="s">
        <v>74</v>
      </c>
      <c r="M374" t="s">
        <v>78</v>
      </c>
      <c r="N374" t="s">
        <v>79</v>
      </c>
      <c r="O374" t="s">
        <v>74</v>
      </c>
      <c r="P374" t="s">
        <v>74</v>
      </c>
      <c r="Q374" t="s">
        <v>74</v>
      </c>
      <c r="R374" t="s">
        <v>74</v>
      </c>
      <c r="S374" t="s">
        <v>74</v>
      </c>
      <c r="T374" t="s">
        <v>7289</v>
      </c>
      <c r="U374" t="s">
        <v>7290</v>
      </c>
      <c r="V374" t="s">
        <v>7291</v>
      </c>
      <c r="W374" t="s">
        <v>7292</v>
      </c>
      <c r="X374" t="s">
        <v>7293</v>
      </c>
      <c r="Y374" t="s">
        <v>1074</v>
      </c>
      <c r="Z374" t="s">
        <v>7294</v>
      </c>
      <c r="AA374" t="s">
        <v>1076</v>
      </c>
      <c r="AB374" t="s">
        <v>1077</v>
      </c>
      <c r="AC374" t="s">
        <v>7295</v>
      </c>
      <c r="AD374" t="s">
        <v>7296</v>
      </c>
      <c r="AE374" t="s">
        <v>7297</v>
      </c>
      <c r="AF374" t="s">
        <v>74</v>
      </c>
      <c r="AG374">
        <v>162</v>
      </c>
      <c r="AH374">
        <v>41</v>
      </c>
      <c r="AI374">
        <v>44</v>
      </c>
      <c r="AJ374">
        <v>0</v>
      </c>
      <c r="AK374">
        <v>8</v>
      </c>
      <c r="AL374" t="s">
        <v>1081</v>
      </c>
      <c r="AM374" t="s">
        <v>1082</v>
      </c>
      <c r="AN374" t="s">
        <v>1083</v>
      </c>
      <c r="AO374" t="s">
        <v>1084</v>
      </c>
      <c r="AP374" t="s">
        <v>1085</v>
      </c>
      <c r="AQ374" t="s">
        <v>74</v>
      </c>
      <c r="AR374" t="s">
        <v>1068</v>
      </c>
      <c r="AS374" t="s">
        <v>1086</v>
      </c>
      <c r="AT374" t="s">
        <v>7298</v>
      </c>
      <c r="AU374">
        <v>2012</v>
      </c>
      <c r="AV374">
        <v>221</v>
      </c>
      <c r="AW374">
        <v>1</v>
      </c>
      <c r="AX374" t="s">
        <v>74</v>
      </c>
      <c r="AY374" t="s">
        <v>74</v>
      </c>
      <c r="AZ374" t="s">
        <v>74</v>
      </c>
      <c r="BA374" t="s">
        <v>74</v>
      </c>
      <c r="BB374">
        <v>328</v>
      </c>
      <c r="BC374">
        <v>358</v>
      </c>
      <c r="BD374" t="s">
        <v>74</v>
      </c>
      <c r="BE374" t="s">
        <v>7299</v>
      </c>
      <c r="BF374" t="str">
        <f>HYPERLINK("http://dx.doi.org/10.1016/j.icarus.2012.07.007","http://dx.doi.org/10.1016/j.icarus.2012.07.007")</f>
        <v>http://dx.doi.org/10.1016/j.icarus.2012.07.007</v>
      </c>
      <c r="BG374" t="s">
        <v>74</v>
      </c>
      <c r="BH374" t="s">
        <v>74</v>
      </c>
      <c r="BI374">
        <v>31</v>
      </c>
      <c r="BJ374" t="s">
        <v>127</v>
      </c>
      <c r="BK374" t="s">
        <v>98</v>
      </c>
      <c r="BL374" t="s">
        <v>127</v>
      </c>
      <c r="BM374" t="s">
        <v>7300</v>
      </c>
      <c r="BN374" t="s">
        <v>74</v>
      </c>
      <c r="BO374" t="s">
        <v>74</v>
      </c>
      <c r="BP374" t="s">
        <v>74</v>
      </c>
      <c r="BQ374" t="s">
        <v>74</v>
      </c>
      <c r="BR374" t="s">
        <v>101</v>
      </c>
      <c r="BS374" t="s">
        <v>7301</v>
      </c>
      <c r="BT374" t="str">
        <f>HYPERLINK("https%3A%2F%2Fwww.webofscience.com%2Fwos%2Fwoscc%2Ffull-record%2FWOS:000309620200030","View Full Record in Web of Science")</f>
        <v>View Full Record in Web of Science</v>
      </c>
    </row>
    <row r="375" spans="1:72" x14ac:dyDescent="0.15">
      <c r="A375" t="s">
        <v>72</v>
      </c>
      <c r="B375" t="s">
        <v>7302</v>
      </c>
      <c r="C375" t="s">
        <v>74</v>
      </c>
      <c r="D375" t="s">
        <v>74</v>
      </c>
      <c r="E375" t="s">
        <v>74</v>
      </c>
      <c r="F375" t="s">
        <v>7303</v>
      </c>
      <c r="G375" t="s">
        <v>74</v>
      </c>
      <c r="H375" t="s">
        <v>74</v>
      </c>
      <c r="I375" t="s">
        <v>7304</v>
      </c>
      <c r="J375" t="s">
        <v>7305</v>
      </c>
      <c r="K375" t="s">
        <v>74</v>
      </c>
      <c r="L375" t="s">
        <v>74</v>
      </c>
      <c r="M375" t="s">
        <v>78</v>
      </c>
      <c r="N375" t="s">
        <v>79</v>
      </c>
      <c r="O375" t="s">
        <v>74</v>
      </c>
      <c r="P375" t="s">
        <v>74</v>
      </c>
      <c r="Q375" t="s">
        <v>74</v>
      </c>
      <c r="R375" t="s">
        <v>74</v>
      </c>
      <c r="S375" t="s">
        <v>74</v>
      </c>
      <c r="T375" t="s">
        <v>7306</v>
      </c>
      <c r="U375" t="s">
        <v>74</v>
      </c>
      <c r="V375" t="s">
        <v>7307</v>
      </c>
      <c r="W375" t="s">
        <v>7308</v>
      </c>
      <c r="X375" t="s">
        <v>74</v>
      </c>
      <c r="Y375" t="s">
        <v>7309</v>
      </c>
      <c r="Z375" t="s">
        <v>7310</v>
      </c>
      <c r="AA375" t="s">
        <v>7311</v>
      </c>
      <c r="AB375" t="s">
        <v>74</v>
      </c>
      <c r="AC375" t="s">
        <v>74</v>
      </c>
      <c r="AD375" t="s">
        <v>74</v>
      </c>
      <c r="AE375" t="s">
        <v>74</v>
      </c>
      <c r="AF375" t="s">
        <v>74</v>
      </c>
      <c r="AG375">
        <v>21</v>
      </c>
      <c r="AH375">
        <v>6</v>
      </c>
      <c r="AI375">
        <v>6</v>
      </c>
      <c r="AJ375">
        <v>0</v>
      </c>
      <c r="AK375">
        <v>3</v>
      </c>
      <c r="AL375" t="s">
        <v>1130</v>
      </c>
      <c r="AM375" t="s">
        <v>371</v>
      </c>
      <c r="AN375" t="s">
        <v>1131</v>
      </c>
      <c r="AO375" t="s">
        <v>7312</v>
      </c>
      <c r="AP375" t="s">
        <v>7313</v>
      </c>
      <c r="AQ375" t="s">
        <v>74</v>
      </c>
      <c r="AR375" t="s">
        <v>7314</v>
      </c>
      <c r="AS375" t="s">
        <v>7315</v>
      </c>
      <c r="AT375" t="s">
        <v>7061</v>
      </c>
      <c r="AU375">
        <v>2012</v>
      </c>
      <c r="AV375">
        <v>39</v>
      </c>
      <c r="AW375">
        <v>5</v>
      </c>
      <c r="AX375" t="s">
        <v>74</v>
      </c>
      <c r="AY375" t="s">
        <v>74</v>
      </c>
      <c r="AZ375" t="s">
        <v>74</v>
      </c>
      <c r="BA375" t="s">
        <v>74</v>
      </c>
      <c r="BB375">
        <v>556</v>
      </c>
      <c r="BC375">
        <v>563</v>
      </c>
      <c r="BD375" t="s">
        <v>74</v>
      </c>
      <c r="BE375" t="s">
        <v>7316</v>
      </c>
      <c r="BF375" t="str">
        <f>HYPERLINK("http://dx.doi.org/10.1134/S0097807812050028","http://dx.doi.org/10.1134/S0097807812050028")</f>
        <v>http://dx.doi.org/10.1134/S0097807812050028</v>
      </c>
      <c r="BG375" t="s">
        <v>74</v>
      </c>
      <c r="BH375" t="s">
        <v>74</v>
      </c>
      <c r="BI375">
        <v>8</v>
      </c>
      <c r="BJ375" t="s">
        <v>7317</v>
      </c>
      <c r="BK375" t="s">
        <v>98</v>
      </c>
      <c r="BL375" t="s">
        <v>7317</v>
      </c>
      <c r="BM375" t="s">
        <v>7318</v>
      </c>
      <c r="BN375" t="s">
        <v>74</v>
      </c>
      <c r="BO375" t="s">
        <v>74</v>
      </c>
      <c r="BP375" t="s">
        <v>74</v>
      </c>
      <c r="BQ375" t="s">
        <v>74</v>
      </c>
      <c r="BR375" t="s">
        <v>101</v>
      </c>
      <c r="BS375" t="s">
        <v>7319</v>
      </c>
      <c r="BT375" t="str">
        <f>HYPERLINK("https%3A%2F%2Fwww.webofscience.com%2Fwos%2Fwoscc%2Ffull-record%2FWOS:000309233900006","View Full Record in Web of Science")</f>
        <v>View Full Record in Web of Science</v>
      </c>
    </row>
    <row r="376" spans="1:72" x14ac:dyDescent="0.15">
      <c r="A376" t="s">
        <v>72</v>
      </c>
      <c r="B376" t="s">
        <v>7320</v>
      </c>
      <c r="C376" t="s">
        <v>74</v>
      </c>
      <c r="D376" t="s">
        <v>74</v>
      </c>
      <c r="E376" t="s">
        <v>74</v>
      </c>
      <c r="F376" t="s">
        <v>7321</v>
      </c>
      <c r="G376" t="s">
        <v>74</v>
      </c>
      <c r="H376" t="s">
        <v>74</v>
      </c>
      <c r="I376" t="s">
        <v>7322</v>
      </c>
      <c r="J376" t="s">
        <v>886</v>
      </c>
      <c r="K376" t="s">
        <v>74</v>
      </c>
      <c r="L376" t="s">
        <v>74</v>
      </c>
      <c r="M376" t="s">
        <v>78</v>
      </c>
      <c r="N376" t="s">
        <v>79</v>
      </c>
      <c r="O376" t="s">
        <v>74</v>
      </c>
      <c r="P376" t="s">
        <v>74</v>
      </c>
      <c r="Q376" t="s">
        <v>74</v>
      </c>
      <c r="R376" t="s">
        <v>74</v>
      </c>
      <c r="S376" t="s">
        <v>74</v>
      </c>
      <c r="T376" t="s">
        <v>74</v>
      </c>
      <c r="U376" t="s">
        <v>7323</v>
      </c>
      <c r="V376" t="s">
        <v>7324</v>
      </c>
      <c r="W376" t="s">
        <v>7325</v>
      </c>
      <c r="X376" t="s">
        <v>7326</v>
      </c>
      <c r="Y376" t="s">
        <v>7327</v>
      </c>
      <c r="Z376" t="s">
        <v>7328</v>
      </c>
      <c r="AA376" t="s">
        <v>74</v>
      </c>
      <c r="AB376" t="s">
        <v>74</v>
      </c>
      <c r="AC376" t="s">
        <v>7329</v>
      </c>
      <c r="AD376" t="s">
        <v>7330</v>
      </c>
      <c r="AE376" t="s">
        <v>7331</v>
      </c>
      <c r="AF376" t="s">
        <v>74</v>
      </c>
      <c r="AG376">
        <v>83</v>
      </c>
      <c r="AH376">
        <v>29</v>
      </c>
      <c r="AI376">
        <v>36</v>
      </c>
      <c r="AJ376">
        <v>1</v>
      </c>
      <c r="AK376">
        <v>20</v>
      </c>
      <c r="AL376" t="s">
        <v>898</v>
      </c>
      <c r="AM376" t="s">
        <v>899</v>
      </c>
      <c r="AN376" t="s">
        <v>900</v>
      </c>
      <c r="AO376" t="s">
        <v>901</v>
      </c>
      <c r="AP376" t="s">
        <v>902</v>
      </c>
      <c r="AQ376" t="s">
        <v>74</v>
      </c>
      <c r="AR376" t="s">
        <v>903</v>
      </c>
      <c r="AS376" t="s">
        <v>904</v>
      </c>
      <c r="AT376" t="s">
        <v>7061</v>
      </c>
      <c r="AU376">
        <v>2012</v>
      </c>
      <c r="AV376">
        <v>47</v>
      </c>
      <c r="AW376">
        <v>9</v>
      </c>
      <c r="AX376" t="s">
        <v>74</v>
      </c>
      <c r="AY376" t="s">
        <v>74</v>
      </c>
      <c r="AZ376" t="s">
        <v>74</v>
      </c>
      <c r="BA376" t="s">
        <v>74</v>
      </c>
      <c r="BB376">
        <v>1419</v>
      </c>
      <c r="BC376">
        <v>1435</v>
      </c>
      <c r="BD376" t="s">
        <v>74</v>
      </c>
      <c r="BE376" t="s">
        <v>7332</v>
      </c>
      <c r="BF376" t="str">
        <f>HYPERLINK("http://dx.doi.org/10.1111/j.1945-5100.2012.01404.x","http://dx.doi.org/10.1111/j.1945-5100.2012.01404.x")</f>
        <v>http://dx.doi.org/10.1111/j.1945-5100.2012.01404.x</v>
      </c>
      <c r="BG376" t="s">
        <v>74</v>
      </c>
      <c r="BH376" t="s">
        <v>74</v>
      </c>
      <c r="BI376">
        <v>17</v>
      </c>
      <c r="BJ376" t="s">
        <v>241</v>
      </c>
      <c r="BK376" t="s">
        <v>98</v>
      </c>
      <c r="BL376" t="s">
        <v>241</v>
      </c>
      <c r="BM376" t="s">
        <v>7333</v>
      </c>
      <c r="BN376" t="s">
        <v>74</v>
      </c>
      <c r="BO376" t="s">
        <v>607</v>
      </c>
      <c r="BP376" t="s">
        <v>74</v>
      </c>
      <c r="BQ376" t="s">
        <v>74</v>
      </c>
      <c r="BR376" t="s">
        <v>101</v>
      </c>
      <c r="BS376" t="s">
        <v>7334</v>
      </c>
      <c r="BT376" t="str">
        <f>HYPERLINK("https%3A%2F%2Fwww.webofscience.com%2Fwos%2Fwoscc%2Ffull-record%2FWOS:000309234000002","View Full Record in Web of Science")</f>
        <v>View Full Record in Web of Science</v>
      </c>
    </row>
    <row r="377" spans="1:72" x14ac:dyDescent="0.15">
      <c r="A377" t="s">
        <v>72</v>
      </c>
      <c r="B377" t="s">
        <v>7335</v>
      </c>
      <c r="C377" t="s">
        <v>74</v>
      </c>
      <c r="D377" t="s">
        <v>74</v>
      </c>
      <c r="E377" t="s">
        <v>74</v>
      </c>
      <c r="F377" t="s">
        <v>7336</v>
      </c>
      <c r="G377" t="s">
        <v>74</v>
      </c>
      <c r="H377" t="s">
        <v>74</v>
      </c>
      <c r="I377" t="s">
        <v>7337</v>
      </c>
      <c r="J377" t="s">
        <v>7338</v>
      </c>
      <c r="K377" t="s">
        <v>74</v>
      </c>
      <c r="L377" t="s">
        <v>74</v>
      </c>
      <c r="M377" t="s">
        <v>78</v>
      </c>
      <c r="N377" t="s">
        <v>79</v>
      </c>
      <c r="O377" t="s">
        <v>74</v>
      </c>
      <c r="P377" t="s">
        <v>74</v>
      </c>
      <c r="Q377" t="s">
        <v>74</v>
      </c>
      <c r="R377" t="s">
        <v>74</v>
      </c>
      <c r="S377" t="s">
        <v>74</v>
      </c>
      <c r="T377" t="s">
        <v>74</v>
      </c>
      <c r="U377" t="s">
        <v>7339</v>
      </c>
      <c r="V377" t="s">
        <v>7340</v>
      </c>
      <c r="W377" t="s">
        <v>7341</v>
      </c>
      <c r="X377" t="s">
        <v>7342</v>
      </c>
      <c r="Y377" t="s">
        <v>7343</v>
      </c>
      <c r="Z377" t="s">
        <v>7344</v>
      </c>
      <c r="AA377" t="s">
        <v>7345</v>
      </c>
      <c r="AB377" t="s">
        <v>7346</v>
      </c>
      <c r="AC377" t="s">
        <v>7347</v>
      </c>
      <c r="AD377" t="s">
        <v>7348</v>
      </c>
      <c r="AE377" t="s">
        <v>7349</v>
      </c>
      <c r="AF377" t="s">
        <v>74</v>
      </c>
      <c r="AG377">
        <v>23</v>
      </c>
      <c r="AH377">
        <v>4</v>
      </c>
      <c r="AI377">
        <v>4</v>
      </c>
      <c r="AJ377">
        <v>0</v>
      </c>
      <c r="AK377">
        <v>7</v>
      </c>
      <c r="AL377" t="s">
        <v>7350</v>
      </c>
      <c r="AM377" t="s">
        <v>7351</v>
      </c>
      <c r="AN377" t="s">
        <v>7352</v>
      </c>
      <c r="AO377" t="s">
        <v>7353</v>
      </c>
      <c r="AP377" t="s">
        <v>74</v>
      </c>
      <c r="AQ377" t="s">
        <v>74</v>
      </c>
      <c r="AR377" t="s">
        <v>7338</v>
      </c>
      <c r="AS377" t="s">
        <v>941</v>
      </c>
      <c r="AT377" t="s">
        <v>7061</v>
      </c>
      <c r="AU377">
        <v>2012</v>
      </c>
      <c r="AV377">
        <v>25</v>
      </c>
      <c r="AW377">
        <v>3</v>
      </c>
      <c r="AX377" t="s">
        <v>74</v>
      </c>
      <c r="AY377" t="s">
        <v>74</v>
      </c>
      <c r="AZ377" t="s">
        <v>1019</v>
      </c>
      <c r="BA377" t="s">
        <v>74</v>
      </c>
      <c r="BB377">
        <v>18</v>
      </c>
      <c r="BC377">
        <v>23</v>
      </c>
      <c r="BD377" t="s">
        <v>74</v>
      </c>
      <c r="BE377" t="s">
        <v>7354</v>
      </c>
      <c r="BF377" t="str">
        <f>HYPERLINK("http://dx.doi.org/10.5670/oceanog.2012.69","http://dx.doi.org/10.5670/oceanog.2012.69")</f>
        <v>http://dx.doi.org/10.5670/oceanog.2012.69</v>
      </c>
      <c r="BG377" t="s">
        <v>74</v>
      </c>
      <c r="BH377" t="s">
        <v>74</v>
      </c>
      <c r="BI377">
        <v>6</v>
      </c>
      <c r="BJ377" t="s">
        <v>941</v>
      </c>
      <c r="BK377" t="s">
        <v>98</v>
      </c>
      <c r="BL377" t="s">
        <v>941</v>
      </c>
      <c r="BM377" t="s">
        <v>7355</v>
      </c>
      <c r="BN377" t="s">
        <v>74</v>
      </c>
      <c r="BO377" t="s">
        <v>998</v>
      </c>
      <c r="BP377" t="s">
        <v>74</v>
      </c>
      <c r="BQ377" t="s">
        <v>74</v>
      </c>
      <c r="BR377" t="s">
        <v>101</v>
      </c>
      <c r="BS377" t="s">
        <v>7356</v>
      </c>
      <c r="BT377" t="str">
        <f>HYPERLINK("https%3A%2F%2Fwww.webofscience.com%2Fwos%2Fwoscc%2Ffull-record%2FWOS:000308774600005","View Full Record in Web of Science")</f>
        <v>View Full Record in Web of Science</v>
      </c>
    </row>
    <row r="378" spans="1:72" x14ac:dyDescent="0.15">
      <c r="A378" t="s">
        <v>72</v>
      </c>
      <c r="B378" t="s">
        <v>7357</v>
      </c>
      <c r="C378" t="s">
        <v>74</v>
      </c>
      <c r="D378" t="s">
        <v>74</v>
      </c>
      <c r="E378" t="s">
        <v>74</v>
      </c>
      <c r="F378" t="s">
        <v>7358</v>
      </c>
      <c r="G378" t="s">
        <v>74</v>
      </c>
      <c r="H378" t="s">
        <v>74</v>
      </c>
      <c r="I378" t="s">
        <v>7359</v>
      </c>
      <c r="J378" t="s">
        <v>7338</v>
      </c>
      <c r="K378" t="s">
        <v>74</v>
      </c>
      <c r="L378" t="s">
        <v>74</v>
      </c>
      <c r="M378" t="s">
        <v>78</v>
      </c>
      <c r="N378" t="s">
        <v>79</v>
      </c>
      <c r="O378" t="s">
        <v>74</v>
      </c>
      <c r="P378" t="s">
        <v>74</v>
      </c>
      <c r="Q378" t="s">
        <v>74</v>
      </c>
      <c r="R378" t="s">
        <v>74</v>
      </c>
      <c r="S378" t="s">
        <v>74</v>
      </c>
      <c r="T378" t="s">
        <v>74</v>
      </c>
      <c r="U378" t="s">
        <v>7360</v>
      </c>
      <c r="V378" t="s">
        <v>7361</v>
      </c>
      <c r="W378" t="s">
        <v>7362</v>
      </c>
      <c r="X378" t="s">
        <v>7363</v>
      </c>
      <c r="Y378" t="s">
        <v>7364</v>
      </c>
      <c r="Z378" t="s">
        <v>7365</v>
      </c>
      <c r="AA378" t="s">
        <v>7366</v>
      </c>
      <c r="AB378" t="s">
        <v>7367</v>
      </c>
      <c r="AC378" t="s">
        <v>7368</v>
      </c>
      <c r="AD378" t="s">
        <v>7369</v>
      </c>
      <c r="AE378" t="s">
        <v>7370</v>
      </c>
      <c r="AF378" t="s">
        <v>74</v>
      </c>
      <c r="AG378">
        <v>61</v>
      </c>
      <c r="AH378">
        <v>25</v>
      </c>
      <c r="AI378">
        <v>34</v>
      </c>
      <c r="AJ378">
        <v>0</v>
      </c>
      <c r="AK378">
        <v>35</v>
      </c>
      <c r="AL378" t="s">
        <v>7350</v>
      </c>
      <c r="AM378" t="s">
        <v>7351</v>
      </c>
      <c r="AN378" t="s">
        <v>7352</v>
      </c>
      <c r="AO378" t="s">
        <v>7353</v>
      </c>
      <c r="AP378" t="s">
        <v>74</v>
      </c>
      <c r="AQ378" t="s">
        <v>74</v>
      </c>
      <c r="AR378" t="s">
        <v>7338</v>
      </c>
      <c r="AS378" t="s">
        <v>941</v>
      </c>
      <c r="AT378" t="s">
        <v>7061</v>
      </c>
      <c r="AU378">
        <v>2012</v>
      </c>
      <c r="AV378">
        <v>25</v>
      </c>
      <c r="AW378">
        <v>3</v>
      </c>
      <c r="AX378" t="s">
        <v>74</v>
      </c>
      <c r="AY378" t="s">
        <v>74</v>
      </c>
      <c r="AZ378" t="s">
        <v>1019</v>
      </c>
      <c r="BA378" t="s">
        <v>74</v>
      </c>
      <c r="BB378">
        <v>56</v>
      </c>
      <c r="BC378">
        <v>67</v>
      </c>
      <c r="BD378" t="s">
        <v>74</v>
      </c>
      <c r="BE378" t="s">
        <v>7371</v>
      </c>
      <c r="BF378" t="str">
        <f>HYPERLINK("http://dx.doi.org/10.5670/oceanog.2012.75","http://dx.doi.org/10.5670/oceanog.2012.75")</f>
        <v>http://dx.doi.org/10.5670/oceanog.2012.75</v>
      </c>
      <c r="BG378" t="s">
        <v>74</v>
      </c>
      <c r="BH378" t="s">
        <v>74</v>
      </c>
      <c r="BI378">
        <v>12</v>
      </c>
      <c r="BJ378" t="s">
        <v>941</v>
      </c>
      <c r="BK378" t="s">
        <v>98</v>
      </c>
      <c r="BL378" t="s">
        <v>941</v>
      </c>
      <c r="BM378" t="s">
        <v>7355</v>
      </c>
      <c r="BN378" t="s">
        <v>74</v>
      </c>
      <c r="BO378" t="s">
        <v>7372</v>
      </c>
      <c r="BP378" t="s">
        <v>74</v>
      </c>
      <c r="BQ378" t="s">
        <v>74</v>
      </c>
      <c r="BR378" t="s">
        <v>101</v>
      </c>
      <c r="BS378" t="s">
        <v>7373</v>
      </c>
      <c r="BT378" t="str">
        <f>HYPERLINK("https%3A%2F%2Fwww.webofscience.com%2Fwos%2Fwoscc%2Ffull-record%2FWOS:000308774600011","View Full Record in Web of Science")</f>
        <v>View Full Record in Web of Science</v>
      </c>
    </row>
    <row r="379" spans="1:72" x14ac:dyDescent="0.15">
      <c r="A379" t="s">
        <v>72</v>
      </c>
      <c r="B379" t="s">
        <v>7374</v>
      </c>
      <c r="C379" t="s">
        <v>74</v>
      </c>
      <c r="D379" t="s">
        <v>74</v>
      </c>
      <c r="E379" t="s">
        <v>74</v>
      </c>
      <c r="F379" t="s">
        <v>7375</v>
      </c>
      <c r="G379" t="s">
        <v>74</v>
      </c>
      <c r="H379" t="s">
        <v>74</v>
      </c>
      <c r="I379" t="s">
        <v>7376</v>
      </c>
      <c r="J379" t="s">
        <v>7338</v>
      </c>
      <c r="K379" t="s">
        <v>74</v>
      </c>
      <c r="L379" t="s">
        <v>74</v>
      </c>
      <c r="M379" t="s">
        <v>78</v>
      </c>
      <c r="N379" t="s">
        <v>79</v>
      </c>
      <c r="O379" t="s">
        <v>74</v>
      </c>
      <c r="P379" t="s">
        <v>74</v>
      </c>
      <c r="Q379" t="s">
        <v>74</v>
      </c>
      <c r="R379" t="s">
        <v>74</v>
      </c>
      <c r="S379" t="s">
        <v>74</v>
      </c>
      <c r="T379" t="s">
        <v>74</v>
      </c>
      <c r="U379" t="s">
        <v>7377</v>
      </c>
      <c r="V379" t="s">
        <v>7378</v>
      </c>
      <c r="W379" t="s">
        <v>7379</v>
      </c>
      <c r="X379" t="s">
        <v>7380</v>
      </c>
      <c r="Y379" t="s">
        <v>7381</v>
      </c>
      <c r="Z379" t="s">
        <v>7382</v>
      </c>
      <c r="AA379" t="s">
        <v>7383</v>
      </c>
      <c r="AB379" t="s">
        <v>7384</v>
      </c>
      <c r="AC379" t="s">
        <v>7385</v>
      </c>
      <c r="AD379" t="s">
        <v>7386</v>
      </c>
      <c r="AE379" t="s">
        <v>7387</v>
      </c>
      <c r="AF379" t="s">
        <v>74</v>
      </c>
      <c r="AG379">
        <v>43</v>
      </c>
      <c r="AH379">
        <v>20</v>
      </c>
      <c r="AI379">
        <v>21</v>
      </c>
      <c r="AJ379">
        <v>0</v>
      </c>
      <c r="AK379">
        <v>13</v>
      </c>
      <c r="AL379" t="s">
        <v>7350</v>
      </c>
      <c r="AM379" t="s">
        <v>7351</v>
      </c>
      <c r="AN379" t="s">
        <v>7352</v>
      </c>
      <c r="AO379" t="s">
        <v>7353</v>
      </c>
      <c r="AP379" t="s">
        <v>74</v>
      </c>
      <c r="AQ379" t="s">
        <v>74</v>
      </c>
      <c r="AR379" t="s">
        <v>7338</v>
      </c>
      <c r="AS379" t="s">
        <v>941</v>
      </c>
      <c r="AT379" t="s">
        <v>7061</v>
      </c>
      <c r="AU379">
        <v>2012</v>
      </c>
      <c r="AV379">
        <v>25</v>
      </c>
      <c r="AW379">
        <v>3</v>
      </c>
      <c r="AX379" t="s">
        <v>74</v>
      </c>
      <c r="AY379" t="s">
        <v>74</v>
      </c>
      <c r="AZ379" t="s">
        <v>1019</v>
      </c>
      <c r="BA379" t="s">
        <v>74</v>
      </c>
      <c r="BB379">
        <v>70</v>
      </c>
      <c r="BC379">
        <v>81</v>
      </c>
      <c r="BD379" t="s">
        <v>74</v>
      </c>
      <c r="BE379" t="s">
        <v>7388</v>
      </c>
      <c r="BF379" t="str">
        <f>HYPERLINK("http://dx.doi.org/10.5670/oceanog.2012.77","http://dx.doi.org/10.5670/oceanog.2012.77")</f>
        <v>http://dx.doi.org/10.5670/oceanog.2012.77</v>
      </c>
      <c r="BG379" t="s">
        <v>74</v>
      </c>
      <c r="BH379" t="s">
        <v>74</v>
      </c>
      <c r="BI379">
        <v>12</v>
      </c>
      <c r="BJ379" t="s">
        <v>941</v>
      </c>
      <c r="BK379" t="s">
        <v>98</v>
      </c>
      <c r="BL379" t="s">
        <v>941</v>
      </c>
      <c r="BM379" t="s">
        <v>7355</v>
      </c>
      <c r="BN379" t="s">
        <v>74</v>
      </c>
      <c r="BO379" t="s">
        <v>998</v>
      </c>
      <c r="BP379" t="s">
        <v>74</v>
      </c>
      <c r="BQ379" t="s">
        <v>74</v>
      </c>
      <c r="BR379" t="s">
        <v>101</v>
      </c>
      <c r="BS379" t="s">
        <v>7389</v>
      </c>
      <c r="BT379" t="str">
        <f>HYPERLINK("https%3A%2F%2Fwww.webofscience.com%2Fwos%2Fwoscc%2Ffull-record%2FWOS:000308774600013","View Full Record in Web of Science")</f>
        <v>View Full Record in Web of Science</v>
      </c>
    </row>
    <row r="380" spans="1:72" x14ac:dyDescent="0.15">
      <c r="A380" t="s">
        <v>72</v>
      </c>
      <c r="B380" t="s">
        <v>7390</v>
      </c>
      <c r="C380" t="s">
        <v>74</v>
      </c>
      <c r="D380" t="s">
        <v>74</v>
      </c>
      <c r="E380" t="s">
        <v>74</v>
      </c>
      <c r="F380" t="s">
        <v>7391</v>
      </c>
      <c r="G380" t="s">
        <v>74</v>
      </c>
      <c r="H380" t="s">
        <v>7392</v>
      </c>
      <c r="I380" t="s">
        <v>7393</v>
      </c>
      <c r="J380" t="s">
        <v>7338</v>
      </c>
      <c r="K380" t="s">
        <v>74</v>
      </c>
      <c r="L380" t="s">
        <v>74</v>
      </c>
      <c r="M380" t="s">
        <v>78</v>
      </c>
      <c r="N380" t="s">
        <v>79</v>
      </c>
      <c r="O380" t="s">
        <v>74</v>
      </c>
      <c r="P380" t="s">
        <v>74</v>
      </c>
      <c r="Q380" t="s">
        <v>74</v>
      </c>
      <c r="R380" t="s">
        <v>74</v>
      </c>
      <c r="S380" t="s">
        <v>74</v>
      </c>
      <c r="T380" t="s">
        <v>74</v>
      </c>
      <c r="U380" t="s">
        <v>7394</v>
      </c>
      <c r="V380" t="s">
        <v>7395</v>
      </c>
      <c r="W380" t="s">
        <v>7396</v>
      </c>
      <c r="X380" t="s">
        <v>7397</v>
      </c>
      <c r="Y380" t="s">
        <v>7398</v>
      </c>
      <c r="Z380" t="s">
        <v>7399</v>
      </c>
      <c r="AA380" t="s">
        <v>7400</v>
      </c>
      <c r="AB380" t="s">
        <v>7401</v>
      </c>
      <c r="AC380" t="s">
        <v>7402</v>
      </c>
      <c r="AD380" t="s">
        <v>7403</v>
      </c>
      <c r="AE380" t="s">
        <v>7404</v>
      </c>
      <c r="AF380" t="s">
        <v>74</v>
      </c>
      <c r="AG380">
        <v>34</v>
      </c>
      <c r="AH380">
        <v>6</v>
      </c>
      <c r="AI380">
        <v>6</v>
      </c>
      <c r="AJ380">
        <v>1</v>
      </c>
      <c r="AK380">
        <v>10</v>
      </c>
      <c r="AL380" t="s">
        <v>7350</v>
      </c>
      <c r="AM380" t="s">
        <v>7351</v>
      </c>
      <c r="AN380" t="s">
        <v>7352</v>
      </c>
      <c r="AO380" t="s">
        <v>7353</v>
      </c>
      <c r="AP380" t="s">
        <v>74</v>
      </c>
      <c r="AQ380" t="s">
        <v>74</v>
      </c>
      <c r="AR380" t="s">
        <v>7338</v>
      </c>
      <c r="AS380" t="s">
        <v>941</v>
      </c>
      <c r="AT380" t="s">
        <v>7061</v>
      </c>
      <c r="AU380">
        <v>2012</v>
      </c>
      <c r="AV380">
        <v>25</v>
      </c>
      <c r="AW380">
        <v>3</v>
      </c>
      <c r="AX380" t="s">
        <v>74</v>
      </c>
      <c r="AY380" t="s">
        <v>74</v>
      </c>
      <c r="AZ380" t="s">
        <v>1019</v>
      </c>
      <c r="BA380" t="s">
        <v>74</v>
      </c>
      <c r="BB380">
        <v>84</v>
      </c>
      <c r="BC380">
        <v>89</v>
      </c>
      <c r="BD380" t="s">
        <v>74</v>
      </c>
      <c r="BE380" t="s">
        <v>7405</v>
      </c>
      <c r="BF380" t="str">
        <f>HYPERLINK("http://dx.doi.org/10.5670/oceanog.2012.79","http://dx.doi.org/10.5670/oceanog.2012.79")</f>
        <v>http://dx.doi.org/10.5670/oceanog.2012.79</v>
      </c>
      <c r="BG380" t="s">
        <v>74</v>
      </c>
      <c r="BH380" t="s">
        <v>74</v>
      </c>
      <c r="BI380">
        <v>6</v>
      </c>
      <c r="BJ380" t="s">
        <v>941</v>
      </c>
      <c r="BK380" t="s">
        <v>98</v>
      </c>
      <c r="BL380" t="s">
        <v>941</v>
      </c>
      <c r="BM380" t="s">
        <v>7355</v>
      </c>
      <c r="BN380" t="s">
        <v>74</v>
      </c>
      <c r="BO380" t="s">
        <v>3409</v>
      </c>
      <c r="BP380" t="s">
        <v>74</v>
      </c>
      <c r="BQ380" t="s">
        <v>74</v>
      </c>
      <c r="BR380" t="s">
        <v>101</v>
      </c>
      <c r="BS380" t="s">
        <v>7406</v>
      </c>
      <c r="BT380" t="str">
        <f>HYPERLINK("https%3A%2F%2Fwww.webofscience.com%2Fwos%2Fwoscc%2Ffull-record%2FWOS:000308774600015","View Full Record in Web of Science")</f>
        <v>View Full Record in Web of Science</v>
      </c>
    </row>
    <row r="381" spans="1:72" x14ac:dyDescent="0.15">
      <c r="A381" t="s">
        <v>72</v>
      </c>
      <c r="B381" t="s">
        <v>7407</v>
      </c>
      <c r="C381" t="s">
        <v>74</v>
      </c>
      <c r="D381" t="s">
        <v>74</v>
      </c>
      <c r="E381" t="s">
        <v>74</v>
      </c>
      <c r="F381" t="s">
        <v>7408</v>
      </c>
      <c r="G381" t="s">
        <v>74</v>
      </c>
      <c r="H381" t="s">
        <v>74</v>
      </c>
      <c r="I381" t="s">
        <v>7409</v>
      </c>
      <c r="J381" t="s">
        <v>7338</v>
      </c>
      <c r="K381" t="s">
        <v>74</v>
      </c>
      <c r="L381" t="s">
        <v>74</v>
      </c>
      <c r="M381" t="s">
        <v>78</v>
      </c>
      <c r="N381" t="s">
        <v>79</v>
      </c>
      <c r="O381" t="s">
        <v>74</v>
      </c>
      <c r="P381" t="s">
        <v>74</v>
      </c>
      <c r="Q381" t="s">
        <v>74</v>
      </c>
      <c r="R381" t="s">
        <v>74</v>
      </c>
      <c r="S381" t="s">
        <v>74</v>
      </c>
      <c r="T381" t="s">
        <v>74</v>
      </c>
      <c r="U381" t="s">
        <v>7410</v>
      </c>
      <c r="V381" t="s">
        <v>7411</v>
      </c>
      <c r="W381" t="s">
        <v>7412</v>
      </c>
      <c r="X381" t="s">
        <v>7413</v>
      </c>
      <c r="Y381" t="s">
        <v>7414</v>
      </c>
      <c r="Z381" t="s">
        <v>7415</v>
      </c>
      <c r="AA381" t="s">
        <v>74</v>
      </c>
      <c r="AB381" t="s">
        <v>7416</v>
      </c>
      <c r="AC381" t="s">
        <v>7417</v>
      </c>
      <c r="AD381" t="s">
        <v>5263</v>
      </c>
      <c r="AE381" t="s">
        <v>7418</v>
      </c>
      <c r="AF381" t="s">
        <v>74</v>
      </c>
      <c r="AG381">
        <v>80</v>
      </c>
      <c r="AH381">
        <v>75</v>
      </c>
      <c r="AI381">
        <v>86</v>
      </c>
      <c r="AJ381">
        <v>1</v>
      </c>
      <c r="AK381">
        <v>88</v>
      </c>
      <c r="AL381" t="s">
        <v>7350</v>
      </c>
      <c r="AM381" t="s">
        <v>7351</v>
      </c>
      <c r="AN381" t="s">
        <v>7352</v>
      </c>
      <c r="AO381" t="s">
        <v>7353</v>
      </c>
      <c r="AP381" t="s">
        <v>74</v>
      </c>
      <c r="AQ381" t="s">
        <v>74</v>
      </c>
      <c r="AR381" t="s">
        <v>7338</v>
      </c>
      <c r="AS381" t="s">
        <v>941</v>
      </c>
      <c r="AT381" t="s">
        <v>7061</v>
      </c>
      <c r="AU381">
        <v>2012</v>
      </c>
      <c r="AV381">
        <v>25</v>
      </c>
      <c r="AW381">
        <v>3</v>
      </c>
      <c r="AX381" t="s">
        <v>74</v>
      </c>
      <c r="AY381" t="s">
        <v>74</v>
      </c>
      <c r="AZ381" t="s">
        <v>1019</v>
      </c>
      <c r="BA381" t="s">
        <v>74</v>
      </c>
      <c r="BB381">
        <v>90</v>
      </c>
      <c r="BC381">
        <v>103</v>
      </c>
      <c r="BD381" t="s">
        <v>74</v>
      </c>
      <c r="BE381" t="s">
        <v>7419</v>
      </c>
      <c r="BF381" t="str">
        <f>HYPERLINK("http://dx.doi.org/10.5670/oceanog.2012.80","http://dx.doi.org/10.5670/oceanog.2012.80")</f>
        <v>http://dx.doi.org/10.5670/oceanog.2012.80</v>
      </c>
      <c r="BG381" t="s">
        <v>74</v>
      </c>
      <c r="BH381" t="s">
        <v>74</v>
      </c>
      <c r="BI381">
        <v>14</v>
      </c>
      <c r="BJ381" t="s">
        <v>941</v>
      </c>
      <c r="BK381" t="s">
        <v>98</v>
      </c>
      <c r="BL381" t="s">
        <v>941</v>
      </c>
      <c r="BM381" t="s">
        <v>7355</v>
      </c>
      <c r="BN381" t="s">
        <v>74</v>
      </c>
      <c r="BO381" t="s">
        <v>7420</v>
      </c>
      <c r="BP381" t="s">
        <v>74</v>
      </c>
      <c r="BQ381" t="s">
        <v>74</v>
      </c>
      <c r="BR381" t="s">
        <v>101</v>
      </c>
      <c r="BS381" t="s">
        <v>7421</v>
      </c>
      <c r="BT381" t="str">
        <f>HYPERLINK("https%3A%2F%2Fwww.webofscience.com%2Fwos%2Fwoscc%2Ffull-record%2FWOS:000308774600016","View Full Record in Web of Science")</f>
        <v>View Full Record in Web of Science</v>
      </c>
    </row>
    <row r="382" spans="1:72" x14ac:dyDescent="0.15">
      <c r="A382" t="s">
        <v>72</v>
      </c>
      <c r="B382" t="s">
        <v>7422</v>
      </c>
      <c r="C382" t="s">
        <v>74</v>
      </c>
      <c r="D382" t="s">
        <v>74</v>
      </c>
      <c r="E382" t="s">
        <v>74</v>
      </c>
      <c r="F382" t="s">
        <v>7423</v>
      </c>
      <c r="G382" t="s">
        <v>74</v>
      </c>
      <c r="H382" t="s">
        <v>74</v>
      </c>
      <c r="I382" t="s">
        <v>7424</v>
      </c>
      <c r="J382" t="s">
        <v>7338</v>
      </c>
      <c r="K382" t="s">
        <v>74</v>
      </c>
      <c r="L382" t="s">
        <v>74</v>
      </c>
      <c r="M382" t="s">
        <v>78</v>
      </c>
      <c r="N382" t="s">
        <v>79</v>
      </c>
      <c r="O382" t="s">
        <v>74</v>
      </c>
      <c r="P382" t="s">
        <v>74</v>
      </c>
      <c r="Q382" t="s">
        <v>74</v>
      </c>
      <c r="R382" t="s">
        <v>74</v>
      </c>
      <c r="S382" t="s">
        <v>74</v>
      </c>
      <c r="T382" t="s">
        <v>74</v>
      </c>
      <c r="U382" t="s">
        <v>7425</v>
      </c>
      <c r="V382" t="s">
        <v>7426</v>
      </c>
      <c r="W382" t="s">
        <v>7427</v>
      </c>
      <c r="X382" t="s">
        <v>7428</v>
      </c>
      <c r="Y382" t="s">
        <v>7429</v>
      </c>
      <c r="Z382" t="s">
        <v>7430</v>
      </c>
      <c r="AA382" t="s">
        <v>7431</v>
      </c>
      <c r="AB382" t="s">
        <v>74</v>
      </c>
      <c r="AC382" t="s">
        <v>74</v>
      </c>
      <c r="AD382" t="s">
        <v>74</v>
      </c>
      <c r="AE382" t="s">
        <v>74</v>
      </c>
      <c r="AF382" t="s">
        <v>74</v>
      </c>
      <c r="AG382">
        <v>86</v>
      </c>
      <c r="AH382">
        <v>2</v>
      </c>
      <c r="AI382">
        <v>4</v>
      </c>
      <c r="AJ382">
        <v>2</v>
      </c>
      <c r="AK382">
        <v>29</v>
      </c>
      <c r="AL382" t="s">
        <v>7350</v>
      </c>
      <c r="AM382" t="s">
        <v>7351</v>
      </c>
      <c r="AN382" t="s">
        <v>7352</v>
      </c>
      <c r="AO382" t="s">
        <v>7353</v>
      </c>
      <c r="AP382" t="s">
        <v>74</v>
      </c>
      <c r="AQ382" t="s">
        <v>74</v>
      </c>
      <c r="AR382" t="s">
        <v>7338</v>
      </c>
      <c r="AS382" t="s">
        <v>941</v>
      </c>
      <c r="AT382" t="s">
        <v>7061</v>
      </c>
      <c r="AU382">
        <v>2012</v>
      </c>
      <c r="AV382">
        <v>25</v>
      </c>
      <c r="AW382">
        <v>3</v>
      </c>
      <c r="AX382" t="s">
        <v>74</v>
      </c>
      <c r="AY382" t="s">
        <v>74</v>
      </c>
      <c r="AZ382" t="s">
        <v>1019</v>
      </c>
      <c r="BA382" t="s">
        <v>74</v>
      </c>
      <c r="BB382">
        <v>106</v>
      </c>
      <c r="BC382">
        <v>117</v>
      </c>
      <c r="BD382" t="s">
        <v>74</v>
      </c>
      <c r="BE382" t="s">
        <v>7432</v>
      </c>
      <c r="BF382" t="str">
        <f>HYPERLINK("http://dx.doi.org/10.5670/oceanog.2012.82","http://dx.doi.org/10.5670/oceanog.2012.82")</f>
        <v>http://dx.doi.org/10.5670/oceanog.2012.82</v>
      </c>
      <c r="BG382" t="s">
        <v>74</v>
      </c>
      <c r="BH382" t="s">
        <v>74</v>
      </c>
      <c r="BI382">
        <v>12</v>
      </c>
      <c r="BJ382" t="s">
        <v>941</v>
      </c>
      <c r="BK382" t="s">
        <v>98</v>
      </c>
      <c r="BL382" t="s">
        <v>941</v>
      </c>
      <c r="BM382" t="s">
        <v>7355</v>
      </c>
      <c r="BN382" t="s">
        <v>74</v>
      </c>
      <c r="BO382" t="s">
        <v>777</v>
      </c>
      <c r="BP382" t="s">
        <v>74</v>
      </c>
      <c r="BQ382" t="s">
        <v>74</v>
      </c>
      <c r="BR382" t="s">
        <v>101</v>
      </c>
      <c r="BS382" t="s">
        <v>7433</v>
      </c>
      <c r="BT382" t="str">
        <f>HYPERLINK("https%3A%2F%2Fwww.webofscience.com%2Fwos%2Fwoscc%2Ffull-record%2FWOS:000308774600018","View Full Record in Web of Science")</f>
        <v>View Full Record in Web of Science</v>
      </c>
    </row>
    <row r="383" spans="1:72" x14ac:dyDescent="0.15">
      <c r="A383" t="s">
        <v>72</v>
      </c>
      <c r="B383" t="s">
        <v>7434</v>
      </c>
      <c r="C383" t="s">
        <v>74</v>
      </c>
      <c r="D383" t="s">
        <v>74</v>
      </c>
      <c r="E383" t="s">
        <v>74</v>
      </c>
      <c r="F383" t="s">
        <v>7435</v>
      </c>
      <c r="G383" t="s">
        <v>74</v>
      </c>
      <c r="H383" t="s">
        <v>74</v>
      </c>
      <c r="I383" t="s">
        <v>7436</v>
      </c>
      <c r="J383" t="s">
        <v>7338</v>
      </c>
      <c r="K383" t="s">
        <v>74</v>
      </c>
      <c r="L383" t="s">
        <v>74</v>
      </c>
      <c r="M383" t="s">
        <v>78</v>
      </c>
      <c r="N383" t="s">
        <v>79</v>
      </c>
      <c r="O383" t="s">
        <v>74</v>
      </c>
      <c r="P383" t="s">
        <v>74</v>
      </c>
      <c r="Q383" t="s">
        <v>74</v>
      </c>
      <c r="R383" t="s">
        <v>74</v>
      </c>
      <c r="S383" t="s">
        <v>74</v>
      </c>
      <c r="T383" t="s">
        <v>74</v>
      </c>
      <c r="U383" t="s">
        <v>7437</v>
      </c>
      <c r="V383" t="s">
        <v>7438</v>
      </c>
      <c r="W383" t="s">
        <v>7439</v>
      </c>
      <c r="X383" t="s">
        <v>7440</v>
      </c>
      <c r="Y383" t="s">
        <v>7441</v>
      </c>
      <c r="Z383" t="s">
        <v>7442</v>
      </c>
      <c r="AA383" t="s">
        <v>7443</v>
      </c>
      <c r="AB383" t="s">
        <v>7444</v>
      </c>
      <c r="AC383" t="s">
        <v>7445</v>
      </c>
      <c r="AD383" t="s">
        <v>7446</v>
      </c>
      <c r="AE383" t="s">
        <v>74</v>
      </c>
      <c r="AF383" t="s">
        <v>74</v>
      </c>
      <c r="AG383">
        <v>16</v>
      </c>
      <c r="AH383">
        <v>0</v>
      </c>
      <c r="AI383">
        <v>0</v>
      </c>
      <c r="AJ383">
        <v>0</v>
      </c>
      <c r="AK383">
        <v>5</v>
      </c>
      <c r="AL383" t="s">
        <v>7350</v>
      </c>
      <c r="AM383" t="s">
        <v>7351</v>
      </c>
      <c r="AN383" t="s">
        <v>7352</v>
      </c>
      <c r="AO383" t="s">
        <v>7353</v>
      </c>
      <c r="AP383" t="s">
        <v>74</v>
      </c>
      <c r="AQ383" t="s">
        <v>74</v>
      </c>
      <c r="AR383" t="s">
        <v>7338</v>
      </c>
      <c r="AS383" t="s">
        <v>941</v>
      </c>
      <c r="AT383" t="s">
        <v>7061</v>
      </c>
      <c r="AU383">
        <v>2012</v>
      </c>
      <c r="AV383">
        <v>25</v>
      </c>
      <c r="AW383">
        <v>3</v>
      </c>
      <c r="AX383" t="s">
        <v>74</v>
      </c>
      <c r="AY383" t="s">
        <v>74</v>
      </c>
      <c r="AZ383" t="s">
        <v>1019</v>
      </c>
      <c r="BA383" t="s">
        <v>74</v>
      </c>
      <c r="BB383">
        <v>136</v>
      </c>
      <c r="BC383">
        <v>139</v>
      </c>
      <c r="BD383" t="s">
        <v>74</v>
      </c>
      <c r="BE383" t="s">
        <v>7447</v>
      </c>
      <c r="BF383" t="str">
        <f>HYPERLINK("http://dx.doi.org/10.5670/oceanog.2012.87","http://dx.doi.org/10.5670/oceanog.2012.87")</f>
        <v>http://dx.doi.org/10.5670/oceanog.2012.87</v>
      </c>
      <c r="BG383" t="s">
        <v>74</v>
      </c>
      <c r="BH383" t="s">
        <v>74</v>
      </c>
      <c r="BI383">
        <v>4</v>
      </c>
      <c r="BJ383" t="s">
        <v>941</v>
      </c>
      <c r="BK383" t="s">
        <v>98</v>
      </c>
      <c r="BL383" t="s">
        <v>941</v>
      </c>
      <c r="BM383" t="s">
        <v>7355</v>
      </c>
      <c r="BN383" t="s">
        <v>74</v>
      </c>
      <c r="BO383" t="s">
        <v>7420</v>
      </c>
      <c r="BP383" t="s">
        <v>74</v>
      </c>
      <c r="BQ383" t="s">
        <v>74</v>
      </c>
      <c r="BR383" t="s">
        <v>101</v>
      </c>
      <c r="BS383" t="s">
        <v>7448</v>
      </c>
      <c r="BT383" t="str">
        <f>HYPERLINK("https%3A%2F%2Fwww.webofscience.com%2Fwos%2Fwoscc%2Ffull-record%2FWOS:000308774600023","View Full Record in Web of Science")</f>
        <v>View Full Record in Web of Science</v>
      </c>
    </row>
    <row r="384" spans="1:72" x14ac:dyDescent="0.15">
      <c r="A384" t="s">
        <v>72</v>
      </c>
      <c r="B384" t="s">
        <v>7449</v>
      </c>
      <c r="C384" t="s">
        <v>74</v>
      </c>
      <c r="D384" t="s">
        <v>74</v>
      </c>
      <c r="E384" t="s">
        <v>74</v>
      </c>
      <c r="F384" t="s">
        <v>7450</v>
      </c>
      <c r="G384" t="s">
        <v>74</v>
      </c>
      <c r="H384" t="s">
        <v>74</v>
      </c>
      <c r="I384" t="s">
        <v>7451</v>
      </c>
      <c r="J384" t="s">
        <v>7338</v>
      </c>
      <c r="K384" t="s">
        <v>74</v>
      </c>
      <c r="L384" t="s">
        <v>74</v>
      </c>
      <c r="M384" t="s">
        <v>78</v>
      </c>
      <c r="N384" t="s">
        <v>79</v>
      </c>
      <c r="O384" t="s">
        <v>74</v>
      </c>
      <c r="P384" t="s">
        <v>74</v>
      </c>
      <c r="Q384" t="s">
        <v>74</v>
      </c>
      <c r="R384" t="s">
        <v>74</v>
      </c>
      <c r="S384" t="s">
        <v>74</v>
      </c>
      <c r="T384" t="s">
        <v>74</v>
      </c>
      <c r="U384" t="s">
        <v>7452</v>
      </c>
      <c r="V384" t="s">
        <v>7453</v>
      </c>
      <c r="W384" t="s">
        <v>7454</v>
      </c>
      <c r="X384" t="s">
        <v>7455</v>
      </c>
      <c r="Y384" t="s">
        <v>7456</v>
      </c>
      <c r="Z384" t="s">
        <v>7457</v>
      </c>
      <c r="AA384" t="s">
        <v>74</v>
      </c>
      <c r="AB384" t="s">
        <v>7458</v>
      </c>
      <c r="AC384" t="s">
        <v>7459</v>
      </c>
      <c r="AD384" t="s">
        <v>7460</v>
      </c>
      <c r="AE384" t="s">
        <v>7461</v>
      </c>
      <c r="AF384" t="s">
        <v>74</v>
      </c>
      <c r="AG384">
        <v>74</v>
      </c>
      <c r="AH384">
        <v>85</v>
      </c>
      <c r="AI384">
        <v>100</v>
      </c>
      <c r="AJ384">
        <v>0</v>
      </c>
      <c r="AK384">
        <v>59</v>
      </c>
      <c r="AL384" t="s">
        <v>7350</v>
      </c>
      <c r="AM384" t="s">
        <v>7351</v>
      </c>
      <c r="AN384" t="s">
        <v>7352</v>
      </c>
      <c r="AO384" t="s">
        <v>7353</v>
      </c>
      <c r="AP384" t="s">
        <v>74</v>
      </c>
      <c r="AQ384" t="s">
        <v>74</v>
      </c>
      <c r="AR384" t="s">
        <v>7338</v>
      </c>
      <c r="AS384" t="s">
        <v>941</v>
      </c>
      <c r="AT384" t="s">
        <v>7061</v>
      </c>
      <c r="AU384">
        <v>2012</v>
      </c>
      <c r="AV384">
        <v>25</v>
      </c>
      <c r="AW384">
        <v>3</v>
      </c>
      <c r="AX384" t="s">
        <v>74</v>
      </c>
      <c r="AY384" t="s">
        <v>74</v>
      </c>
      <c r="AZ384" t="s">
        <v>1019</v>
      </c>
      <c r="BA384" t="s">
        <v>74</v>
      </c>
      <c r="BB384">
        <v>140</v>
      </c>
      <c r="BC384">
        <v>151</v>
      </c>
      <c r="BD384" t="s">
        <v>74</v>
      </c>
      <c r="BE384" t="s">
        <v>7462</v>
      </c>
      <c r="BF384" t="str">
        <f>HYPERLINK("http://dx.doi.org/10.5670/oceanog.2012.88","http://dx.doi.org/10.5670/oceanog.2012.88")</f>
        <v>http://dx.doi.org/10.5670/oceanog.2012.88</v>
      </c>
      <c r="BG384" t="s">
        <v>74</v>
      </c>
      <c r="BH384" t="s">
        <v>74</v>
      </c>
      <c r="BI384">
        <v>12</v>
      </c>
      <c r="BJ384" t="s">
        <v>941</v>
      </c>
      <c r="BK384" t="s">
        <v>98</v>
      </c>
      <c r="BL384" t="s">
        <v>941</v>
      </c>
      <c r="BM384" t="s">
        <v>7355</v>
      </c>
      <c r="BN384" t="s">
        <v>74</v>
      </c>
      <c r="BO384" t="s">
        <v>3409</v>
      </c>
      <c r="BP384" t="s">
        <v>74</v>
      </c>
      <c r="BQ384" t="s">
        <v>74</v>
      </c>
      <c r="BR384" t="s">
        <v>101</v>
      </c>
      <c r="BS384" t="s">
        <v>7463</v>
      </c>
      <c r="BT384" t="str">
        <f>HYPERLINK("https%3A%2F%2Fwww.webofscience.com%2Fwos%2Fwoscc%2Ffull-record%2FWOS:000308774600024","View Full Record in Web of Science")</f>
        <v>View Full Record in Web of Science</v>
      </c>
    </row>
    <row r="385" spans="1:72" x14ac:dyDescent="0.15">
      <c r="A385" t="s">
        <v>72</v>
      </c>
      <c r="B385" t="s">
        <v>7464</v>
      </c>
      <c r="C385" t="s">
        <v>74</v>
      </c>
      <c r="D385" t="s">
        <v>74</v>
      </c>
      <c r="E385" t="s">
        <v>74</v>
      </c>
      <c r="F385" t="s">
        <v>7465</v>
      </c>
      <c r="G385" t="s">
        <v>74</v>
      </c>
      <c r="H385" t="s">
        <v>74</v>
      </c>
      <c r="I385" t="s">
        <v>7466</v>
      </c>
      <c r="J385" t="s">
        <v>7338</v>
      </c>
      <c r="K385" t="s">
        <v>74</v>
      </c>
      <c r="L385" t="s">
        <v>74</v>
      </c>
      <c r="M385" t="s">
        <v>78</v>
      </c>
      <c r="N385" t="s">
        <v>79</v>
      </c>
      <c r="O385" t="s">
        <v>74</v>
      </c>
      <c r="P385" t="s">
        <v>74</v>
      </c>
      <c r="Q385" t="s">
        <v>74</v>
      </c>
      <c r="R385" t="s">
        <v>74</v>
      </c>
      <c r="S385" t="s">
        <v>74</v>
      </c>
      <c r="T385" t="s">
        <v>74</v>
      </c>
      <c r="U385" t="s">
        <v>7467</v>
      </c>
      <c r="V385" t="s">
        <v>7468</v>
      </c>
      <c r="W385" t="s">
        <v>7469</v>
      </c>
      <c r="X385" t="s">
        <v>7470</v>
      </c>
      <c r="Y385" t="s">
        <v>7471</v>
      </c>
      <c r="Z385" t="s">
        <v>7472</v>
      </c>
      <c r="AA385" t="s">
        <v>74</v>
      </c>
      <c r="AB385" t="s">
        <v>7473</v>
      </c>
      <c r="AC385" t="s">
        <v>74</v>
      </c>
      <c r="AD385" t="s">
        <v>74</v>
      </c>
      <c r="AE385" t="s">
        <v>74</v>
      </c>
      <c r="AF385" t="s">
        <v>74</v>
      </c>
      <c r="AG385">
        <v>83</v>
      </c>
      <c r="AH385">
        <v>20</v>
      </c>
      <c r="AI385">
        <v>25</v>
      </c>
      <c r="AJ385">
        <v>0</v>
      </c>
      <c r="AK385">
        <v>21</v>
      </c>
      <c r="AL385" t="s">
        <v>7350</v>
      </c>
      <c r="AM385" t="s">
        <v>7351</v>
      </c>
      <c r="AN385" t="s">
        <v>7352</v>
      </c>
      <c r="AO385" t="s">
        <v>7353</v>
      </c>
      <c r="AP385" t="s">
        <v>74</v>
      </c>
      <c r="AQ385" t="s">
        <v>74</v>
      </c>
      <c r="AR385" t="s">
        <v>7338</v>
      </c>
      <c r="AS385" t="s">
        <v>941</v>
      </c>
      <c r="AT385" t="s">
        <v>7061</v>
      </c>
      <c r="AU385">
        <v>2012</v>
      </c>
      <c r="AV385">
        <v>25</v>
      </c>
      <c r="AW385">
        <v>3</v>
      </c>
      <c r="AX385" t="s">
        <v>74</v>
      </c>
      <c r="AY385" t="s">
        <v>74</v>
      </c>
      <c r="AZ385" t="s">
        <v>1019</v>
      </c>
      <c r="BA385" t="s">
        <v>74</v>
      </c>
      <c r="BB385">
        <v>166</v>
      </c>
      <c r="BC385">
        <v>183</v>
      </c>
      <c r="BD385" t="s">
        <v>74</v>
      </c>
      <c r="BE385" t="s">
        <v>7474</v>
      </c>
      <c r="BF385" t="str">
        <f>HYPERLINK("http://dx.doi.org/10.5670/oceanog.2012.92","http://dx.doi.org/10.5670/oceanog.2012.92")</f>
        <v>http://dx.doi.org/10.5670/oceanog.2012.92</v>
      </c>
      <c r="BG385" t="s">
        <v>74</v>
      </c>
      <c r="BH385" t="s">
        <v>74</v>
      </c>
      <c r="BI385">
        <v>18</v>
      </c>
      <c r="BJ385" t="s">
        <v>941</v>
      </c>
      <c r="BK385" t="s">
        <v>98</v>
      </c>
      <c r="BL385" t="s">
        <v>941</v>
      </c>
      <c r="BM385" t="s">
        <v>7355</v>
      </c>
      <c r="BN385" t="s">
        <v>74</v>
      </c>
      <c r="BO385" t="s">
        <v>7420</v>
      </c>
      <c r="BP385" t="s">
        <v>74</v>
      </c>
      <c r="BQ385" t="s">
        <v>74</v>
      </c>
      <c r="BR385" t="s">
        <v>101</v>
      </c>
      <c r="BS385" t="s">
        <v>7475</v>
      </c>
      <c r="BT385" t="str">
        <f>HYPERLINK("https%3A%2F%2Fwww.webofscience.com%2Fwos%2Fwoscc%2Ffull-record%2FWOS:000308774600028","View Full Record in Web of Science")</f>
        <v>View Full Record in Web of Science</v>
      </c>
    </row>
    <row r="386" spans="1:72" x14ac:dyDescent="0.15">
      <c r="A386" t="s">
        <v>72</v>
      </c>
      <c r="B386" t="s">
        <v>7476</v>
      </c>
      <c r="C386" t="s">
        <v>74</v>
      </c>
      <c r="D386" t="s">
        <v>74</v>
      </c>
      <c r="E386" t="s">
        <v>74</v>
      </c>
      <c r="F386" t="s">
        <v>7477</v>
      </c>
      <c r="G386" t="s">
        <v>74</v>
      </c>
      <c r="H386" t="s">
        <v>74</v>
      </c>
      <c r="I386" t="s">
        <v>7478</v>
      </c>
      <c r="J386" t="s">
        <v>7338</v>
      </c>
      <c r="K386" t="s">
        <v>74</v>
      </c>
      <c r="L386" t="s">
        <v>74</v>
      </c>
      <c r="M386" t="s">
        <v>78</v>
      </c>
      <c r="N386" t="s">
        <v>79</v>
      </c>
      <c r="O386" t="s">
        <v>74</v>
      </c>
      <c r="P386" t="s">
        <v>74</v>
      </c>
      <c r="Q386" t="s">
        <v>74</v>
      </c>
      <c r="R386" t="s">
        <v>74</v>
      </c>
      <c r="S386" t="s">
        <v>74</v>
      </c>
      <c r="T386" t="s">
        <v>74</v>
      </c>
      <c r="U386" t="s">
        <v>7479</v>
      </c>
      <c r="V386" t="s">
        <v>7480</v>
      </c>
      <c r="W386" t="s">
        <v>7481</v>
      </c>
      <c r="X386" t="s">
        <v>7482</v>
      </c>
      <c r="Y386" t="s">
        <v>7483</v>
      </c>
      <c r="Z386" t="s">
        <v>7484</v>
      </c>
      <c r="AA386" t="s">
        <v>74</v>
      </c>
      <c r="AB386" t="s">
        <v>74</v>
      </c>
      <c r="AC386" t="s">
        <v>7485</v>
      </c>
      <c r="AD386" t="s">
        <v>7486</v>
      </c>
      <c r="AE386" t="s">
        <v>7487</v>
      </c>
      <c r="AF386" t="s">
        <v>74</v>
      </c>
      <c r="AG386">
        <v>16</v>
      </c>
      <c r="AH386">
        <v>8</v>
      </c>
      <c r="AI386">
        <v>8</v>
      </c>
      <c r="AJ386">
        <v>0</v>
      </c>
      <c r="AK386">
        <v>21</v>
      </c>
      <c r="AL386" t="s">
        <v>7350</v>
      </c>
      <c r="AM386" t="s">
        <v>7351</v>
      </c>
      <c r="AN386" t="s">
        <v>7352</v>
      </c>
      <c r="AO386" t="s">
        <v>7353</v>
      </c>
      <c r="AP386" t="s">
        <v>74</v>
      </c>
      <c r="AQ386" t="s">
        <v>74</v>
      </c>
      <c r="AR386" t="s">
        <v>7338</v>
      </c>
      <c r="AS386" t="s">
        <v>941</v>
      </c>
      <c r="AT386" t="s">
        <v>7061</v>
      </c>
      <c r="AU386">
        <v>2012</v>
      </c>
      <c r="AV386">
        <v>25</v>
      </c>
      <c r="AW386">
        <v>3</v>
      </c>
      <c r="AX386" t="s">
        <v>74</v>
      </c>
      <c r="AY386" t="s">
        <v>74</v>
      </c>
      <c r="AZ386" t="s">
        <v>1019</v>
      </c>
      <c r="BA386" t="s">
        <v>74</v>
      </c>
      <c r="BB386">
        <v>184</v>
      </c>
      <c r="BC386">
        <v>187</v>
      </c>
      <c r="BD386" t="s">
        <v>74</v>
      </c>
      <c r="BE386" t="s">
        <v>7488</v>
      </c>
      <c r="BF386" t="str">
        <f>HYPERLINK("http://dx.doi.org/10.5670/oceanog.2012.93","http://dx.doi.org/10.5670/oceanog.2012.93")</f>
        <v>http://dx.doi.org/10.5670/oceanog.2012.93</v>
      </c>
      <c r="BG386" t="s">
        <v>74</v>
      </c>
      <c r="BH386" t="s">
        <v>74</v>
      </c>
      <c r="BI386">
        <v>4</v>
      </c>
      <c r="BJ386" t="s">
        <v>941</v>
      </c>
      <c r="BK386" t="s">
        <v>98</v>
      </c>
      <c r="BL386" t="s">
        <v>941</v>
      </c>
      <c r="BM386" t="s">
        <v>7355</v>
      </c>
      <c r="BN386" t="s">
        <v>74</v>
      </c>
      <c r="BO386" t="s">
        <v>3028</v>
      </c>
      <c r="BP386" t="s">
        <v>74</v>
      </c>
      <c r="BQ386" t="s">
        <v>74</v>
      </c>
      <c r="BR386" t="s">
        <v>101</v>
      </c>
      <c r="BS386" t="s">
        <v>7489</v>
      </c>
      <c r="BT386" t="str">
        <f>HYPERLINK("https%3A%2F%2Fwww.webofscience.com%2Fwos%2Fwoscc%2Ffull-record%2FWOS:000308774600029","View Full Record in Web of Science")</f>
        <v>View Full Record in Web of Science</v>
      </c>
    </row>
    <row r="387" spans="1:72" x14ac:dyDescent="0.15">
      <c r="A387" t="s">
        <v>72</v>
      </c>
      <c r="B387" t="s">
        <v>7490</v>
      </c>
      <c r="C387" t="s">
        <v>74</v>
      </c>
      <c r="D387" t="s">
        <v>74</v>
      </c>
      <c r="E387" t="s">
        <v>74</v>
      </c>
      <c r="F387" t="s">
        <v>7491</v>
      </c>
      <c r="G387" t="s">
        <v>74</v>
      </c>
      <c r="H387" t="s">
        <v>74</v>
      </c>
      <c r="I387" t="s">
        <v>7492</v>
      </c>
      <c r="J387" t="s">
        <v>7338</v>
      </c>
      <c r="K387" t="s">
        <v>74</v>
      </c>
      <c r="L387" t="s">
        <v>74</v>
      </c>
      <c r="M387" t="s">
        <v>78</v>
      </c>
      <c r="N387" t="s">
        <v>79</v>
      </c>
      <c r="O387" t="s">
        <v>74</v>
      </c>
      <c r="P387" t="s">
        <v>74</v>
      </c>
      <c r="Q387" t="s">
        <v>74</v>
      </c>
      <c r="R387" t="s">
        <v>74</v>
      </c>
      <c r="S387" t="s">
        <v>74</v>
      </c>
      <c r="T387" t="s">
        <v>74</v>
      </c>
      <c r="U387" t="s">
        <v>7493</v>
      </c>
      <c r="V387" t="s">
        <v>7494</v>
      </c>
      <c r="W387" t="s">
        <v>7495</v>
      </c>
      <c r="X387" t="s">
        <v>7496</v>
      </c>
      <c r="Y387" t="s">
        <v>7497</v>
      </c>
      <c r="Z387" t="s">
        <v>7498</v>
      </c>
      <c r="AA387" t="s">
        <v>7499</v>
      </c>
      <c r="AB387" t="s">
        <v>7500</v>
      </c>
      <c r="AC387" t="s">
        <v>7501</v>
      </c>
      <c r="AD387" t="s">
        <v>7502</v>
      </c>
      <c r="AE387" t="s">
        <v>7503</v>
      </c>
      <c r="AF387" t="s">
        <v>74</v>
      </c>
      <c r="AG387">
        <v>54</v>
      </c>
      <c r="AH387">
        <v>45</v>
      </c>
      <c r="AI387">
        <v>50</v>
      </c>
      <c r="AJ387">
        <v>1</v>
      </c>
      <c r="AK387">
        <v>68</v>
      </c>
      <c r="AL387" t="s">
        <v>7350</v>
      </c>
      <c r="AM387" t="s">
        <v>7351</v>
      </c>
      <c r="AN387" t="s">
        <v>7352</v>
      </c>
      <c r="AO387" t="s">
        <v>7353</v>
      </c>
      <c r="AP387" t="s">
        <v>74</v>
      </c>
      <c r="AQ387" t="s">
        <v>74</v>
      </c>
      <c r="AR387" t="s">
        <v>7338</v>
      </c>
      <c r="AS387" t="s">
        <v>941</v>
      </c>
      <c r="AT387" t="s">
        <v>7061</v>
      </c>
      <c r="AU387">
        <v>2012</v>
      </c>
      <c r="AV387">
        <v>25</v>
      </c>
      <c r="AW387">
        <v>3</v>
      </c>
      <c r="AX387" t="s">
        <v>74</v>
      </c>
      <c r="AY387" t="s">
        <v>74</v>
      </c>
      <c r="AZ387" t="s">
        <v>1019</v>
      </c>
      <c r="BA387" t="s">
        <v>74</v>
      </c>
      <c r="BB387">
        <v>188</v>
      </c>
      <c r="BC387">
        <v>201</v>
      </c>
      <c r="BD387" t="s">
        <v>74</v>
      </c>
      <c r="BE387" t="s">
        <v>7504</v>
      </c>
      <c r="BF387" t="str">
        <f>HYPERLINK("http://dx.doi.org/10.5670/oceanog.2012.94","http://dx.doi.org/10.5670/oceanog.2012.94")</f>
        <v>http://dx.doi.org/10.5670/oceanog.2012.94</v>
      </c>
      <c r="BG387" t="s">
        <v>74</v>
      </c>
      <c r="BH387" t="s">
        <v>74</v>
      </c>
      <c r="BI387">
        <v>14</v>
      </c>
      <c r="BJ387" t="s">
        <v>941</v>
      </c>
      <c r="BK387" t="s">
        <v>98</v>
      </c>
      <c r="BL387" t="s">
        <v>941</v>
      </c>
      <c r="BM387" t="s">
        <v>7355</v>
      </c>
      <c r="BN387" t="s">
        <v>74</v>
      </c>
      <c r="BO387" t="s">
        <v>7420</v>
      </c>
      <c r="BP387" t="s">
        <v>74</v>
      </c>
      <c r="BQ387" t="s">
        <v>74</v>
      </c>
      <c r="BR387" t="s">
        <v>101</v>
      </c>
      <c r="BS387" t="s">
        <v>7505</v>
      </c>
      <c r="BT387" t="str">
        <f>HYPERLINK("https%3A%2F%2Fwww.webofscience.com%2Fwos%2Fwoscc%2Ffull-record%2FWOS:000308774600030","View Full Record in Web of Science")</f>
        <v>View Full Record in Web of Science</v>
      </c>
    </row>
    <row r="388" spans="1:72" x14ac:dyDescent="0.15">
      <c r="A388" t="s">
        <v>72</v>
      </c>
      <c r="B388" t="s">
        <v>7506</v>
      </c>
      <c r="C388" t="s">
        <v>74</v>
      </c>
      <c r="D388" t="s">
        <v>74</v>
      </c>
      <c r="E388" t="s">
        <v>74</v>
      </c>
      <c r="F388" t="s">
        <v>7507</v>
      </c>
      <c r="G388" t="s">
        <v>74</v>
      </c>
      <c r="H388" t="s">
        <v>74</v>
      </c>
      <c r="I388" t="s">
        <v>7508</v>
      </c>
      <c r="J388" t="s">
        <v>7509</v>
      </c>
      <c r="K388" t="s">
        <v>74</v>
      </c>
      <c r="L388" t="s">
        <v>74</v>
      </c>
      <c r="M388" t="s">
        <v>78</v>
      </c>
      <c r="N388" t="s">
        <v>79</v>
      </c>
      <c r="O388" t="s">
        <v>74</v>
      </c>
      <c r="P388" t="s">
        <v>74</v>
      </c>
      <c r="Q388" t="s">
        <v>74</v>
      </c>
      <c r="R388" t="s">
        <v>74</v>
      </c>
      <c r="S388" t="s">
        <v>74</v>
      </c>
      <c r="T388" t="s">
        <v>74</v>
      </c>
      <c r="U388" t="s">
        <v>7510</v>
      </c>
      <c r="V388" t="s">
        <v>7511</v>
      </c>
      <c r="W388" t="s">
        <v>7512</v>
      </c>
      <c r="X388" t="s">
        <v>7513</v>
      </c>
      <c r="Y388" t="s">
        <v>7514</v>
      </c>
      <c r="Z388" t="s">
        <v>7515</v>
      </c>
      <c r="AA388" t="s">
        <v>74</v>
      </c>
      <c r="AB388" t="s">
        <v>74</v>
      </c>
      <c r="AC388" t="s">
        <v>7516</v>
      </c>
      <c r="AD388" t="s">
        <v>7517</v>
      </c>
      <c r="AE388" t="s">
        <v>7518</v>
      </c>
      <c r="AF388" t="s">
        <v>74</v>
      </c>
      <c r="AG388">
        <v>71</v>
      </c>
      <c r="AH388">
        <v>9</v>
      </c>
      <c r="AI388">
        <v>12</v>
      </c>
      <c r="AJ388">
        <v>0</v>
      </c>
      <c r="AK388">
        <v>38</v>
      </c>
      <c r="AL388" t="s">
        <v>2780</v>
      </c>
      <c r="AM388" t="s">
        <v>371</v>
      </c>
      <c r="AN388" t="s">
        <v>2781</v>
      </c>
      <c r="AO388" t="s">
        <v>7519</v>
      </c>
      <c r="AP388" t="s">
        <v>7520</v>
      </c>
      <c r="AQ388" t="s">
        <v>74</v>
      </c>
      <c r="AR388" t="s">
        <v>7509</v>
      </c>
      <c r="AS388" t="s">
        <v>7521</v>
      </c>
      <c r="AT388" t="s">
        <v>7522</v>
      </c>
      <c r="AU388">
        <v>2012</v>
      </c>
      <c r="AV388">
        <v>38</v>
      </c>
      <c r="AW388">
        <v>4</v>
      </c>
      <c r="AX388" t="s">
        <v>74</v>
      </c>
      <c r="AY388" t="s">
        <v>74</v>
      </c>
      <c r="AZ388" t="s">
        <v>74</v>
      </c>
      <c r="BA388" t="s">
        <v>74</v>
      </c>
      <c r="BB388">
        <v>525</v>
      </c>
      <c r="BC388">
        <v>537</v>
      </c>
      <c r="BD388" t="s">
        <v>74</v>
      </c>
      <c r="BE388" t="s">
        <v>7523</v>
      </c>
      <c r="BF388" t="str">
        <f>HYPERLINK("http://dx.doi.org/10.1666/11020.1","http://dx.doi.org/10.1666/11020.1")</f>
        <v>http://dx.doi.org/10.1666/11020.1</v>
      </c>
      <c r="BG388" t="s">
        <v>74</v>
      </c>
      <c r="BH388" t="s">
        <v>74</v>
      </c>
      <c r="BI388">
        <v>13</v>
      </c>
      <c r="BJ388" t="s">
        <v>7524</v>
      </c>
      <c r="BK388" t="s">
        <v>98</v>
      </c>
      <c r="BL388" t="s">
        <v>7525</v>
      </c>
      <c r="BM388" t="s">
        <v>7526</v>
      </c>
      <c r="BN388" t="s">
        <v>74</v>
      </c>
      <c r="BO388" t="s">
        <v>74</v>
      </c>
      <c r="BP388" t="s">
        <v>74</v>
      </c>
      <c r="BQ388" t="s">
        <v>74</v>
      </c>
      <c r="BR388" t="s">
        <v>101</v>
      </c>
      <c r="BS388" t="s">
        <v>7527</v>
      </c>
      <c r="BT388" t="str">
        <f>HYPERLINK("https%3A%2F%2Fwww.webofscience.com%2Fwos%2Fwoscc%2Ffull-record%2FWOS:000309197500002","View Full Record in Web of Science")</f>
        <v>View Full Record in Web of Science</v>
      </c>
    </row>
    <row r="389" spans="1:72" x14ac:dyDescent="0.15">
      <c r="A389" t="s">
        <v>72</v>
      </c>
      <c r="B389" t="s">
        <v>7528</v>
      </c>
      <c r="C389" t="s">
        <v>74</v>
      </c>
      <c r="D389" t="s">
        <v>74</v>
      </c>
      <c r="E389" t="s">
        <v>74</v>
      </c>
      <c r="F389" t="s">
        <v>7529</v>
      </c>
      <c r="G389" t="s">
        <v>74</v>
      </c>
      <c r="H389" t="s">
        <v>74</v>
      </c>
      <c r="I389" t="s">
        <v>7530</v>
      </c>
      <c r="J389" t="s">
        <v>7531</v>
      </c>
      <c r="K389" t="s">
        <v>74</v>
      </c>
      <c r="L389" t="s">
        <v>74</v>
      </c>
      <c r="M389" t="s">
        <v>78</v>
      </c>
      <c r="N389" t="s">
        <v>471</v>
      </c>
      <c r="O389" t="s">
        <v>7532</v>
      </c>
      <c r="P389" t="s">
        <v>7533</v>
      </c>
      <c r="Q389" t="s">
        <v>7534</v>
      </c>
      <c r="R389" t="s">
        <v>74</v>
      </c>
      <c r="S389" t="s">
        <v>7535</v>
      </c>
      <c r="T389" t="s">
        <v>7536</v>
      </c>
      <c r="U389" t="s">
        <v>7537</v>
      </c>
      <c r="V389" t="s">
        <v>7538</v>
      </c>
      <c r="W389" t="s">
        <v>7539</v>
      </c>
      <c r="X389" t="s">
        <v>7540</v>
      </c>
      <c r="Y389" t="s">
        <v>7541</v>
      </c>
      <c r="Z389" t="s">
        <v>7542</v>
      </c>
      <c r="AA389" t="s">
        <v>7543</v>
      </c>
      <c r="AB389" t="s">
        <v>7544</v>
      </c>
      <c r="AC389" t="s">
        <v>74</v>
      </c>
      <c r="AD389" t="s">
        <v>74</v>
      </c>
      <c r="AE389" t="s">
        <v>74</v>
      </c>
      <c r="AF389" t="s">
        <v>74</v>
      </c>
      <c r="AG389">
        <v>86</v>
      </c>
      <c r="AH389">
        <v>14</v>
      </c>
      <c r="AI389">
        <v>16</v>
      </c>
      <c r="AJ389">
        <v>1</v>
      </c>
      <c r="AK389">
        <v>23</v>
      </c>
      <c r="AL389" t="s">
        <v>935</v>
      </c>
      <c r="AM389" t="s">
        <v>2382</v>
      </c>
      <c r="AN389" t="s">
        <v>2383</v>
      </c>
      <c r="AO389" t="s">
        <v>7545</v>
      </c>
      <c r="AP389" t="s">
        <v>7546</v>
      </c>
      <c r="AQ389" t="s">
        <v>74</v>
      </c>
      <c r="AR389" t="s">
        <v>7531</v>
      </c>
      <c r="AS389" t="s">
        <v>7547</v>
      </c>
      <c r="AT389" t="s">
        <v>7061</v>
      </c>
      <c r="AU389">
        <v>2012</v>
      </c>
      <c r="AV389">
        <v>110</v>
      </c>
      <c r="AW389" t="s">
        <v>7548</v>
      </c>
      <c r="AX389" t="s">
        <v>74</v>
      </c>
      <c r="AY389" t="s">
        <v>74</v>
      </c>
      <c r="AZ389" t="s">
        <v>1019</v>
      </c>
      <c r="BA389" t="s">
        <v>74</v>
      </c>
      <c r="BB389">
        <v>57</v>
      </c>
      <c r="BC389">
        <v>74</v>
      </c>
      <c r="BD389" t="s">
        <v>74</v>
      </c>
      <c r="BE389" t="s">
        <v>7549</v>
      </c>
      <c r="BF389" t="str">
        <f>HYPERLINK("http://dx.doi.org/10.1007/s10533-012-9699-y","http://dx.doi.org/10.1007/s10533-012-9699-y")</f>
        <v>http://dx.doi.org/10.1007/s10533-012-9699-y</v>
      </c>
      <c r="BG389" t="s">
        <v>74</v>
      </c>
      <c r="BH389" t="s">
        <v>74</v>
      </c>
      <c r="BI389">
        <v>18</v>
      </c>
      <c r="BJ389" t="s">
        <v>7550</v>
      </c>
      <c r="BK389" t="s">
        <v>491</v>
      </c>
      <c r="BL389" t="s">
        <v>7551</v>
      </c>
      <c r="BM389" t="s">
        <v>7552</v>
      </c>
      <c r="BN389" t="s">
        <v>74</v>
      </c>
      <c r="BO389" t="s">
        <v>74</v>
      </c>
      <c r="BP389" t="s">
        <v>74</v>
      </c>
      <c r="BQ389" t="s">
        <v>74</v>
      </c>
      <c r="BR389" t="s">
        <v>101</v>
      </c>
      <c r="BS389" t="s">
        <v>7553</v>
      </c>
      <c r="BT389" t="str">
        <f>HYPERLINK("https%3A%2F%2Fwww.webofscience.com%2Fwos%2Fwoscc%2Ffull-record%2FWOS:000309227400006","View Full Record in Web of Science")</f>
        <v>View Full Record in Web of Science</v>
      </c>
    </row>
    <row r="390" spans="1:72" x14ac:dyDescent="0.15">
      <c r="A390" t="s">
        <v>72</v>
      </c>
      <c r="B390" t="s">
        <v>7554</v>
      </c>
      <c r="C390" t="s">
        <v>74</v>
      </c>
      <c r="D390" t="s">
        <v>74</v>
      </c>
      <c r="E390" t="s">
        <v>74</v>
      </c>
      <c r="F390" t="s">
        <v>7555</v>
      </c>
      <c r="G390" t="s">
        <v>74</v>
      </c>
      <c r="H390" t="s">
        <v>74</v>
      </c>
      <c r="I390" t="s">
        <v>7556</v>
      </c>
      <c r="J390" t="s">
        <v>7557</v>
      </c>
      <c r="K390" t="s">
        <v>74</v>
      </c>
      <c r="L390" t="s">
        <v>74</v>
      </c>
      <c r="M390" t="s">
        <v>78</v>
      </c>
      <c r="N390" t="s">
        <v>79</v>
      </c>
      <c r="O390" t="s">
        <v>74</v>
      </c>
      <c r="P390" t="s">
        <v>74</v>
      </c>
      <c r="Q390" t="s">
        <v>74</v>
      </c>
      <c r="R390" t="s">
        <v>74</v>
      </c>
      <c r="S390" t="s">
        <v>74</v>
      </c>
      <c r="T390" t="s">
        <v>7558</v>
      </c>
      <c r="U390" t="s">
        <v>7559</v>
      </c>
      <c r="V390" t="s">
        <v>7560</v>
      </c>
      <c r="W390" t="s">
        <v>7561</v>
      </c>
      <c r="X390" t="s">
        <v>7562</v>
      </c>
      <c r="Y390" t="s">
        <v>7563</v>
      </c>
      <c r="Z390" t="s">
        <v>7564</v>
      </c>
      <c r="AA390" t="s">
        <v>74</v>
      </c>
      <c r="AB390" t="s">
        <v>7565</v>
      </c>
      <c r="AC390" t="s">
        <v>7566</v>
      </c>
      <c r="AD390" t="s">
        <v>7567</v>
      </c>
      <c r="AE390" t="s">
        <v>7568</v>
      </c>
      <c r="AF390" t="s">
        <v>74</v>
      </c>
      <c r="AG390">
        <v>24</v>
      </c>
      <c r="AH390">
        <v>31</v>
      </c>
      <c r="AI390">
        <v>31</v>
      </c>
      <c r="AJ390">
        <v>1</v>
      </c>
      <c r="AK390">
        <v>35</v>
      </c>
      <c r="AL390" t="s">
        <v>259</v>
      </c>
      <c r="AM390" t="s">
        <v>189</v>
      </c>
      <c r="AN390" t="s">
        <v>260</v>
      </c>
      <c r="AO390" t="s">
        <v>7569</v>
      </c>
      <c r="AP390" t="s">
        <v>74</v>
      </c>
      <c r="AQ390" t="s">
        <v>74</v>
      </c>
      <c r="AR390" t="s">
        <v>7570</v>
      </c>
      <c r="AS390" t="s">
        <v>7571</v>
      </c>
      <c r="AT390" t="s">
        <v>7061</v>
      </c>
      <c r="AU390">
        <v>2012</v>
      </c>
      <c r="AV390">
        <v>57</v>
      </c>
      <c r="AW390" t="s">
        <v>74</v>
      </c>
      <c r="AX390" t="s">
        <v>74</v>
      </c>
      <c r="AY390" t="s">
        <v>74</v>
      </c>
      <c r="AZ390" t="s">
        <v>74</v>
      </c>
      <c r="BA390" t="s">
        <v>74</v>
      </c>
      <c r="BB390">
        <v>1</v>
      </c>
      <c r="BC390">
        <v>16</v>
      </c>
      <c r="BD390" t="s">
        <v>74</v>
      </c>
      <c r="BE390" t="s">
        <v>7572</v>
      </c>
      <c r="BF390" t="str">
        <f>HYPERLINK("http://dx.doi.org/10.1016/j.dynatmoce.2012.04.002","http://dx.doi.org/10.1016/j.dynatmoce.2012.04.002")</f>
        <v>http://dx.doi.org/10.1016/j.dynatmoce.2012.04.002</v>
      </c>
      <c r="BG390" t="s">
        <v>74</v>
      </c>
      <c r="BH390" t="s">
        <v>74</v>
      </c>
      <c r="BI390">
        <v>16</v>
      </c>
      <c r="BJ390" t="s">
        <v>7573</v>
      </c>
      <c r="BK390" t="s">
        <v>98</v>
      </c>
      <c r="BL390" t="s">
        <v>7573</v>
      </c>
      <c r="BM390" t="s">
        <v>7574</v>
      </c>
      <c r="BN390" t="s">
        <v>74</v>
      </c>
      <c r="BO390" t="s">
        <v>74</v>
      </c>
      <c r="BP390" t="s">
        <v>74</v>
      </c>
      <c r="BQ390" t="s">
        <v>74</v>
      </c>
      <c r="BR390" t="s">
        <v>101</v>
      </c>
      <c r="BS390" t="s">
        <v>7575</v>
      </c>
      <c r="BT390" t="str">
        <f>HYPERLINK("https%3A%2F%2Fwww.webofscience.com%2Fwos%2Fwoscc%2Ffull-record%2FWOS:000309096900001","View Full Record in Web of Science")</f>
        <v>View Full Record in Web of Science</v>
      </c>
    </row>
    <row r="391" spans="1:72" x14ac:dyDescent="0.15">
      <c r="A391" t="s">
        <v>72</v>
      </c>
      <c r="B391" t="s">
        <v>7576</v>
      </c>
      <c r="C391" t="s">
        <v>74</v>
      </c>
      <c r="D391" t="s">
        <v>74</v>
      </c>
      <c r="E391" t="s">
        <v>74</v>
      </c>
      <c r="F391" t="s">
        <v>7577</v>
      </c>
      <c r="G391" t="s">
        <v>74</v>
      </c>
      <c r="H391" t="s">
        <v>74</v>
      </c>
      <c r="I391" t="s">
        <v>7578</v>
      </c>
      <c r="J391" t="s">
        <v>5729</v>
      </c>
      <c r="K391" t="s">
        <v>74</v>
      </c>
      <c r="L391" t="s">
        <v>74</v>
      </c>
      <c r="M391" t="s">
        <v>78</v>
      </c>
      <c r="N391" t="s">
        <v>79</v>
      </c>
      <c r="O391" t="s">
        <v>74</v>
      </c>
      <c r="P391" t="s">
        <v>74</v>
      </c>
      <c r="Q391" t="s">
        <v>74</v>
      </c>
      <c r="R391" t="s">
        <v>74</v>
      </c>
      <c r="S391" t="s">
        <v>74</v>
      </c>
      <c r="T391" t="s">
        <v>74</v>
      </c>
      <c r="U391" t="s">
        <v>7579</v>
      </c>
      <c r="V391" t="s">
        <v>7580</v>
      </c>
      <c r="W391" t="s">
        <v>7581</v>
      </c>
      <c r="X391" t="s">
        <v>7582</v>
      </c>
      <c r="Y391" t="s">
        <v>7583</v>
      </c>
      <c r="Z391" t="s">
        <v>7584</v>
      </c>
      <c r="AA391" t="s">
        <v>74</v>
      </c>
      <c r="AB391" t="s">
        <v>74</v>
      </c>
      <c r="AC391" t="s">
        <v>7585</v>
      </c>
      <c r="AD391" t="s">
        <v>7586</v>
      </c>
      <c r="AE391" t="s">
        <v>7587</v>
      </c>
      <c r="AF391" t="s">
        <v>74</v>
      </c>
      <c r="AG391">
        <v>227</v>
      </c>
      <c r="AH391">
        <v>22</v>
      </c>
      <c r="AI391">
        <v>25</v>
      </c>
      <c r="AJ391">
        <v>1</v>
      </c>
      <c r="AK391">
        <v>15</v>
      </c>
      <c r="AL391" t="s">
        <v>1694</v>
      </c>
      <c r="AM391" t="s">
        <v>1695</v>
      </c>
      <c r="AN391" t="s">
        <v>1696</v>
      </c>
      <c r="AO391" t="s">
        <v>5739</v>
      </c>
      <c r="AP391" t="s">
        <v>5740</v>
      </c>
      <c r="AQ391" t="s">
        <v>74</v>
      </c>
      <c r="AR391" t="s">
        <v>5741</v>
      </c>
      <c r="AS391" t="s">
        <v>5742</v>
      </c>
      <c r="AT391" t="s">
        <v>7061</v>
      </c>
      <c r="AU391">
        <v>2012</v>
      </c>
      <c r="AV391">
        <v>52</v>
      </c>
      <c r="AW391">
        <v>3</v>
      </c>
      <c r="AX391" t="s">
        <v>74</v>
      </c>
      <c r="AY391" t="s">
        <v>74</v>
      </c>
      <c r="AZ391" t="s">
        <v>74</v>
      </c>
      <c r="BA391" t="s">
        <v>74</v>
      </c>
      <c r="BB391">
        <v>366</v>
      </c>
      <c r="BC391">
        <v>387</v>
      </c>
      <c r="BD391" t="s">
        <v>74</v>
      </c>
      <c r="BE391" t="s">
        <v>7588</v>
      </c>
      <c r="BF391" t="str">
        <f>HYPERLINK("http://dx.doi.org/10.1093/icb/ics100","http://dx.doi.org/10.1093/icb/ics100")</f>
        <v>http://dx.doi.org/10.1093/icb/ics100</v>
      </c>
      <c r="BG391" t="s">
        <v>74</v>
      </c>
      <c r="BH391" t="s">
        <v>74</v>
      </c>
      <c r="BI391">
        <v>22</v>
      </c>
      <c r="BJ391" t="s">
        <v>675</v>
      </c>
      <c r="BK391" t="s">
        <v>98</v>
      </c>
      <c r="BL391" t="s">
        <v>675</v>
      </c>
      <c r="BM391" t="s">
        <v>7589</v>
      </c>
      <c r="BN391">
        <v>22891001</v>
      </c>
      <c r="BO391" t="s">
        <v>607</v>
      </c>
      <c r="BP391" t="s">
        <v>74</v>
      </c>
      <c r="BQ391" t="s">
        <v>74</v>
      </c>
      <c r="BR391" t="s">
        <v>101</v>
      </c>
      <c r="BS391" t="s">
        <v>7590</v>
      </c>
      <c r="BT391" t="str">
        <f>HYPERLINK("https%3A%2F%2Fwww.webofscience.com%2Fwos%2Fwoscc%2Ffull-record%2FWOS:000307832000005","View Full Record in Web of Science")</f>
        <v>View Full Record in Web of Science</v>
      </c>
    </row>
    <row r="392" spans="1:72" x14ac:dyDescent="0.15">
      <c r="A392" t="s">
        <v>72</v>
      </c>
      <c r="B392" t="s">
        <v>7591</v>
      </c>
      <c r="C392" t="s">
        <v>74</v>
      </c>
      <c r="D392" t="s">
        <v>74</v>
      </c>
      <c r="E392" t="s">
        <v>74</v>
      </c>
      <c r="F392" t="s">
        <v>7592</v>
      </c>
      <c r="G392" t="s">
        <v>74</v>
      </c>
      <c r="H392" t="s">
        <v>74</v>
      </c>
      <c r="I392" t="s">
        <v>7593</v>
      </c>
      <c r="J392" t="s">
        <v>1417</v>
      </c>
      <c r="K392" t="s">
        <v>74</v>
      </c>
      <c r="L392" t="s">
        <v>74</v>
      </c>
      <c r="M392" t="s">
        <v>78</v>
      </c>
      <c r="N392" t="s">
        <v>79</v>
      </c>
      <c r="O392" t="s">
        <v>74</v>
      </c>
      <c r="P392" t="s">
        <v>74</v>
      </c>
      <c r="Q392" t="s">
        <v>74</v>
      </c>
      <c r="R392" t="s">
        <v>74</v>
      </c>
      <c r="S392" t="s">
        <v>74</v>
      </c>
      <c r="T392" t="s">
        <v>74</v>
      </c>
      <c r="U392" t="s">
        <v>7594</v>
      </c>
      <c r="V392" t="s">
        <v>7595</v>
      </c>
      <c r="W392" t="s">
        <v>7596</v>
      </c>
      <c r="X392" t="s">
        <v>7597</v>
      </c>
      <c r="Y392" t="s">
        <v>7598</v>
      </c>
      <c r="Z392" t="s">
        <v>7599</v>
      </c>
      <c r="AA392" t="s">
        <v>7600</v>
      </c>
      <c r="AB392" t="s">
        <v>7601</v>
      </c>
      <c r="AC392" t="s">
        <v>7602</v>
      </c>
      <c r="AD392" t="s">
        <v>4397</v>
      </c>
      <c r="AE392" t="s">
        <v>7603</v>
      </c>
      <c r="AF392" t="s">
        <v>74</v>
      </c>
      <c r="AG392">
        <v>35</v>
      </c>
      <c r="AH392">
        <v>21</v>
      </c>
      <c r="AI392">
        <v>24</v>
      </c>
      <c r="AJ392">
        <v>1</v>
      </c>
      <c r="AK392">
        <v>17</v>
      </c>
      <c r="AL392" t="s">
        <v>1429</v>
      </c>
      <c r="AM392" t="s">
        <v>1430</v>
      </c>
      <c r="AN392" t="s">
        <v>3557</v>
      </c>
      <c r="AO392" t="s">
        <v>1432</v>
      </c>
      <c r="AP392" t="s">
        <v>1433</v>
      </c>
      <c r="AQ392" t="s">
        <v>74</v>
      </c>
      <c r="AR392" t="s">
        <v>1434</v>
      </c>
      <c r="AS392" t="s">
        <v>1435</v>
      </c>
      <c r="AT392" t="s">
        <v>7117</v>
      </c>
      <c r="AU392">
        <v>2012</v>
      </c>
      <c r="AV392">
        <v>25</v>
      </c>
      <c r="AW392">
        <v>17</v>
      </c>
      <c r="AX392" t="s">
        <v>74</v>
      </c>
      <c r="AY392" t="s">
        <v>74</v>
      </c>
      <c r="AZ392" t="s">
        <v>74</v>
      </c>
      <c r="BA392" t="s">
        <v>74</v>
      </c>
      <c r="BB392">
        <v>5962</v>
      </c>
      <c r="BC392">
        <v>5975</v>
      </c>
      <c r="BD392" t="s">
        <v>74</v>
      </c>
      <c r="BE392" t="s">
        <v>7604</v>
      </c>
      <c r="BF392" t="str">
        <f>HYPERLINK("http://dx.doi.org/10.1175/JCLI-D-11-00423.1","http://dx.doi.org/10.1175/JCLI-D-11-00423.1")</f>
        <v>http://dx.doi.org/10.1175/JCLI-D-11-00423.1</v>
      </c>
      <c r="BG392" t="s">
        <v>74</v>
      </c>
      <c r="BH392" t="s">
        <v>74</v>
      </c>
      <c r="BI392">
        <v>14</v>
      </c>
      <c r="BJ392" t="s">
        <v>378</v>
      </c>
      <c r="BK392" t="s">
        <v>98</v>
      </c>
      <c r="BL392" t="s">
        <v>378</v>
      </c>
      <c r="BM392" t="s">
        <v>7605</v>
      </c>
      <c r="BN392" t="s">
        <v>74</v>
      </c>
      <c r="BO392" t="s">
        <v>380</v>
      </c>
      <c r="BP392" t="s">
        <v>74</v>
      </c>
      <c r="BQ392" t="s">
        <v>74</v>
      </c>
      <c r="BR392" t="s">
        <v>101</v>
      </c>
      <c r="BS392" t="s">
        <v>7606</v>
      </c>
      <c r="BT392" t="str">
        <f>HYPERLINK("https%3A%2F%2Fwww.webofscience.com%2Fwos%2Fwoscc%2Ffull-record%2FWOS:000308633500021","View Full Record in Web of Science")</f>
        <v>View Full Record in Web of Science</v>
      </c>
    </row>
    <row r="393" spans="1:72" x14ac:dyDescent="0.15">
      <c r="A393" t="s">
        <v>72</v>
      </c>
      <c r="B393" t="s">
        <v>7607</v>
      </c>
      <c r="C393" t="s">
        <v>74</v>
      </c>
      <c r="D393" t="s">
        <v>74</v>
      </c>
      <c r="E393" t="s">
        <v>74</v>
      </c>
      <c r="F393" t="s">
        <v>7608</v>
      </c>
      <c r="G393" t="s">
        <v>74</v>
      </c>
      <c r="H393" t="s">
        <v>74</v>
      </c>
      <c r="I393" t="s">
        <v>7609</v>
      </c>
      <c r="J393" t="s">
        <v>1567</v>
      </c>
      <c r="K393" t="s">
        <v>74</v>
      </c>
      <c r="L393" t="s">
        <v>74</v>
      </c>
      <c r="M393" t="s">
        <v>78</v>
      </c>
      <c r="N393" t="s">
        <v>79</v>
      </c>
      <c r="O393" t="s">
        <v>74</v>
      </c>
      <c r="P393" t="s">
        <v>74</v>
      </c>
      <c r="Q393" t="s">
        <v>74</v>
      </c>
      <c r="R393" t="s">
        <v>74</v>
      </c>
      <c r="S393" t="s">
        <v>74</v>
      </c>
      <c r="T393" t="s">
        <v>74</v>
      </c>
      <c r="U393" t="s">
        <v>7610</v>
      </c>
      <c r="V393" t="s">
        <v>7611</v>
      </c>
      <c r="W393" t="s">
        <v>7612</v>
      </c>
      <c r="X393" t="s">
        <v>7613</v>
      </c>
      <c r="Y393" t="s">
        <v>7614</v>
      </c>
      <c r="Z393" t="s">
        <v>7615</v>
      </c>
      <c r="AA393" t="s">
        <v>7616</v>
      </c>
      <c r="AB393" t="s">
        <v>7617</v>
      </c>
      <c r="AC393" t="s">
        <v>7618</v>
      </c>
      <c r="AD393" t="s">
        <v>7619</v>
      </c>
      <c r="AE393" t="s">
        <v>7620</v>
      </c>
      <c r="AF393" t="s">
        <v>74</v>
      </c>
      <c r="AG393">
        <v>49</v>
      </c>
      <c r="AH393">
        <v>77</v>
      </c>
      <c r="AI393">
        <v>88</v>
      </c>
      <c r="AJ393">
        <v>0</v>
      </c>
      <c r="AK393">
        <v>22</v>
      </c>
      <c r="AL393" t="s">
        <v>1429</v>
      </c>
      <c r="AM393" t="s">
        <v>1430</v>
      </c>
      <c r="AN393" t="s">
        <v>1431</v>
      </c>
      <c r="AO393" t="s">
        <v>1579</v>
      </c>
      <c r="AP393" t="s">
        <v>1580</v>
      </c>
      <c r="AQ393" t="s">
        <v>74</v>
      </c>
      <c r="AR393" t="s">
        <v>1581</v>
      </c>
      <c r="AS393" t="s">
        <v>1582</v>
      </c>
      <c r="AT393" t="s">
        <v>7061</v>
      </c>
      <c r="AU393">
        <v>2012</v>
      </c>
      <c r="AV393">
        <v>42</v>
      </c>
      <c r="AW393">
        <v>9</v>
      </c>
      <c r="AX393" t="s">
        <v>74</v>
      </c>
      <c r="AY393" t="s">
        <v>74</v>
      </c>
      <c r="AZ393" t="s">
        <v>74</v>
      </c>
      <c r="BA393" t="s">
        <v>74</v>
      </c>
      <c r="BB393">
        <v>1566</v>
      </c>
      <c r="BC393">
        <v>1576</v>
      </c>
      <c r="BD393" t="s">
        <v>74</v>
      </c>
      <c r="BE393" t="s">
        <v>7621</v>
      </c>
      <c r="BF393" t="str">
        <f>HYPERLINK("http://dx.doi.org/10.1175/JPO-D-11-0205.1","http://dx.doi.org/10.1175/JPO-D-11-0205.1")</f>
        <v>http://dx.doi.org/10.1175/JPO-D-11-0205.1</v>
      </c>
      <c r="BG393" t="s">
        <v>74</v>
      </c>
      <c r="BH393" t="s">
        <v>74</v>
      </c>
      <c r="BI393">
        <v>11</v>
      </c>
      <c r="BJ393" t="s">
        <v>941</v>
      </c>
      <c r="BK393" t="s">
        <v>98</v>
      </c>
      <c r="BL393" t="s">
        <v>941</v>
      </c>
      <c r="BM393" t="s">
        <v>7622</v>
      </c>
      <c r="BN393" t="s">
        <v>74</v>
      </c>
      <c r="BO393" t="s">
        <v>7623</v>
      </c>
      <c r="BP393" t="s">
        <v>74</v>
      </c>
      <c r="BQ393" t="s">
        <v>74</v>
      </c>
      <c r="BR393" t="s">
        <v>101</v>
      </c>
      <c r="BS393" t="s">
        <v>7624</v>
      </c>
      <c r="BT393" t="str">
        <f>HYPERLINK("https%3A%2F%2Fwww.webofscience.com%2Fwos%2Fwoscc%2Ffull-record%2FWOS:000309018500011","View Full Record in Web of Science")</f>
        <v>View Full Record in Web of Science</v>
      </c>
    </row>
    <row r="394" spans="1:72" x14ac:dyDescent="0.15">
      <c r="A394" t="s">
        <v>72</v>
      </c>
      <c r="B394" t="s">
        <v>7625</v>
      </c>
      <c r="C394" t="s">
        <v>74</v>
      </c>
      <c r="D394" t="s">
        <v>74</v>
      </c>
      <c r="E394" t="s">
        <v>74</v>
      </c>
      <c r="F394" t="s">
        <v>7626</v>
      </c>
      <c r="G394" t="s">
        <v>74</v>
      </c>
      <c r="H394" t="s">
        <v>74</v>
      </c>
      <c r="I394" t="s">
        <v>7627</v>
      </c>
      <c r="J394" t="s">
        <v>7628</v>
      </c>
      <c r="K394" t="s">
        <v>74</v>
      </c>
      <c r="L394" t="s">
        <v>74</v>
      </c>
      <c r="M394" t="s">
        <v>78</v>
      </c>
      <c r="N394" t="s">
        <v>79</v>
      </c>
      <c r="O394" t="s">
        <v>74</v>
      </c>
      <c r="P394" t="s">
        <v>74</v>
      </c>
      <c r="Q394" t="s">
        <v>74</v>
      </c>
      <c r="R394" t="s">
        <v>74</v>
      </c>
      <c r="S394" t="s">
        <v>74</v>
      </c>
      <c r="T394" t="s">
        <v>7629</v>
      </c>
      <c r="U394" t="s">
        <v>7630</v>
      </c>
      <c r="V394" t="s">
        <v>7631</v>
      </c>
      <c r="W394" t="s">
        <v>7632</v>
      </c>
      <c r="X394" t="s">
        <v>7633</v>
      </c>
      <c r="Y394" t="s">
        <v>7634</v>
      </c>
      <c r="Z394" t="s">
        <v>7635</v>
      </c>
      <c r="AA394" t="s">
        <v>7636</v>
      </c>
      <c r="AB394" t="s">
        <v>7637</v>
      </c>
      <c r="AC394" t="s">
        <v>7638</v>
      </c>
      <c r="AD394" t="s">
        <v>7639</v>
      </c>
      <c r="AE394" t="s">
        <v>7640</v>
      </c>
      <c r="AF394" t="s">
        <v>74</v>
      </c>
      <c r="AG394">
        <v>21</v>
      </c>
      <c r="AH394">
        <v>16</v>
      </c>
      <c r="AI394">
        <v>17</v>
      </c>
      <c r="AJ394">
        <v>1</v>
      </c>
      <c r="AK394">
        <v>22</v>
      </c>
      <c r="AL394" t="s">
        <v>1771</v>
      </c>
      <c r="AM394" t="s">
        <v>90</v>
      </c>
      <c r="AN394" t="s">
        <v>1772</v>
      </c>
      <c r="AO394" t="s">
        <v>7641</v>
      </c>
      <c r="AP394" t="s">
        <v>7642</v>
      </c>
      <c r="AQ394" t="s">
        <v>74</v>
      </c>
      <c r="AR394" t="s">
        <v>7643</v>
      </c>
      <c r="AS394" t="s">
        <v>7644</v>
      </c>
      <c r="AT394" t="s">
        <v>7061</v>
      </c>
      <c r="AU394">
        <v>2012</v>
      </c>
      <c r="AV394">
        <v>91</v>
      </c>
      <c r="AW394">
        <v>9</v>
      </c>
      <c r="AX394" t="s">
        <v>74</v>
      </c>
      <c r="AY394" t="s">
        <v>74</v>
      </c>
      <c r="AZ394" t="s">
        <v>74</v>
      </c>
      <c r="BA394" t="s">
        <v>74</v>
      </c>
      <c r="BB394">
        <v>2288</v>
      </c>
      <c r="BC394">
        <v>2293</v>
      </c>
      <c r="BD394" t="s">
        <v>74</v>
      </c>
      <c r="BE394" t="s">
        <v>7645</v>
      </c>
      <c r="BF394" t="str">
        <f>HYPERLINK("http://dx.doi.org/10.3382/ps.2011-01910","http://dx.doi.org/10.3382/ps.2011-01910")</f>
        <v>http://dx.doi.org/10.3382/ps.2011-01910</v>
      </c>
      <c r="BG394" t="s">
        <v>74</v>
      </c>
      <c r="BH394" t="s">
        <v>74</v>
      </c>
      <c r="BI394">
        <v>6</v>
      </c>
      <c r="BJ394" t="s">
        <v>7646</v>
      </c>
      <c r="BK394" t="s">
        <v>98</v>
      </c>
      <c r="BL394" t="s">
        <v>2620</v>
      </c>
      <c r="BM394" t="s">
        <v>7647</v>
      </c>
      <c r="BN394">
        <v>22912465</v>
      </c>
      <c r="BO394" t="s">
        <v>217</v>
      </c>
      <c r="BP394" t="s">
        <v>74</v>
      </c>
      <c r="BQ394" t="s">
        <v>74</v>
      </c>
      <c r="BR394" t="s">
        <v>101</v>
      </c>
      <c r="BS394" t="s">
        <v>7648</v>
      </c>
      <c r="BT394" t="str">
        <f>HYPERLINK("https%3A%2F%2Fwww.webofscience.com%2Fwos%2Fwoscc%2Ffull-record%2FWOS:000307680300026","View Full Record in Web of Science")</f>
        <v>View Full Record in Web of Science</v>
      </c>
    </row>
    <row r="395" spans="1:72" x14ac:dyDescent="0.15">
      <c r="A395" t="s">
        <v>72</v>
      </c>
      <c r="B395" t="s">
        <v>7649</v>
      </c>
      <c r="C395" t="s">
        <v>74</v>
      </c>
      <c r="D395" t="s">
        <v>74</v>
      </c>
      <c r="E395" t="s">
        <v>74</v>
      </c>
      <c r="F395" t="s">
        <v>7650</v>
      </c>
      <c r="G395" t="s">
        <v>74</v>
      </c>
      <c r="H395" t="s">
        <v>74</v>
      </c>
      <c r="I395" t="s">
        <v>7651</v>
      </c>
      <c r="J395" t="s">
        <v>4612</v>
      </c>
      <c r="K395" t="s">
        <v>74</v>
      </c>
      <c r="L395" t="s">
        <v>74</v>
      </c>
      <c r="M395" t="s">
        <v>78</v>
      </c>
      <c r="N395" t="s">
        <v>974</v>
      </c>
      <c r="O395" t="s">
        <v>74</v>
      </c>
      <c r="P395" t="s">
        <v>74</v>
      </c>
      <c r="Q395" t="s">
        <v>74</v>
      </c>
      <c r="R395" t="s">
        <v>74</v>
      </c>
      <c r="S395" t="s">
        <v>74</v>
      </c>
      <c r="T395" t="s">
        <v>74</v>
      </c>
      <c r="U395" t="s">
        <v>7652</v>
      </c>
      <c r="V395" t="s">
        <v>7653</v>
      </c>
      <c r="W395" t="s">
        <v>7654</v>
      </c>
      <c r="X395" t="s">
        <v>7655</v>
      </c>
      <c r="Y395" t="s">
        <v>7656</v>
      </c>
      <c r="Z395" t="s">
        <v>7657</v>
      </c>
      <c r="AA395" t="s">
        <v>7658</v>
      </c>
      <c r="AB395" t="s">
        <v>7659</v>
      </c>
      <c r="AC395" t="s">
        <v>7660</v>
      </c>
      <c r="AD395" t="s">
        <v>7661</v>
      </c>
      <c r="AE395" t="s">
        <v>7662</v>
      </c>
      <c r="AF395" t="s">
        <v>74</v>
      </c>
      <c r="AG395">
        <v>67</v>
      </c>
      <c r="AH395">
        <v>77</v>
      </c>
      <c r="AI395">
        <v>85</v>
      </c>
      <c r="AJ395">
        <v>8</v>
      </c>
      <c r="AK395">
        <v>70</v>
      </c>
      <c r="AL395" t="s">
        <v>89</v>
      </c>
      <c r="AM395" t="s">
        <v>90</v>
      </c>
      <c r="AN395" t="s">
        <v>91</v>
      </c>
      <c r="AO395" t="s">
        <v>4622</v>
      </c>
      <c r="AP395" t="s">
        <v>74</v>
      </c>
      <c r="AQ395" t="s">
        <v>74</v>
      </c>
      <c r="AR395" t="s">
        <v>4624</v>
      </c>
      <c r="AS395" t="s">
        <v>4625</v>
      </c>
      <c r="AT395" t="s">
        <v>7061</v>
      </c>
      <c r="AU395">
        <v>2012</v>
      </c>
      <c r="AV395">
        <v>103</v>
      </c>
      <c r="AW395" t="s">
        <v>74</v>
      </c>
      <c r="AX395" t="s">
        <v>74</v>
      </c>
      <c r="AY395" t="s">
        <v>74</v>
      </c>
      <c r="AZ395" t="s">
        <v>74</v>
      </c>
      <c r="BA395" t="s">
        <v>74</v>
      </c>
      <c r="BB395">
        <v>1</v>
      </c>
      <c r="BC395">
        <v>15</v>
      </c>
      <c r="BD395" t="s">
        <v>74</v>
      </c>
      <c r="BE395" t="s">
        <v>7663</v>
      </c>
      <c r="BF395" t="str">
        <f>HYPERLINK("http://dx.doi.org/10.1016/j.pocean.2012.03.001","http://dx.doi.org/10.1016/j.pocean.2012.03.001")</f>
        <v>http://dx.doi.org/10.1016/j.pocean.2012.03.001</v>
      </c>
      <c r="BG395" t="s">
        <v>74</v>
      </c>
      <c r="BH395" t="s">
        <v>74</v>
      </c>
      <c r="BI395">
        <v>15</v>
      </c>
      <c r="BJ395" t="s">
        <v>941</v>
      </c>
      <c r="BK395" t="s">
        <v>98</v>
      </c>
      <c r="BL395" t="s">
        <v>941</v>
      </c>
      <c r="BM395" t="s">
        <v>7664</v>
      </c>
      <c r="BN395" t="s">
        <v>74</v>
      </c>
      <c r="BO395" t="s">
        <v>1499</v>
      </c>
      <c r="BP395" t="s">
        <v>74</v>
      </c>
      <c r="BQ395" t="s">
        <v>74</v>
      </c>
      <c r="BR395" t="s">
        <v>101</v>
      </c>
      <c r="BS395" t="s">
        <v>7665</v>
      </c>
      <c r="BT395" t="str">
        <f>HYPERLINK("https%3A%2F%2Fwww.webofscience.com%2Fwos%2Fwoscc%2Ffull-record%2FWOS:000308453300001","View Full Record in Web of Science")</f>
        <v>View Full Record in Web of Science</v>
      </c>
    </row>
    <row r="396" spans="1:72" x14ac:dyDescent="0.15">
      <c r="A396" t="s">
        <v>72</v>
      </c>
      <c r="B396" t="s">
        <v>7666</v>
      </c>
      <c r="C396" t="s">
        <v>74</v>
      </c>
      <c r="D396" t="s">
        <v>74</v>
      </c>
      <c r="E396" t="s">
        <v>74</v>
      </c>
      <c r="F396" t="s">
        <v>7667</v>
      </c>
      <c r="G396" t="s">
        <v>74</v>
      </c>
      <c r="H396" t="s">
        <v>74</v>
      </c>
      <c r="I396" t="s">
        <v>7668</v>
      </c>
      <c r="J396" t="s">
        <v>315</v>
      </c>
      <c r="K396" t="s">
        <v>74</v>
      </c>
      <c r="L396" t="s">
        <v>74</v>
      </c>
      <c r="M396" t="s">
        <v>78</v>
      </c>
      <c r="N396" t="s">
        <v>79</v>
      </c>
      <c r="O396" t="s">
        <v>74</v>
      </c>
      <c r="P396" t="s">
        <v>74</v>
      </c>
      <c r="Q396" t="s">
        <v>74</v>
      </c>
      <c r="R396" t="s">
        <v>74</v>
      </c>
      <c r="S396" t="s">
        <v>74</v>
      </c>
      <c r="T396" t="s">
        <v>7669</v>
      </c>
      <c r="U396" t="s">
        <v>7670</v>
      </c>
      <c r="V396" t="s">
        <v>7671</v>
      </c>
      <c r="W396" t="s">
        <v>7672</v>
      </c>
      <c r="X396" t="s">
        <v>7673</v>
      </c>
      <c r="Y396" t="s">
        <v>7674</v>
      </c>
      <c r="Z396" t="s">
        <v>7675</v>
      </c>
      <c r="AA396" t="s">
        <v>7676</v>
      </c>
      <c r="AB396" t="s">
        <v>7677</v>
      </c>
      <c r="AC396" t="s">
        <v>7678</v>
      </c>
      <c r="AD396" t="s">
        <v>7679</v>
      </c>
      <c r="AE396" t="s">
        <v>7680</v>
      </c>
      <c r="AF396" t="s">
        <v>74</v>
      </c>
      <c r="AG396">
        <v>32</v>
      </c>
      <c r="AH396">
        <v>36</v>
      </c>
      <c r="AI396">
        <v>40</v>
      </c>
      <c r="AJ396">
        <v>2</v>
      </c>
      <c r="AK396">
        <v>51</v>
      </c>
      <c r="AL396" t="s">
        <v>259</v>
      </c>
      <c r="AM396" t="s">
        <v>189</v>
      </c>
      <c r="AN396" t="s">
        <v>260</v>
      </c>
      <c r="AO396" t="s">
        <v>328</v>
      </c>
      <c r="AP396" t="s">
        <v>74</v>
      </c>
      <c r="AQ396" t="s">
        <v>74</v>
      </c>
      <c r="AR396" t="s">
        <v>329</v>
      </c>
      <c r="AS396" t="s">
        <v>330</v>
      </c>
      <c r="AT396" t="s">
        <v>7117</v>
      </c>
      <c r="AU396">
        <v>2012</v>
      </c>
      <c r="AV396">
        <v>433</v>
      </c>
      <c r="AW396" t="s">
        <v>74</v>
      </c>
      <c r="AX396" t="s">
        <v>74</v>
      </c>
      <c r="AY396" t="s">
        <v>74</v>
      </c>
      <c r="AZ396" t="s">
        <v>74</v>
      </c>
      <c r="BA396" t="s">
        <v>74</v>
      </c>
      <c r="BB396">
        <v>290</v>
      </c>
      <c r="BC396">
        <v>295</v>
      </c>
      <c r="BD396" t="s">
        <v>74</v>
      </c>
      <c r="BE396" t="s">
        <v>7681</v>
      </c>
      <c r="BF396" t="str">
        <f>HYPERLINK("http://dx.doi.org/10.1016/j.scitotenv.2012.06.037","http://dx.doi.org/10.1016/j.scitotenv.2012.06.037")</f>
        <v>http://dx.doi.org/10.1016/j.scitotenv.2012.06.037</v>
      </c>
      <c r="BG396" t="s">
        <v>74</v>
      </c>
      <c r="BH396" t="s">
        <v>74</v>
      </c>
      <c r="BI396">
        <v>6</v>
      </c>
      <c r="BJ396" t="s">
        <v>332</v>
      </c>
      <c r="BK396" t="s">
        <v>98</v>
      </c>
      <c r="BL396" t="s">
        <v>333</v>
      </c>
      <c r="BM396" t="s">
        <v>7682</v>
      </c>
      <c r="BN396">
        <v>22796727</v>
      </c>
      <c r="BO396" t="s">
        <v>74</v>
      </c>
      <c r="BP396" t="s">
        <v>74</v>
      </c>
      <c r="BQ396" t="s">
        <v>74</v>
      </c>
      <c r="BR396" t="s">
        <v>101</v>
      </c>
      <c r="BS396" t="s">
        <v>7683</v>
      </c>
      <c r="BT396" t="str">
        <f>HYPERLINK("https%3A%2F%2Fwww.webofscience.com%2Fwos%2Fwoscc%2Ffull-record%2FWOS:000308787500029","View Full Record in Web of Science")</f>
        <v>View Full Record in Web of Science</v>
      </c>
    </row>
    <row r="397" spans="1:72" x14ac:dyDescent="0.15">
      <c r="A397" t="s">
        <v>72</v>
      </c>
      <c r="B397" t="s">
        <v>7684</v>
      </c>
      <c r="C397" t="s">
        <v>74</v>
      </c>
      <c r="D397" t="s">
        <v>74</v>
      </c>
      <c r="E397" t="s">
        <v>74</v>
      </c>
      <c r="F397" t="s">
        <v>7685</v>
      </c>
      <c r="G397" t="s">
        <v>74</v>
      </c>
      <c r="H397" t="s">
        <v>74</v>
      </c>
      <c r="I397" t="s">
        <v>7686</v>
      </c>
      <c r="J397" t="s">
        <v>7687</v>
      </c>
      <c r="K397" t="s">
        <v>74</v>
      </c>
      <c r="L397" t="s">
        <v>74</v>
      </c>
      <c r="M397" t="s">
        <v>78</v>
      </c>
      <c r="N397" t="s">
        <v>79</v>
      </c>
      <c r="O397" t="s">
        <v>74</v>
      </c>
      <c r="P397" t="s">
        <v>74</v>
      </c>
      <c r="Q397" t="s">
        <v>74</v>
      </c>
      <c r="R397" t="s">
        <v>74</v>
      </c>
      <c r="S397" t="s">
        <v>74</v>
      </c>
      <c r="T397" t="s">
        <v>7688</v>
      </c>
      <c r="U397" t="s">
        <v>7689</v>
      </c>
      <c r="V397" t="s">
        <v>7690</v>
      </c>
      <c r="W397" t="s">
        <v>7691</v>
      </c>
      <c r="X397" t="s">
        <v>7692</v>
      </c>
      <c r="Y397" t="s">
        <v>7693</v>
      </c>
      <c r="Z397" t="s">
        <v>7694</v>
      </c>
      <c r="AA397" t="s">
        <v>7695</v>
      </c>
      <c r="AB397" t="s">
        <v>7696</v>
      </c>
      <c r="AC397" t="s">
        <v>74</v>
      </c>
      <c r="AD397" t="s">
        <v>74</v>
      </c>
      <c r="AE397" t="s">
        <v>74</v>
      </c>
      <c r="AF397" t="s">
        <v>74</v>
      </c>
      <c r="AG397">
        <v>41</v>
      </c>
      <c r="AH397">
        <v>37</v>
      </c>
      <c r="AI397">
        <v>40</v>
      </c>
      <c r="AJ397">
        <v>1</v>
      </c>
      <c r="AK397">
        <v>15</v>
      </c>
      <c r="AL397" t="s">
        <v>2780</v>
      </c>
      <c r="AM397" t="s">
        <v>1959</v>
      </c>
      <c r="AN397" t="s">
        <v>7697</v>
      </c>
      <c r="AO397" t="s">
        <v>7698</v>
      </c>
      <c r="AP397" t="s">
        <v>7699</v>
      </c>
      <c r="AQ397" t="s">
        <v>74</v>
      </c>
      <c r="AR397" t="s">
        <v>7687</v>
      </c>
      <c r="AS397" t="s">
        <v>7700</v>
      </c>
      <c r="AT397" t="s">
        <v>7061</v>
      </c>
      <c r="AU397">
        <v>2012</v>
      </c>
      <c r="AV397">
        <v>86</v>
      </c>
      <c r="AW397">
        <v>333</v>
      </c>
      <c r="AX397" t="s">
        <v>74</v>
      </c>
      <c r="AY397" t="s">
        <v>74</v>
      </c>
      <c r="AZ397" t="s">
        <v>74</v>
      </c>
      <c r="BA397" t="s">
        <v>74</v>
      </c>
      <c r="BB397">
        <v>642</v>
      </c>
      <c r="BC397">
        <v>659</v>
      </c>
      <c r="BD397" t="s">
        <v>74</v>
      </c>
      <c r="BE397" t="s">
        <v>7701</v>
      </c>
      <c r="BF397" t="str">
        <f>HYPERLINK("http://dx.doi.org/10.1017/S0003598X00047827","http://dx.doi.org/10.1017/S0003598X00047827")</f>
        <v>http://dx.doi.org/10.1017/S0003598X00047827</v>
      </c>
      <c r="BG397" t="s">
        <v>74</v>
      </c>
      <c r="BH397" t="s">
        <v>74</v>
      </c>
      <c r="BI397">
        <v>18</v>
      </c>
      <c r="BJ397" t="s">
        <v>7702</v>
      </c>
      <c r="BK397" t="s">
        <v>1041</v>
      </c>
      <c r="BL397" t="s">
        <v>7702</v>
      </c>
      <c r="BM397" t="s">
        <v>7703</v>
      </c>
      <c r="BN397" t="s">
        <v>74</v>
      </c>
      <c r="BO397" t="s">
        <v>74</v>
      </c>
      <c r="BP397" t="s">
        <v>74</v>
      </c>
      <c r="BQ397" t="s">
        <v>74</v>
      </c>
      <c r="BR397" t="s">
        <v>101</v>
      </c>
      <c r="BS397" t="s">
        <v>7704</v>
      </c>
      <c r="BT397" t="str">
        <f>HYPERLINK("https%3A%2F%2Fwww.webofscience.com%2Fwos%2Fwoscc%2Ffull-record%2FWOS:000308514600004","View Full Record in Web of Science")</f>
        <v>View Full Record in Web of Science</v>
      </c>
    </row>
    <row r="398" spans="1:72" x14ac:dyDescent="0.15">
      <c r="A398" t="s">
        <v>72</v>
      </c>
      <c r="B398" t="s">
        <v>7705</v>
      </c>
      <c r="C398" t="s">
        <v>74</v>
      </c>
      <c r="D398" t="s">
        <v>74</v>
      </c>
      <c r="E398" t="s">
        <v>74</v>
      </c>
      <c r="F398" t="s">
        <v>7706</v>
      </c>
      <c r="G398" t="s">
        <v>74</v>
      </c>
      <c r="H398" t="s">
        <v>74</v>
      </c>
      <c r="I398" t="s">
        <v>7707</v>
      </c>
      <c r="J398" t="s">
        <v>7708</v>
      </c>
      <c r="K398" t="s">
        <v>74</v>
      </c>
      <c r="L398" t="s">
        <v>74</v>
      </c>
      <c r="M398" t="s">
        <v>78</v>
      </c>
      <c r="N398" t="s">
        <v>79</v>
      </c>
      <c r="O398" t="s">
        <v>74</v>
      </c>
      <c r="P398" t="s">
        <v>74</v>
      </c>
      <c r="Q398" t="s">
        <v>74</v>
      </c>
      <c r="R398" t="s">
        <v>74</v>
      </c>
      <c r="S398" t="s">
        <v>74</v>
      </c>
      <c r="T398" t="s">
        <v>7709</v>
      </c>
      <c r="U398" t="s">
        <v>7710</v>
      </c>
      <c r="V398" t="s">
        <v>7711</v>
      </c>
      <c r="W398" t="s">
        <v>7712</v>
      </c>
      <c r="X398" t="s">
        <v>7713</v>
      </c>
      <c r="Y398" t="s">
        <v>7714</v>
      </c>
      <c r="Z398" t="s">
        <v>7715</v>
      </c>
      <c r="AA398" t="s">
        <v>7716</v>
      </c>
      <c r="AB398" t="s">
        <v>7717</v>
      </c>
      <c r="AC398" t="s">
        <v>7718</v>
      </c>
      <c r="AD398" t="s">
        <v>7719</v>
      </c>
      <c r="AE398" t="s">
        <v>7720</v>
      </c>
      <c r="AF398" t="s">
        <v>74</v>
      </c>
      <c r="AG398">
        <v>26</v>
      </c>
      <c r="AH398">
        <v>6</v>
      </c>
      <c r="AI398">
        <v>6</v>
      </c>
      <c r="AJ398">
        <v>0</v>
      </c>
      <c r="AK398">
        <v>16</v>
      </c>
      <c r="AL398" t="s">
        <v>5506</v>
      </c>
      <c r="AM398" t="s">
        <v>5507</v>
      </c>
      <c r="AN398" t="s">
        <v>5508</v>
      </c>
      <c r="AO398" t="s">
        <v>7721</v>
      </c>
      <c r="AP398" t="s">
        <v>7722</v>
      </c>
      <c r="AQ398" t="s">
        <v>74</v>
      </c>
      <c r="AR398" t="s">
        <v>7723</v>
      </c>
      <c r="AS398" t="s">
        <v>7724</v>
      </c>
      <c r="AT398" t="s">
        <v>7061</v>
      </c>
      <c r="AU398">
        <v>2012</v>
      </c>
      <c r="AV398">
        <v>2012</v>
      </c>
      <c r="AW398">
        <v>27</v>
      </c>
      <c r="AX398" t="s">
        <v>74</v>
      </c>
      <c r="AY398" t="s">
        <v>74</v>
      </c>
      <c r="AZ398" t="s">
        <v>74</v>
      </c>
      <c r="BA398" t="s">
        <v>74</v>
      </c>
      <c r="BB398">
        <v>5208</v>
      </c>
      <c r="BC398">
        <v>5216</v>
      </c>
      <c r="BD398" t="s">
        <v>74</v>
      </c>
      <c r="BE398" t="s">
        <v>7725</v>
      </c>
      <c r="BF398" t="str">
        <f>HYPERLINK("http://dx.doi.org/10.1002/ejoc.201200559","http://dx.doi.org/10.1002/ejoc.201200559")</f>
        <v>http://dx.doi.org/10.1002/ejoc.201200559</v>
      </c>
      <c r="BG398" t="s">
        <v>74</v>
      </c>
      <c r="BH398" t="s">
        <v>74</v>
      </c>
      <c r="BI398">
        <v>9</v>
      </c>
      <c r="BJ398" t="s">
        <v>799</v>
      </c>
      <c r="BK398" t="s">
        <v>800</v>
      </c>
      <c r="BL398" t="s">
        <v>801</v>
      </c>
      <c r="BM398" t="s">
        <v>7726</v>
      </c>
      <c r="BN398" t="s">
        <v>74</v>
      </c>
      <c r="BO398" t="s">
        <v>74</v>
      </c>
      <c r="BP398" t="s">
        <v>74</v>
      </c>
      <c r="BQ398" t="s">
        <v>74</v>
      </c>
      <c r="BR398" t="s">
        <v>101</v>
      </c>
      <c r="BS398" t="s">
        <v>7727</v>
      </c>
      <c r="BT398" t="str">
        <f>HYPERLINK("https%3A%2F%2Fwww.webofscience.com%2Fwos%2Fwoscc%2Ffull-record%2FWOS:000308580800011","View Full Record in Web of Science")</f>
        <v>View Full Record in Web of Science</v>
      </c>
    </row>
    <row r="399" spans="1:72" x14ac:dyDescent="0.15">
      <c r="A399" t="s">
        <v>72</v>
      </c>
      <c r="B399" t="s">
        <v>7728</v>
      </c>
      <c r="C399" t="s">
        <v>74</v>
      </c>
      <c r="D399" t="s">
        <v>74</v>
      </c>
      <c r="E399" t="s">
        <v>74</v>
      </c>
      <c r="F399" t="s">
        <v>7729</v>
      </c>
      <c r="G399" t="s">
        <v>74</v>
      </c>
      <c r="H399" t="s">
        <v>74</v>
      </c>
      <c r="I399" t="s">
        <v>7730</v>
      </c>
      <c r="J399" t="s">
        <v>7731</v>
      </c>
      <c r="K399" t="s">
        <v>74</v>
      </c>
      <c r="L399" t="s">
        <v>74</v>
      </c>
      <c r="M399" t="s">
        <v>78</v>
      </c>
      <c r="N399" t="s">
        <v>79</v>
      </c>
      <c r="O399" t="s">
        <v>74</v>
      </c>
      <c r="P399" t="s">
        <v>74</v>
      </c>
      <c r="Q399" t="s">
        <v>74</v>
      </c>
      <c r="R399" t="s">
        <v>74</v>
      </c>
      <c r="S399" t="s">
        <v>74</v>
      </c>
      <c r="T399" t="s">
        <v>7732</v>
      </c>
      <c r="U399" t="s">
        <v>74</v>
      </c>
      <c r="V399" t="s">
        <v>7733</v>
      </c>
      <c r="W399" t="s">
        <v>7734</v>
      </c>
      <c r="X399" t="s">
        <v>7735</v>
      </c>
      <c r="Y399" t="s">
        <v>7736</v>
      </c>
      <c r="Z399" t="s">
        <v>7737</v>
      </c>
      <c r="AA399" t="s">
        <v>7738</v>
      </c>
      <c r="AB399" t="s">
        <v>7739</v>
      </c>
      <c r="AC399" t="s">
        <v>74</v>
      </c>
      <c r="AD399" t="s">
        <v>74</v>
      </c>
      <c r="AE399" t="s">
        <v>74</v>
      </c>
      <c r="AF399" t="s">
        <v>74</v>
      </c>
      <c r="AG399">
        <v>10</v>
      </c>
      <c r="AH399">
        <v>18</v>
      </c>
      <c r="AI399">
        <v>18</v>
      </c>
      <c r="AJ399">
        <v>1</v>
      </c>
      <c r="AK399">
        <v>5</v>
      </c>
      <c r="AL399" t="s">
        <v>7740</v>
      </c>
      <c r="AM399" t="s">
        <v>7741</v>
      </c>
      <c r="AN399" t="s">
        <v>7742</v>
      </c>
      <c r="AO399" t="s">
        <v>7743</v>
      </c>
      <c r="AP399" t="s">
        <v>7744</v>
      </c>
      <c r="AQ399" t="s">
        <v>74</v>
      </c>
      <c r="AR399" t="s">
        <v>7745</v>
      </c>
      <c r="AS399" t="s">
        <v>7746</v>
      </c>
      <c r="AT399" t="s">
        <v>7061</v>
      </c>
      <c r="AU399">
        <v>2012</v>
      </c>
      <c r="AV399">
        <v>18</v>
      </c>
      <c r="AW399">
        <v>7</v>
      </c>
      <c r="AX399" t="s">
        <v>74</v>
      </c>
      <c r="AY399" t="s">
        <v>74</v>
      </c>
      <c r="AZ399" t="s">
        <v>74</v>
      </c>
      <c r="BA399" t="s">
        <v>74</v>
      </c>
      <c r="BB399">
        <v>521</v>
      </c>
      <c r="BC399">
        <v>524</v>
      </c>
      <c r="BD399" t="s">
        <v>74</v>
      </c>
      <c r="BE399" t="s">
        <v>7747</v>
      </c>
      <c r="BF399" t="str">
        <f>HYPERLINK("http://dx.doi.org/10.1089/tmj.2011.0266","http://dx.doi.org/10.1089/tmj.2011.0266")</f>
        <v>http://dx.doi.org/10.1089/tmj.2011.0266</v>
      </c>
      <c r="BG399" t="s">
        <v>74</v>
      </c>
      <c r="BH399" t="s">
        <v>74</v>
      </c>
      <c r="BI399">
        <v>4</v>
      </c>
      <c r="BJ399" t="s">
        <v>7748</v>
      </c>
      <c r="BK399" t="s">
        <v>98</v>
      </c>
      <c r="BL399" t="s">
        <v>7748</v>
      </c>
      <c r="BM399" t="s">
        <v>7749</v>
      </c>
      <c r="BN399">
        <v>22822790</v>
      </c>
      <c r="BO399" t="s">
        <v>74</v>
      </c>
      <c r="BP399" t="s">
        <v>74</v>
      </c>
      <c r="BQ399" t="s">
        <v>74</v>
      </c>
      <c r="BR399" t="s">
        <v>101</v>
      </c>
      <c r="BS399" t="s">
        <v>7750</v>
      </c>
      <c r="BT399" t="str">
        <f>HYPERLINK("https%3A%2F%2Fwww.webofscience.com%2Fwos%2Fwoscc%2Ffull-record%2FWOS:000308703300006","View Full Record in Web of Science")</f>
        <v>View Full Record in Web of Science</v>
      </c>
    </row>
    <row r="400" spans="1:72" x14ac:dyDescent="0.15">
      <c r="A400" t="s">
        <v>72</v>
      </c>
      <c r="B400" t="s">
        <v>7751</v>
      </c>
      <c r="C400" t="s">
        <v>74</v>
      </c>
      <c r="D400" t="s">
        <v>74</v>
      </c>
      <c r="E400" t="s">
        <v>74</v>
      </c>
      <c r="F400" t="s">
        <v>7752</v>
      </c>
      <c r="G400" t="s">
        <v>74</v>
      </c>
      <c r="H400" t="s">
        <v>74</v>
      </c>
      <c r="I400" t="s">
        <v>7753</v>
      </c>
      <c r="J400" t="s">
        <v>222</v>
      </c>
      <c r="K400" t="s">
        <v>74</v>
      </c>
      <c r="L400" t="s">
        <v>74</v>
      </c>
      <c r="M400" t="s">
        <v>78</v>
      </c>
      <c r="N400" t="s">
        <v>79</v>
      </c>
      <c r="O400" t="s">
        <v>74</v>
      </c>
      <c r="P400" t="s">
        <v>74</v>
      </c>
      <c r="Q400" t="s">
        <v>74</v>
      </c>
      <c r="R400" t="s">
        <v>74</v>
      </c>
      <c r="S400" t="s">
        <v>74</v>
      </c>
      <c r="T400" t="s">
        <v>7754</v>
      </c>
      <c r="U400" t="s">
        <v>7755</v>
      </c>
      <c r="V400" t="s">
        <v>7756</v>
      </c>
      <c r="W400" t="s">
        <v>7757</v>
      </c>
      <c r="X400" t="s">
        <v>7758</v>
      </c>
      <c r="Y400" t="s">
        <v>7759</v>
      </c>
      <c r="Z400" t="s">
        <v>7760</v>
      </c>
      <c r="AA400" t="s">
        <v>7761</v>
      </c>
      <c r="AB400" t="s">
        <v>7762</v>
      </c>
      <c r="AC400" t="s">
        <v>7763</v>
      </c>
      <c r="AD400" t="s">
        <v>7764</v>
      </c>
      <c r="AE400" t="s">
        <v>7765</v>
      </c>
      <c r="AF400" t="s">
        <v>74</v>
      </c>
      <c r="AG400">
        <v>31</v>
      </c>
      <c r="AH400">
        <v>24</v>
      </c>
      <c r="AI400">
        <v>26</v>
      </c>
      <c r="AJ400">
        <v>4</v>
      </c>
      <c r="AK400">
        <v>25</v>
      </c>
      <c r="AL400" t="s">
        <v>188</v>
      </c>
      <c r="AM400" t="s">
        <v>189</v>
      </c>
      <c r="AN400" t="s">
        <v>190</v>
      </c>
      <c r="AO400" t="s">
        <v>235</v>
      </c>
      <c r="AP400" t="s">
        <v>236</v>
      </c>
      <c r="AQ400" t="s">
        <v>74</v>
      </c>
      <c r="AR400" t="s">
        <v>237</v>
      </c>
      <c r="AS400" t="s">
        <v>238</v>
      </c>
      <c r="AT400" t="s">
        <v>7061</v>
      </c>
      <c r="AU400">
        <v>2012</v>
      </c>
      <c r="AV400">
        <v>345</v>
      </c>
      <c r="AW400" t="s">
        <v>74</v>
      </c>
      <c r="AX400" t="s">
        <v>74</v>
      </c>
      <c r="AY400" t="s">
        <v>74</v>
      </c>
      <c r="AZ400" t="s">
        <v>74</v>
      </c>
      <c r="BA400" t="s">
        <v>74</v>
      </c>
      <c r="BB400">
        <v>27</v>
      </c>
      <c r="BC400">
        <v>37</v>
      </c>
      <c r="BD400" t="s">
        <v>74</v>
      </c>
      <c r="BE400" t="s">
        <v>7766</v>
      </c>
      <c r="BF400" t="str">
        <f>HYPERLINK("http://dx.doi.org/10.1016/j.epsl.2012.06.023","http://dx.doi.org/10.1016/j.epsl.2012.06.023")</f>
        <v>http://dx.doi.org/10.1016/j.epsl.2012.06.023</v>
      </c>
      <c r="BG400" t="s">
        <v>74</v>
      </c>
      <c r="BH400" t="s">
        <v>74</v>
      </c>
      <c r="BI400">
        <v>11</v>
      </c>
      <c r="BJ400" t="s">
        <v>241</v>
      </c>
      <c r="BK400" t="s">
        <v>98</v>
      </c>
      <c r="BL400" t="s">
        <v>241</v>
      </c>
      <c r="BM400" t="s">
        <v>7767</v>
      </c>
      <c r="BN400" t="s">
        <v>74</v>
      </c>
      <c r="BO400" t="s">
        <v>74</v>
      </c>
      <c r="BP400" t="s">
        <v>74</v>
      </c>
      <c r="BQ400" t="s">
        <v>74</v>
      </c>
      <c r="BR400" t="s">
        <v>101</v>
      </c>
      <c r="BS400" t="s">
        <v>7768</v>
      </c>
      <c r="BT400" t="str">
        <f>HYPERLINK("https%3A%2F%2Fwww.webofscience.com%2Fwos%2Fwoscc%2Ffull-record%2FWOS:000308522800004","View Full Record in Web of Science")</f>
        <v>View Full Record in Web of Science</v>
      </c>
    </row>
    <row r="401" spans="1:72" x14ac:dyDescent="0.15">
      <c r="A401" t="s">
        <v>72</v>
      </c>
      <c r="B401" t="s">
        <v>7769</v>
      </c>
      <c r="C401" t="s">
        <v>74</v>
      </c>
      <c r="D401" t="s">
        <v>74</v>
      </c>
      <c r="E401" t="s">
        <v>74</v>
      </c>
      <c r="F401" t="s">
        <v>7770</v>
      </c>
      <c r="G401" t="s">
        <v>74</v>
      </c>
      <c r="H401" t="s">
        <v>74</v>
      </c>
      <c r="I401" t="s">
        <v>7771</v>
      </c>
      <c r="J401" t="s">
        <v>7772</v>
      </c>
      <c r="K401" t="s">
        <v>74</v>
      </c>
      <c r="L401" t="s">
        <v>74</v>
      </c>
      <c r="M401" t="s">
        <v>78</v>
      </c>
      <c r="N401" t="s">
        <v>79</v>
      </c>
      <c r="O401" t="s">
        <v>74</v>
      </c>
      <c r="P401" t="s">
        <v>74</v>
      </c>
      <c r="Q401" t="s">
        <v>74</v>
      </c>
      <c r="R401" t="s">
        <v>74</v>
      </c>
      <c r="S401" t="s">
        <v>74</v>
      </c>
      <c r="T401" t="s">
        <v>7773</v>
      </c>
      <c r="U401" t="s">
        <v>7774</v>
      </c>
      <c r="V401" t="s">
        <v>7775</v>
      </c>
      <c r="W401" t="s">
        <v>7776</v>
      </c>
      <c r="X401" t="s">
        <v>7777</v>
      </c>
      <c r="Y401" t="s">
        <v>7778</v>
      </c>
      <c r="Z401" t="s">
        <v>7779</v>
      </c>
      <c r="AA401" t="s">
        <v>7780</v>
      </c>
      <c r="AB401" t="s">
        <v>7781</v>
      </c>
      <c r="AC401" t="s">
        <v>7782</v>
      </c>
      <c r="AD401" t="s">
        <v>7783</v>
      </c>
      <c r="AE401" t="s">
        <v>7784</v>
      </c>
      <c r="AF401" t="s">
        <v>74</v>
      </c>
      <c r="AG401">
        <v>48</v>
      </c>
      <c r="AH401">
        <v>109</v>
      </c>
      <c r="AI401">
        <v>122</v>
      </c>
      <c r="AJ401">
        <v>1</v>
      </c>
      <c r="AK401">
        <v>204</v>
      </c>
      <c r="AL401" t="s">
        <v>1517</v>
      </c>
      <c r="AM401" t="s">
        <v>434</v>
      </c>
      <c r="AN401" t="s">
        <v>1518</v>
      </c>
      <c r="AO401" t="s">
        <v>7785</v>
      </c>
      <c r="AP401" t="s">
        <v>74</v>
      </c>
      <c r="AQ401" t="s">
        <v>74</v>
      </c>
      <c r="AR401" t="s">
        <v>7786</v>
      </c>
      <c r="AS401" t="s">
        <v>7787</v>
      </c>
      <c r="AT401" t="s">
        <v>7061</v>
      </c>
      <c r="AU401">
        <v>2012</v>
      </c>
      <c r="AV401">
        <v>84</v>
      </c>
      <c r="AW401">
        <v>3</v>
      </c>
      <c r="AX401" t="s">
        <v>74</v>
      </c>
      <c r="AY401" t="s">
        <v>74</v>
      </c>
      <c r="AZ401" t="s">
        <v>74</v>
      </c>
      <c r="BA401" t="s">
        <v>74</v>
      </c>
      <c r="BB401">
        <v>509</v>
      </c>
      <c r="BC401">
        <v>513</v>
      </c>
      <c r="BD401" t="s">
        <v>74</v>
      </c>
      <c r="BE401" t="s">
        <v>7788</v>
      </c>
      <c r="BF401" t="str">
        <f>HYPERLINK("http://dx.doi.org/10.1016/j.anbehav.2012.06.014","http://dx.doi.org/10.1016/j.anbehav.2012.06.014")</f>
        <v>http://dx.doi.org/10.1016/j.anbehav.2012.06.014</v>
      </c>
      <c r="BG401" t="s">
        <v>74</v>
      </c>
      <c r="BH401" t="s">
        <v>74</v>
      </c>
      <c r="BI401">
        <v>5</v>
      </c>
      <c r="BJ401" t="s">
        <v>7789</v>
      </c>
      <c r="BK401" t="s">
        <v>98</v>
      </c>
      <c r="BL401" t="s">
        <v>7789</v>
      </c>
      <c r="BM401" t="s">
        <v>7790</v>
      </c>
      <c r="BN401" t="s">
        <v>74</v>
      </c>
      <c r="BO401" t="s">
        <v>74</v>
      </c>
      <c r="BP401" t="s">
        <v>74</v>
      </c>
      <c r="BQ401" t="s">
        <v>74</v>
      </c>
      <c r="BR401" t="s">
        <v>101</v>
      </c>
      <c r="BS401" t="s">
        <v>7791</v>
      </c>
      <c r="BT401" t="str">
        <f>HYPERLINK("https%3A%2F%2Fwww.webofscience.com%2Fwos%2Fwoscc%2Ffull-record%2FWOS:000308123700004","View Full Record in Web of Science")</f>
        <v>View Full Record in Web of Science</v>
      </c>
    </row>
    <row r="402" spans="1:72" x14ac:dyDescent="0.15">
      <c r="A402" t="s">
        <v>72</v>
      </c>
      <c r="B402" t="s">
        <v>2811</v>
      </c>
      <c r="C402" t="s">
        <v>74</v>
      </c>
      <c r="D402" t="s">
        <v>74</v>
      </c>
      <c r="E402" t="s">
        <v>74</v>
      </c>
      <c r="F402" t="s">
        <v>2812</v>
      </c>
      <c r="G402" t="s">
        <v>74</v>
      </c>
      <c r="H402" t="s">
        <v>74</v>
      </c>
      <c r="I402" t="s">
        <v>7792</v>
      </c>
      <c r="J402" t="s">
        <v>7793</v>
      </c>
      <c r="K402" t="s">
        <v>74</v>
      </c>
      <c r="L402" t="s">
        <v>74</v>
      </c>
      <c r="M402" t="s">
        <v>78</v>
      </c>
      <c r="N402" t="s">
        <v>79</v>
      </c>
      <c r="O402" t="s">
        <v>74</v>
      </c>
      <c r="P402" t="s">
        <v>74</v>
      </c>
      <c r="Q402" t="s">
        <v>74</v>
      </c>
      <c r="R402" t="s">
        <v>74</v>
      </c>
      <c r="S402" t="s">
        <v>74</v>
      </c>
      <c r="T402" t="s">
        <v>74</v>
      </c>
      <c r="U402" t="s">
        <v>7794</v>
      </c>
      <c r="V402" t="s">
        <v>7795</v>
      </c>
      <c r="W402" t="s">
        <v>7796</v>
      </c>
      <c r="X402" t="s">
        <v>2817</v>
      </c>
      <c r="Y402" t="s">
        <v>7797</v>
      </c>
      <c r="Z402" t="s">
        <v>2819</v>
      </c>
      <c r="AA402" t="s">
        <v>74</v>
      </c>
      <c r="AB402" t="s">
        <v>74</v>
      </c>
      <c r="AC402" t="s">
        <v>7798</v>
      </c>
      <c r="AD402" t="s">
        <v>7799</v>
      </c>
      <c r="AE402" t="s">
        <v>7800</v>
      </c>
      <c r="AF402" t="s">
        <v>74</v>
      </c>
      <c r="AG402">
        <v>47</v>
      </c>
      <c r="AH402">
        <v>54</v>
      </c>
      <c r="AI402">
        <v>63</v>
      </c>
      <c r="AJ402">
        <v>2</v>
      </c>
      <c r="AK402">
        <v>35</v>
      </c>
      <c r="AL402" t="s">
        <v>1646</v>
      </c>
      <c r="AM402" t="s">
        <v>119</v>
      </c>
      <c r="AN402" t="s">
        <v>1647</v>
      </c>
      <c r="AO402" t="s">
        <v>7801</v>
      </c>
      <c r="AP402" t="s">
        <v>7802</v>
      </c>
      <c r="AQ402" t="s">
        <v>74</v>
      </c>
      <c r="AR402" t="s">
        <v>7803</v>
      </c>
      <c r="AS402" t="s">
        <v>7804</v>
      </c>
      <c r="AT402" t="s">
        <v>7061</v>
      </c>
      <c r="AU402">
        <v>2012</v>
      </c>
      <c r="AV402">
        <v>78</v>
      </c>
      <c r="AW402">
        <v>18</v>
      </c>
      <c r="AX402" t="s">
        <v>74</v>
      </c>
      <c r="AY402" t="s">
        <v>74</v>
      </c>
      <c r="AZ402" t="s">
        <v>74</v>
      </c>
      <c r="BA402" t="s">
        <v>74</v>
      </c>
      <c r="BB402">
        <v>6741</v>
      </c>
      <c r="BC402">
        <v>6748</v>
      </c>
      <c r="BD402" t="s">
        <v>74</v>
      </c>
      <c r="BE402" t="s">
        <v>7805</v>
      </c>
      <c r="BF402" t="str">
        <f>HYPERLINK("http://dx.doi.org/10.1128/AEM.01388-12","http://dx.doi.org/10.1128/AEM.01388-12")</f>
        <v>http://dx.doi.org/10.1128/AEM.01388-12</v>
      </c>
      <c r="BG402" t="s">
        <v>74</v>
      </c>
      <c r="BH402" t="s">
        <v>74</v>
      </c>
      <c r="BI402">
        <v>8</v>
      </c>
      <c r="BJ402" t="s">
        <v>7806</v>
      </c>
      <c r="BK402" t="s">
        <v>98</v>
      </c>
      <c r="BL402" t="s">
        <v>7806</v>
      </c>
      <c r="BM402" t="s">
        <v>7807</v>
      </c>
      <c r="BN402">
        <v>22798377</v>
      </c>
      <c r="BO402" t="s">
        <v>1654</v>
      </c>
      <c r="BP402" t="s">
        <v>74</v>
      </c>
      <c r="BQ402" t="s">
        <v>74</v>
      </c>
      <c r="BR402" t="s">
        <v>101</v>
      </c>
      <c r="BS402" t="s">
        <v>7808</v>
      </c>
      <c r="BT402" t="str">
        <f>HYPERLINK("https%3A%2F%2Fwww.webofscience.com%2Fwos%2Fwoscc%2Ffull-record%2FWOS:000308336400043","View Full Record in Web of Science")</f>
        <v>View Full Record in Web of Science</v>
      </c>
    </row>
    <row r="403" spans="1:72" x14ac:dyDescent="0.15">
      <c r="A403" t="s">
        <v>72</v>
      </c>
      <c r="B403" t="s">
        <v>7809</v>
      </c>
      <c r="C403" t="s">
        <v>74</v>
      </c>
      <c r="D403" t="s">
        <v>74</v>
      </c>
      <c r="E403" t="s">
        <v>74</v>
      </c>
      <c r="F403" t="s">
        <v>7810</v>
      </c>
      <c r="G403" t="s">
        <v>74</v>
      </c>
      <c r="H403" t="s">
        <v>74</v>
      </c>
      <c r="I403" t="s">
        <v>7811</v>
      </c>
      <c r="J403" t="s">
        <v>1463</v>
      </c>
      <c r="K403" t="s">
        <v>74</v>
      </c>
      <c r="L403" t="s">
        <v>74</v>
      </c>
      <c r="M403" t="s">
        <v>78</v>
      </c>
      <c r="N403" t="s">
        <v>79</v>
      </c>
      <c r="O403" t="s">
        <v>74</v>
      </c>
      <c r="P403" t="s">
        <v>74</v>
      </c>
      <c r="Q403" t="s">
        <v>74</v>
      </c>
      <c r="R403" t="s">
        <v>74</v>
      </c>
      <c r="S403" t="s">
        <v>74</v>
      </c>
      <c r="T403" t="s">
        <v>7812</v>
      </c>
      <c r="U403" t="s">
        <v>7813</v>
      </c>
      <c r="V403" t="s">
        <v>7814</v>
      </c>
      <c r="W403" t="s">
        <v>7815</v>
      </c>
      <c r="X403" t="s">
        <v>7816</v>
      </c>
      <c r="Y403" t="s">
        <v>2723</v>
      </c>
      <c r="Z403" t="s">
        <v>2724</v>
      </c>
      <c r="AA403" t="s">
        <v>7817</v>
      </c>
      <c r="AB403" t="s">
        <v>7818</v>
      </c>
      <c r="AC403" t="s">
        <v>7819</v>
      </c>
      <c r="AD403" t="s">
        <v>7819</v>
      </c>
      <c r="AE403" t="s">
        <v>7820</v>
      </c>
      <c r="AF403" t="s">
        <v>74</v>
      </c>
      <c r="AG403">
        <v>51</v>
      </c>
      <c r="AH403">
        <v>28</v>
      </c>
      <c r="AI403">
        <v>28</v>
      </c>
      <c r="AJ403">
        <v>3</v>
      </c>
      <c r="AK403">
        <v>35</v>
      </c>
      <c r="AL403" t="s">
        <v>89</v>
      </c>
      <c r="AM403" t="s">
        <v>90</v>
      </c>
      <c r="AN403" t="s">
        <v>91</v>
      </c>
      <c r="AO403" t="s">
        <v>1476</v>
      </c>
      <c r="AP403" t="s">
        <v>1497</v>
      </c>
      <c r="AQ403" t="s">
        <v>74</v>
      </c>
      <c r="AR403" t="s">
        <v>1477</v>
      </c>
      <c r="AS403" t="s">
        <v>1478</v>
      </c>
      <c r="AT403" t="s">
        <v>7061</v>
      </c>
      <c r="AU403">
        <v>2012</v>
      </c>
      <c r="AV403">
        <v>67</v>
      </c>
      <c r="AW403" t="s">
        <v>74</v>
      </c>
      <c r="AX403" t="s">
        <v>74</v>
      </c>
      <c r="AY403" t="s">
        <v>74</v>
      </c>
      <c r="AZ403" t="s">
        <v>74</v>
      </c>
      <c r="BA403" t="s">
        <v>74</v>
      </c>
      <c r="BB403">
        <v>32</v>
      </c>
      <c r="BC403">
        <v>43</v>
      </c>
      <c r="BD403" t="s">
        <v>74</v>
      </c>
      <c r="BE403" t="s">
        <v>7821</v>
      </c>
      <c r="BF403" t="str">
        <f>HYPERLINK("http://dx.doi.org/10.1016/j.dsr.2012.05.003","http://dx.doi.org/10.1016/j.dsr.2012.05.003")</f>
        <v>http://dx.doi.org/10.1016/j.dsr.2012.05.003</v>
      </c>
      <c r="BG403" t="s">
        <v>74</v>
      </c>
      <c r="BH403" t="s">
        <v>74</v>
      </c>
      <c r="BI403">
        <v>12</v>
      </c>
      <c r="BJ403" t="s">
        <v>941</v>
      </c>
      <c r="BK403" t="s">
        <v>98</v>
      </c>
      <c r="BL403" t="s">
        <v>941</v>
      </c>
      <c r="BM403" t="s">
        <v>7822</v>
      </c>
      <c r="BN403" t="s">
        <v>74</v>
      </c>
      <c r="BO403" t="s">
        <v>74</v>
      </c>
      <c r="BP403" t="s">
        <v>74</v>
      </c>
      <c r="BQ403" t="s">
        <v>74</v>
      </c>
      <c r="BR403" t="s">
        <v>101</v>
      </c>
      <c r="BS403" t="s">
        <v>7823</v>
      </c>
      <c r="BT403" t="str">
        <f>HYPERLINK("https%3A%2F%2Fwww.webofscience.com%2Fwos%2Fwoscc%2Ffull-record%2FWOS:000308515700004","View Full Record in Web of Science")</f>
        <v>View Full Record in Web of Science</v>
      </c>
    </row>
    <row r="404" spans="1:72" x14ac:dyDescent="0.15">
      <c r="A404" t="s">
        <v>72</v>
      </c>
      <c r="B404" t="s">
        <v>7824</v>
      </c>
      <c r="C404" t="s">
        <v>74</v>
      </c>
      <c r="D404" t="s">
        <v>74</v>
      </c>
      <c r="E404" t="s">
        <v>74</v>
      </c>
      <c r="F404" t="s">
        <v>7825</v>
      </c>
      <c r="G404" t="s">
        <v>74</v>
      </c>
      <c r="H404" t="s">
        <v>74</v>
      </c>
      <c r="I404" t="s">
        <v>7826</v>
      </c>
      <c r="J404" t="s">
        <v>7827</v>
      </c>
      <c r="K404" t="s">
        <v>74</v>
      </c>
      <c r="L404" t="s">
        <v>74</v>
      </c>
      <c r="M404" t="s">
        <v>78</v>
      </c>
      <c r="N404" t="s">
        <v>79</v>
      </c>
      <c r="O404" t="s">
        <v>74</v>
      </c>
      <c r="P404" t="s">
        <v>74</v>
      </c>
      <c r="Q404" t="s">
        <v>74</v>
      </c>
      <c r="R404" t="s">
        <v>74</v>
      </c>
      <c r="S404" t="s">
        <v>74</v>
      </c>
      <c r="T404" t="s">
        <v>7828</v>
      </c>
      <c r="U404" t="s">
        <v>7829</v>
      </c>
      <c r="V404" t="s">
        <v>7830</v>
      </c>
      <c r="W404" t="s">
        <v>7831</v>
      </c>
      <c r="X404" t="s">
        <v>7832</v>
      </c>
      <c r="Y404" t="s">
        <v>7833</v>
      </c>
      <c r="Z404" t="s">
        <v>7834</v>
      </c>
      <c r="AA404" t="s">
        <v>7835</v>
      </c>
      <c r="AB404" t="s">
        <v>74</v>
      </c>
      <c r="AC404" t="s">
        <v>7836</v>
      </c>
      <c r="AD404" t="s">
        <v>7837</v>
      </c>
      <c r="AE404" t="s">
        <v>7838</v>
      </c>
      <c r="AF404" t="s">
        <v>74</v>
      </c>
      <c r="AG404">
        <v>54</v>
      </c>
      <c r="AH404">
        <v>42</v>
      </c>
      <c r="AI404">
        <v>47</v>
      </c>
      <c r="AJ404">
        <v>1</v>
      </c>
      <c r="AK404">
        <v>56</v>
      </c>
      <c r="AL404" t="s">
        <v>1771</v>
      </c>
      <c r="AM404" t="s">
        <v>90</v>
      </c>
      <c r="AN404" t="s">
        <v>1772</v>
      </c>
      <c r="AO404" t="s">
        <v>7839</v>
      </c>
      <c r="AP404" t="s">
        <v>7840</v>
      </c>
      <c r="AQ404" t="s">
        <v>74</v>
      </c>
      <c r="AR404" t="s">
        <v>7841</v>
      </c>
      <c r="AS404" t="s">
        <v>7842</v>
      </c>
      <c r="AT404" t="s">
        <v>7061</v>
      </c>
      <c r="AU404">
        <v>2012</v>
      </c>
      <c r="AV404">
        <v>69</v>
      </c>
      <c r="AW404">
        <v>7</v>
      </c>
      <c r="AX404" t="s">
        <v>74</v>
      </c>
      <c r="AY404" t="s">
        <v>74</v>
      </c>
      <c r="AZ404" t="s">
        <v>74</v>
      </c>
      <c r="BA404" t="s">
        <v>74</v>
      </c>
      <c r="BB404">
        <v>1317</v>
      </c>
      <c r="BC404">
        <v>1327</v>
      </c>
      <c r="BD404" t="s">
        <v>74</v>
      </c>
      <c r="BE404" t="s">
        <v>7843</v>
      </c>
      <c r="BF404" t="str">
        <f>HYPERLINK("http://dx.doi.org/10.1093/icesjms/fss048","http://dx.doi.org/10.1093/icesjms/fss048")</f>
        <v>http://dx.doi.org/10.1093/icesjms/fss048</v>
      </c>
      <c r="BG404" t="s">
        <v>74</v>
      </c>
      <c r="BH404" t="s">
        <v>74</v>
      </c>
      <c r="BI404">
        <v>11</v>
      </c>
      <c r="BJ404" t="s">
        <v>7844</v>
      </c>
      <c r="BK404" t="s">
        <v>98</v>
      </c>
      <c r="BL404" t="s">
        <v>7844</v>
      </c>
      <c r="BM404" t="s">
        <v>7845</v>
      </c>
      <c r="BN404" t="s">
        <v>74</v>
      </c>
      <c r="BO404" t="s">
        <v>1458</v>
      </c>
      <c r="BP404" t="s">
        <v>74</v>
      </c>
      <c r="BQ404" t="s">
        <v>74</v>
      </c>
      <c r="BR404" t="s">
        <v>101</v>
      </c>
      <c r="BS404" t="s">
        <v>7846</v>
      </c>
      <c r="BT404" t="str">
        <f>HYPERLINK("https%3A%2F%2Fwww.webofscience.com%2Fwos%2Fwoscc%2Ffull-record%2FWOS:000308012000021","View Full Record in Web of Science")</f>
        <v>View Full Record in Web of Science</v>
      </c>
    </row>
    <row r="405" spans="1:72" x14ac:dyDescent="0.15">
      <c r="A405" t="s">
        <v>72</v>
      </c>
      <c r="B405" t="s">
        <v>7847</v>
      </c>
      <c r="C405" t="s">
        <v>74</v>
      </c>
      <c r="D405" t="s">
        <v>74</v>
      </c>
      <c r="E405" t="s">
        <v>74</v>
      </c>
      <c r="F405" t="s">
        <v>7848</v>
      </c>
      <c r="G405" t="s">
        <v>74</v>
      </c>
      <c r="H405" t="s">
        <v>74</v>
      </c>
      <c r="I405" t="s">
        <v>7849</v>
      </c>
      <c r="J405" t="s">
        <v>7850</v>
      </c>
      <c r="K405" t="s">
        <v>74</v>
      </c>
      <c r="L405" t="s">
        <v>74</v>
      </c>
      <c r="M405" t="s">
        <v>78</v>
      </c>
      <c r="N405" t="s">
        <v>7851</v>
      </c>
      <c r="O405" t="s">
        <v>74</v>
      </c>
      <c r="P405" t="s">
        <v>74</v>
      </c>
      <c r="Q405" t="s">
        <v>74</v>
      </c>
      <c r="R405" t="s">
        <v>74</v>
      </c>
      <c r="S405" t="s">
        <v>74</v>
      </c>
      <c r="T405" t="s">
        <v>74</v>
      </c>
      <c r="U405" t="s">
        <v>74</v>
      </c>
      <c r="V405" t="s">
        <v>74</v>
      </c>
      <c r="W405" t="s">
        <v>74</v>
      </c>
      <c r="X405" t="s">
        <v>74</v>
      </c>
      <c r="Y405" t="s">
        <v>74</v>
      </c>
      <c r="Z405" t="s">
        <v>74</v>
      </c>
      <c r="AA405" t="s">
        <v>74</v>
      </c>
      <c r="AB405" t="s">
        <v>74</v>
      </c>
      <c r="AC405" t="s">
        <v>74</v>
      </c>
      <c r="AD405" t="s">
        <v>74</v>
      </c>
      <c r="AE405" t="s">
        <v>74</v>
      </c>
      <c r="AF405" t="s">
        <v>74</v>
      </c>
      <c r="AG405">
        <v>1</v>
      </c>
      <c r="AH405">
        <v>0</v>
      </c>
      <c r="AI405">
        <v>0</v>
      </c>
      <c r="AJ405">
        <v>0</v>
      </c>
      <c r="AK405">
        <v>1</v>
      </c>
      <c r="AL405" t="s">
        <v>916</v>
      </c>
      <c r="AM405" t="s">
        <v>899</v>
      </c>
      <c r="AN405" t="s">
        <v>900</v>
      </c>
      <c r="AO405" t="s">
        <v>7852</v>
      </c>
      <c r="AP405" t="s">
        <v>74</v>
      </c>
      <c r="AQ405" t="s">
        <v>74</v>
      </c>
      <c r="AR405" t="s">
        <v>7853</v>
      </c>
      <c r="AS405" t="s">
        <v>7854</v>
      </c>
      <c r="AT405" t="s">
        <v>7061</v>
      </c>
      <c r="AU405">
        <v>2012</v>
      </c>
      <c r="AV405">
        <v>41</v>
      </c>
      <c r="AW405">
        <v>2</v>
      </c>
      <c r="AX405" t="s">
        <v>74</v>
      </c>
      <c r="AY405" t="s">
        <v>74</v>
      </c>
      <c r="AZ405" t="s">
        <v>74</v>
      </c>
      <c r="BA405" t="s">
        <v>74</v>
      </c>
      <c r="BB405">
        <v>464</v>
      </c>
      <c r="BC405">
        <v>465</v>
      </c>
      <c r="BD405" t="s">
        <v>74</v>
      </c>
      <c r="BE405" t="s">
        <v>7855</v>
      </c>
      <c r="BF405" t="str">
        <f>HYPERLINK("http://dx.doi.org/10.1111/j.1095-9270.2012.00354_28.x","http://dx.doi.org/10.1111/j.1095-9270.2012.00354_28.x")</f>
        <v>http://dx.doi.org/10.1111/j.1095-9270.2012.00354_28.x</v>
      </c>
      <c r="BG405" t="s">
        <v>74</v>
      </c>
      <c r="BH405" t="s">
        <v>74</v>
      </c>
      <c r="BI405">
        <v>2</v>
      </c>
      <c r="BJ405" t="s">
        <v>7856</v>
      </c>
      <c r="BK405" t="s">
        <v>1178</v>
      </c>
      <c r="BL405" t="s">
        <v>7856</v>
      </c>
      <c r="BM405" t="s">
        <v>7857</v>
      </c>
      <c r="BN405" t="s">
        <v>74</v>
      </c>
      <c r="BO405" t="s">
        <v>74</v>
      </c>
      <c r="BP405" t="s">
        <v>74</v>
      </c>
      <c r="BQ405" t="s">
        <v>74</v>
      </c>
      <c r="BR405" t="s">
        <v>101</v>
      </c>
      <c r="BS405" t="s">
        <v>7858</v>
      </c>
      <c r="BT405" t="str">
        <f>HYPERLINK("https%3A%2F%2Fwww.webofscience.com%2Fwos%2Fwoscc%2Ffull-record%2FWOS:000307501300042","View Full Record in Web of Science")</f>
        <v>View Full Record in Web of Science</v>
      </c>
    </row>
    <row r="406" spans="1:72" x14ac:dyDescent="0.15">
      <c r="A406" t="s">
        <v>72</v>
      </c>
      <c r="B406" t="s">
        <v>7859</v>
      </c>
      <c r="C406" t="s">
        <v>74</v>
      </c>
      <c r="D406" t="s">
        <v>74</v>
      </c>
      <c r="E406" t="s">
        <v>74</v>
      </c>
      <c r="F406" t="s">
        <v>7860</v>
      </c>
      <c r="G406" t="s">
        <v>74</v>
      </c>
      <c r="H406" t="s">
        <v>74</v>
      </c>
      <c r="I406" t="s">
        <v>7861</v>
      </c>
      <c r="J406" t="s">
        <v>1945</v>
      </c>
      <c r="K406" t="s">
        <v>74</v>
      </c>
      <c r="L406" t="s">
        <v>74</v>
      </c>
      <c r="M406" t="s">
        <v>78</v>
      </c>
      <c r="N406" t="s">
        <v>79</v>
      </c>
      <c r="O406" t="s">
        <v>74</v>
      </c>
      <c r="P406" t="s">
        <v>74</v>
      </c>
      <c r="Q406" t="s">
        <v>74</v>
      </c>
      <c r="R406" t="s">
        <v>74</v>
      </c>
      <c r="S406" t="s">
        <v>74</v>
      </c>
      <c r="T406" t="s">
        <v>7862</v>
      </c>
      <c r="U406" t="s">
        <v>7863</v>
      </c>
      <c r="V406" t="s">
        <v>7864</v>
      </c>
      <c r="W406" t="s">
        <v>7865</v>
      </c>
      <c r="X406" t="s">
        <v>7866</v>
      </c>
      <c r="Y406" t="s">
        <v>7867</v>
      </c>
      <c r="Z406" t="s">
        <v>7868</v>
      </c>
      <c r="AA406" t="s">
        <v>74</v>
      </c>
      <c r="AB406" t="s">
        <v>74</v>
      </c>
      <c r="AC406" t="s">
        <v>7869</v>
      </c>
      <c r="AD406" t="s">
        <v>7870</v>
      </c>
      <c r="AE406" t="s">
        <v>7871</v>
      </c>
      <c r="AF406" t="s">
        <v>74</v>
      </c>
      <c r="AG406">
        <v>79</v>
      </c>
      <c r="AH406">
        <v>5</v>
      </c>
      <c r="AI406">
        <v>5</v>
      </c>
      <c r="AJ406">
        <v>0</v>
      </c>
      <c r="AK406">
        <v>9</v>
      </c>
      <c r="AL406" t="s">
        <v>1958</v>
      </c>
      <c r="AM406" t="s">
        <v>1959</v>
      </c>
      <c r="AN406" t="s">
        <v>1960</v>
      </c>
      <c r="AO406" t="s">
        <v>1961</v>
      </c>
      <c r="AP406" t="s">
        <v>1962</v>
      </c>
      <c r="AQ406" t="s">
        <v>74</v>
      </c>
      <c r="AR406" t="s">
        <v>1963</v>
      </c>
      <c r="AS406" t="s">
        <v>1964</v>
      </c>
      <c r="AT406" t="s">
        <v>7061</v>
      </c>
      <c r="AU406">
        <v>2012</v>
      </c>
      <c r="AV406">
        <v>215</v>
      </c>
      <c r="AW406">
        <v>18</v>
      </c>
      <c r="AX406" t="s">
        <v>74</v>
      </c>
      <c r="AY406" t="s">
        <v>74</v>
      </c>
      <c r="AZ406" t="s">
        <v>74</v>
      </c>
      <c r="BA406" t="s">
        <v>74</v>
      </c>
      <c r="BB406">
        <v>3281</v>
      </c>
      <c r="BC406">
        <v>3292</v>
      </c>
      <c r="BD406" t="s">
        <v>74</v>
      </c>
      <c r="BE406" t="s">
        <v>7872</v>
      </c>
      <c r="BF406" t="str">
        <f>HYPERLINK("http://dx.doi.org/10.1242/jeb.070615","http://dx.doi.org/10.1242/jeb.070615")</f>
        <v>http://dx.doi.org/10.1242/jeb.070615</v>
      </c>
      <c r="BG406" t="s">
        <v>74</v>
      </c>
      <c r="BH406" t="s">
        <v>74</v>
      </c>
      <c r="BI406">
        <v>12</v>
      </c>
      <c r="BJ406" t="s">
        <v>1966</v>
      </c>
      <c r="BK406" t="s">
        <v>98</v>
      </c>
      <c r="BL406" t="s">
        <v>1967</v>
      </c>
      <c r="BM406" t="s">
        <v>7873</v>
      </c>
      <c r="BN406">
        <v>22693024</v>
      </c>
      <c r="BO406" t="s">
        <v>607</v>
      </c>
      <c r="BP406" t="s">
        <v>74</v>
      </c>
      <c r="BQ406" t="s">
        <v>74</v>
      </c>
      <c r="BR406" t="s">
        <v>101</v>
      </c>
      <c r="BS406" t="s">
        <v>7874</v>
      </c>
      <c r="BT406" t="str">
        <f>HYPERLINK("https%3A%2F%2Fwww.webofscience.com%2Fwos%2Fwoscc%2Ffull-record%2FWOS:000308041400021","View Full Record in Web of Science")</f>
        <v>View Full Record in Web of Science</v>
      </c>
    </row>
    <row r="407" spans="1:72" x14ac:dyDescent="0.15">
      <c r="A407" t="s">
        <v>72</v>
      </c>
      <c r="B407" t="s">
        <v>7875</v>
      </c>
      <c r="C407" t="s">
        <v>74</v>
      </c>
      <c r="D407" t="s">
        <v>74</v>
      </c>
      <c r="E407" t="s">
        <v>74</v>
      </c>
      <c r="F407" t="s">
        <v>7876</v>
      </c>
      <c r="G407" t="s">
        <v>74</v>
      </c>
      <c r="H407" t="s">
        <v>74</v>
      </c>
      <c r="I407" t="s">
        <v>7877</v>
      </c>
      <c r="J407" t="s">
        <v>7878</v>
      </c>
      <c r="K407" t="s">
        <v>74</v>
      </c>
      <c r="L407" t="s">
        <v>74</v>
      </c>
      <c r="M407" t="s">
        <v>78</v>
      </c>
      <c r="N407" t="s">
        <v>79</v>
      </c>
      <c r="O407" t="s">
        <v>74</v>
      </c>
      <c r="P407" t="s">
        <v>74</v>
      </c>
      <c r="Q407" t="s">
        <v>74</v>
      </c>
      <c r="R407" t="s">
        <v>74</v>
      </c>
      <c r="S407" t="s">
        <v>74</v>
      </c>
      <c r="T407" t="s">
        <v>7879</v>
      </c>
      <c r="U407" t="s">
        <v>7880</v>
      </c>
      <c r="V407" t="s">
        <v>7881</v>
      </c>
      <c r="W407" t="s">
        <v>7882</v>
      </c>
      <c r="X407" t="s">
        <v>7883</v>
      </c>
      <c r="Y407" t="s">
        <v>7884</v>
      </c>
      <c r="Z407" t="s">
        <v>7885</v>
      </c>
      <c r="AA407" t="s">
        <v>7886</v>
      </c>
      <c r="AB407" t="s">
        <v>7887</v>
      </c>
      <c r="AC407" t="s">
        <v>7888</v>
      </c>
      <c r="AD407" t="s">
        <v>7888</v>
      </c>
      <c r="AE407" t="s">
        <v>7889</v>
      </c>
      <c r="AF407" t="s">
        <v>74</v>
      </c>
      <c r="AG407">
        <v>55</v>
      </c>
      <c r="AH407">
        <v>15</v>
      </c>
      <c r="AI407">
        <v>17</v>
      </c>
      <c r="AJ407">
        <v>0</v>
      </c>
      <c r="AK407">
        <v>17</v>
      </c>
      <c r="AL407" t="s">
        <v>1034</v>
      </c>
      <c r="AM407" t="s">
        <v>90</v>
      </c>
      <c r="AN407" t="s">
        <v>1035</v>
      </c>
      <c r="AO407" t="s">
        <v>7890</v>
      </c>
      <c r="AP407" t="s">
        <v>74</v>
      </c>
      <c r="AQ407" t="s">
        <v>74</v>
      </c>
      <c r="AR407" t="s">
        <v>7891</v>
      </c>
      <c r="AS407" t="s">
        <v>7892</v>
      </c>
      <c r="AT407" t="s">
        <v>7061</v>
      </c>
      <c r="AU407">
        <v>2012</v>
      </c>
      <c r="AV407">
        <v>36</v>
      </c>
      <c r="AW407">
        <v>1</v>
      </c>
      <c r="AX407" t="s">
        <v>74</v>
      </c>
      <c r="AY407" t="s">
        <v>74</v>
      </c>
      <c r="AZ407" t="s">
        <v>74</v>
      </c>
      <c r="BA407" t="s">
        <v>74</v>
      </c>
      <c r="BB407">
        <v>164</v>
      </c>
      <c r="BC407">
        <v>171</v>
      </c>
      <c r="BD407" t="s">
        <v>74</v>
      </c>
      <c r="BE407" t="s">
        <v>7893</v>
      </c>
      <c r="BF407" t="str">
        <f>HYPERLINK("http://dx.doi.org/10.1016/j.marpetgeo.2012.04.005","http://dx.doi.org/10.1016/j.marpetgeo.2012.04.005")</f>
        <v>http://dx.doi.org/10.1016/j.marpetgeo.2012.04.005</v>
      </c>
      <c r="BG407" t="s">
        <v>74</v>
      </c>
      <c r="BH407" t="s">
        <v>74</v>
      </c>
      <c r="BI407">
        <v>8</v>
      </c>
      <c r="BJ407" t="s">
        <v>461</v>
      </c>
      <c r="BK407" t="s">
        <v>98</v>
      </c>
      <c r="BL407" t="s">
        <v>462</v>
      </c>
      <c r="BM407" t="s">
        <v>7894</v>
      </c>
      <c r="BN407" t="s">
        <v>74</v>
      </c>
      <c r="BO407" t="s">
        <v>74</v>
      </c>
      <c r="BP407" t="s">
        <v>74</v>
      </c>
      <c r="BQ407" t="s">
        <v>74</v>
      </c>
      <c r="BR407" t="s">
        <v>101</v>
      </c>
      <c r="BS407" t="s">
        <v>7895</v>
      </c>
      <c r="BT407" t="str">
        <f>HYPERLINK("https%3A%2F%2Fwww.webofscience.com%2Fwos%2Fwoscc%2Ffull-record%2FWOS:000307691900011","View Full Record in Web of Science")</f>
        <v>View Full Record in Web of Science</v>
      </c>
    </row>
    <row r="408" spans="1:72" x14ac:dyDescent="0.15">
      <c r="A408" t="s">
        <v>72</v>
      </c>
      <c r="B408" t="s">
        <v>7896</v>
      </c>
      <c r="C408" t="s">
        <v>74</v>
      </c>
      <c r="D408" t="s">
        <v>74</v>
      </c>
      <c r="E408" t="s">
        <v>74</v>
      </c>
      <c r="F408" t="s">
        <v>7897</v>
      </c>
      <c r="G408" t="s">
        <v>74</v>
      </c>
      <c r="H408" t="s">
        <v>74</v>
      </c>
      <c r="I408" t="s">
        <v>7898</v>
      </c>
      <c r="J408" t="s">
        <v>7899</v>
      </c>
      <c r="K408" t="s">
        <v>74</v>
      </c>
      <c r="L408" t="s">
        <v>74</v>
      </c>
      <c r="M408" t="s">
        <v>78</v>
      </c>
      <c r="N408" t="s">
        <v>79</v>
      </c>
      <c r="O408" t="s">
        <v>74</v>
      </c>
      <c r="P408" t="s">
        <v>74</v>
      </c>
      <c r="Q408" t="s">
        <v>74</v>
      </c>
      <c r="R408" t="s">
        <v>74</v>
      </c>
      <c r="S408" t="s">
        <v>74</v>
      </c>
      <c r="T408" t="s">
        <v>7900</v>
      </c>
      <c r="U408" t="s">
        <v>7901</v>
      </c>
      <c r="V408" t="s">
        <v>7902</v>
      </c>
      <c r="W408" t="s">
        <v>7903</v>
      </c>
      <c r="X408" t="s">
        <v>4391</v>
      </c>
      <c r="Y408" t="s">
        <v>7904</v>
      </c>
      <c r="Z408" t="s">
        <v>7905</v>
      </c>
      <c r="AA408" t="s">
        <v>7906</v>
      </c>
      <c r="AB408" t="s">
        <v>7907</v>
      </c>
      <c r="AC408" t="s">
        <v>7908</v>
      </c>
      <c r="AD408" t="s">
        <v>7908</v>
      </c>
      <c r="AE408" t="s">
        <v>7909</v>
      </c>
      <c r="AF408" t="s">
        <v>74</v>
      </c>
      <c r="AG408">
        <v>60</v>
      </c>
      <c r="AH408">
        <v>3</v>
      </c>
      <c r="AI408">
        <v>3</v>
      </c>
      <c r="AJ408">
        <v>0</v>
      </c>
      <c r="AK408">
        <v>24</v>
      </c>
      <c r="AL408" t="s">
        <v>188</v>
      </c>
      <c r="AM408" t="s">
        <v>189</v>
      </c>
      <c r="AN408" t="s">
        <v>190</v>
      </c>
      <c r="AO408" t="s">
        <v>7910</v>
      </c>
      <c r="AP408" t="s">
        <v>7911</v>
      </c>
      <c r="AQ408" t="s">
        <v>74</v>
      </c>
      <c r="AR408" t="s">
        <v>7912</v>
      </c>
      <c r="AS408" t="s">
        <v>7913</v>
      </c>
      <c r="AT408" t="s">
        <v>7061</v>
      </c>
      <c r="AU408">
        <v>2012</v>
      </c>
      <c r="AV408" t="s">
        <v>7914</v>
      </c>
      <c r="AW408" t="s">
        <v>74</v>
      </c>
      <c r="AX408" t="s">
        <v>74</v>
      </c>
      <c r="AY408" t="s">
        <v>74</v>
      </c>
      <c r="AZ408" t="s">
        <v>74</v>
      </c>
      <c r="BA408" t="s">
        <v>74</v>
      </c>
      <c r="BB408">
        <v>52</v>
      </c>
      <c r="BC408">
        <v>60</v>
      </c>
      <c r="BD408" t="s">
        <v>74</v>
      </c>
      <c r="BE408" t="s">
        <v>7915</v>
      </c>
      <c r="BF408" t="str">
        <f>HYPERLINK("http://dx.doi.org/10.1016/j.marmicro.2012.05.002","http://dx.doi.org/10.1016/j.marmicro.2012.05.002")</f>
        <v>http://dx.doi.org/10.1016/j.marmicro.2012.05.002</v>
      </c>
      <c r="BG408" t="s">
        <v>74</v>
      </c>
      <c r="BH408" t="s">
        <v>74</v>
      </c>
      <c r="BI408">
        <v>9</v>
      </c>
      <c r="BJ408" t="s">
        <v>4200</v>
      </c>
      <c r="BK408" t="s">
        <v>98</v>
      </c>
      <c r="BL408" t="s">
        <v>4200</v>
      </c>
      <c r="BM408" t="s">
        <v>7916</v>
      </c>
      <c r="BN408" t="s">
        <v>74</v>
      </c>
      <c r="BO408" t="s">
        <v>74</v>
      </c>
      <c r="BP408" t="s">
        <v>74</v>
      </c>
      <c r="BQ408" t="s">
        <v>74</v>
      </c>
      <c r="BR408" t="s">
        <v>101</v>
      </c>
      <c r="BS408" t="s">
        <v>7917</v>
      </c>
      <c r="BT408" t="str">
        <f>HYPERLINK("https%3A%2F%2Fwww.webofscience.com%2Fwos%2Fwoscc%2Ffull-record%2FWOS:000308061400005","View Full Record in Web of Science")</f>
        <v>View Full Record in Web of Science</v>
      </c>
    </row>
    <row r="409" spans="1:72" x14ac:dyDescent="0.15">
      <c r="A409" t="s">
        <v>72</v>
      </c>
      <c r="B409" t="s">
        <v>7918</v>
      </c>
      <c r="C409" t="s">
        <v>74</v>
      </c>
      <c r="D409" t="s">
        <v>74</v>
      </c>
      <c r="E409" t="s">
        <v>74</v>
      </c>
      <c r="F409" t="s">
        <v>7919</v>
      </c>
      <c r="G409" t="s">
        <v>74</v>
      </c>
      <c r="H409" t="s">
        <v>74</v>
      </c>
      <c r="I409" t="s">
        <v>7920</v>
      </c>
      <c r="J409" t="s">
        <v>7921</v>
      </c>
      <c r="K409" t="s">
        <v>74</v>
      </c>
      <c r="L409" t="s">
        <v>74</v>
      </c>
      <c r="M409" t="s">
        <v>78</v>
      </c>
      <c r="N409" t="s">
        <v>79</v>
      </c>
      <c r="O409" t="s">
        <v>74</v>
      </c>
      <c r="P409" t="s">
        <v>74</v>
      </c>
      <c r="Q409" t="s">
        <v>74</v>
      </c>
      <c r="R409" t="s">
        <v>74</v>
      </c>
      <c r="S409" t="s">
        <v>74</v>
      </c>
      <c r="T409" t="s">
        <v>7922</v>
      </c>
      <c r="U409" t="s">
        <v>7923</v>
      </c>
      <c r="V409" t="s">
        <v>7924</v>
      </c>
      <c r="W409" t="s">
        <v>7925</v>
      </c>
      <c r="X409" t="s">
        <v>7926</v>
      </c>
      <c r="Y409" t="s">
        <v>7927</v>
      </c>
      <c r="Z409" t="s">
        <v>7928</v>
      </c>
      <c r="AA409" t="s">
        <v>7929</v>
      </c>
      <c r="AB409" t="s">
        <v>7930</v>
      </c>
      <c r="AC409" t="s">
        <v>7931</v>
      </c>
      <c r="AD409" t="s">
        <v>7932</v>
      </c>
      <c r="AE409" t="s">
        <v>7933</v>
      </c>
      <c r="AF409" t="s">
        <v>74</v>
      </c>
      <c r="AG409">
        <v>13</v>
      </c>
      <c r="AH409">
        <v>5</v>
      </c>
      <c r="AI409">
        <v>5</v>
      </c>
      <c r="AJ409">
        <v>0</v>
      </c>
      <c r="AK409">
        <v>10</v>
      </c>
      <c r="AL409" t="s">
        <v>916</v>
      </c>
      <c r="AM409" t="s">
        <v>899</v>
      </c>
      <c r="AN409" t="s">
        <v>900</v>
      </c>
      <c r="AO409" t="s">
        <v>7934</v>
      </c>
      <c r="AP409" t="s">
        <v>74</v>
      </c>
      <c r="AQ409" t="s">
        <v>74</v>
      </c>
      <c r="AR409" t="s">
        <v>7935</v>
      </c>
      <c r="AS409" t="s">
        <v>7936</v>
      </c>
      <c r="AT409" t="s">
        <v>7061</v>
      </c>
      <c r="AU409">
        <v>2012</v>
      </c>
      <c r="AV409">
        <v>425</v>
      </c>
      <c r="AW409">
        <v>2</v>
      </c>
      <c r="AX409" t="s">
        <v>74</v>
      </c>
      <c r="AY409" t="s">
        <v>74</v>
      </c>
      <c r="AZ409" t="s">
        <v>74</v>
      </c>
      <c r="BA409" t="s">
        <v>74</v>
      </c>
      <c r="BB409">
        <v>1473</v>
      </c>
      <c r="BC409">
        <v>1478</v>
      </c>
      <c r="BD409" t="s">
        <v>74</v>
      </c>
      <c r="BE409" t="s">
        <v>7937</v>
      </c>
      <c r="BF409" t="str">
        <f>HYPERLINK("http://dx.doi.org/10.1111/j.1365-2966.2012.21632.x","http://dx.doi.org/10.1111/j.1365-2966.2012.21632.x")</f>
        <v>http://dx.doi.org/10.1111/j.1365-2966.2012.21632.x</v>
      </c>
      <c r="BG409" t="s">
        <v>74</v>
      </c>
      <c r="BH409" t="s">
        <v>74</v>
      </c>
      <c r="BI409">
        <v>6</v>
      </c>
      <c r="BJ409" t="s">
        <v>127</v>
      </c>
      <c r="BK409" t="s">
        <v>98</v>
      </c>
      <c r="BL409" t="s">
        <v>127</v>
      </c>
      <c r="BM409" t="s">
        <v>7938</v>
      </c>
      <c r="BN409" t="s">
        <v>74</v>
      </c>
      <c r="BO409" t="s">
        <v>607</v>
      </c>
      <c r="BP409" t="s">
        <v>74</v>
      </c>
      <c r="BQ409" t="s">
        <v>74</v>
      </c>
      <c r="BR409" t="s">
        <v>101</v>
      </c>
      <c r="BS409" t="s">
        <v>7939</v>
      </c>
      <c r="BT409" t="str">
        <f>HYPERLINK("https%3A%2F%2Fwww.webofscience.com%2Fwos%2Fwoscc%2Ffull-record%2FWOS:000307888300052","View Full Record in Web of Science")</f>
        <v>View Full Record in Web of Science</v>
      </c>
    </row>
    <row r="410" spans="1:72" x14ac:dyDescent="0.15">
      <c r="A410" t="s">
        <v>72</v>
      </c>
      <c r="B410" t="s">
        <v>7940</v>
      </c>
      <c r="C410" t="s">
        <v>74</v>
      </c>
      <c r="D410" t="s">
        <v>74</v>
      </c>
      <c r="E410" t="s">
        <v>74</v>
      </c>
      <c r="F410" t="s">
        <v>7941</v>
      </c>
      <c r="G410" t="s">
        <v>74</v>
      </c>
      <c r="H410" t="s">
        <v>74</v>
      </c>
      <c r="I410" t="s">
        <v>7942</v>
      </c>
      <c r="J410" t="s">
        <v>2850</v>
      </c>
      <c r="K410" t="s">
        <v>74</v>
      </c>
      <c r="L410" t="s">
        <v>74</v>
      </c>
      <c r="M410" t="s">
        <v>78</v>
      </c>
      <c r="N410" t="s">
        <v>974</v>
      </c>
      <c r="O410" t="s">
        <v>74</v>
      </c>
      <c r="P410" t="s">
        <v>74</v>
      </c>
      <c r="Q410" t="s">
        <v>74</v>
      </c>
      <c r="R410" t="s">
        <v>74</v>
      </c>
      <c r="S410" t="s">
        <v>74</v>
      </c>
      <c r="T410" t="s">
        <v>74</v>
      </c>
      <c r="U410" t="s">
        <v>7943</v>
      </c>
      <c r="V410" t="s">
        <v>7944</v>
      </c>
      <c r="W410" t="s">
        <v>7945</v>
      </c>
      <c r="X410" t="s">
        <v>362</v>
      </c>
      <c r="Y410" t="s">
        <v>7946</v>
      </c>
      <c r="Z410" t="s">
        <v>7947</v>
      </c>
      <c r="AA410" t="s">
        <v>7948</v>
      </c>
      <c r="AB410" t="s">
        <v>74</v>
      </c>
      <c r="AC410" t="s">
        <v>7949</v>
      </c>
      <c r="AD410" t="s">
        <v>7950</v>
      </c>
      <c r="AE410" t="s">
        <v>7951</v>
      </c>
      <c r="AF410" t="s">
        <v>74</v>
      </c>
      <c r="AG410">
        <v>98</v>
      </c>
      <c r="AH410">
        <v>51</v>
      </c>
      <c r="AI410">
        <v>57</v>
      </c>
      <c r="AJ410">
        <v>6</v>
      </c>
      <c r="AK410">
        <v>112</v>
      </c>
      <c r="AL410" t="s">
        <v>6956</v>
      </c>
      <c r="AM410" t="s">
        <v>6957</v>
      </c>
      <c r="AN410" t="s">
        <v>6958</v>
      </c>
      <c r="AO410" t="s">
        <v>2863</v>
      </c>
      <c r="AP410" t="s">
        <v>2864</v>
      </c>
      <c r="AQ410" t="s">
        <v>74</v>
      </c>
      <c r="AR410" t="s">
        <v>2865</v>
      </c>
      <c r="AS410" t="s">
        <v>2866</v>
      </c>
      <c r="AT410" t="s">
        <v>7061</v>
      </c>
      <c r="AU410">
        <v>2012</v>
      </c>
      <c r="AV410">
        <v>5</v>
      </c>
      <c r="AW410">
        <v>9</v>
      </c>
      <c r="AX410" t="s">
        <v>74</v>
      </c>
      <c r="AY410" t="s">
        <v>74</v>
      </c>
      <c r="AZ410" t="s">
        <v>74</v>
      </c>
      <c r="BA410" t="s">
        <v>74</v>
      </c>
      <c r="BB410">
        <v>607</v>
      </c>
      <c r="BC410">
        <v>613</v>
      </c>
      <c r="BD410" t="s">
        <v>74</v>
      </c>
      <c r="BE410" t="s">
        <v>7952</v>
      </c>
      <c r="BF410" t="str">
        <f>HYPERLINK("http://dx.doi.org/10.1038/NGEO1528","http://dx.doi.org/10.1038/NGEO1528")</f>
        <v>http://dx.doi.org/10.1038/NGEO1528</v>
      </c>
      <c r="BG410" t="s">
        <v>74</v>
      </c>
      <c r="BH410" t="s">
        <v>74</v>
      </c>
      <c r="BI410">
        <v>7</v>
      </c>
      <c r="BJ410" t="s">
        <v>461</v>
      </c>
      <c r="BK410" t="s">
        <v>98</v>
      </c>
      <c r="BL410" t="s">
        <v>462</v>
      </c>
      <c r="BM410" t="s">
        <v>7953</v>
      </c>
      <c r="BN410" t="s">
        <v>74</v>
      </c>
      <c r="BO410" t="s">
        <v>74</v>
      </c>
      <c r="BP410" t="s">
        <v>74</v>
      </c>
      <c r="BQ410" t="s">
        <v>74</v>
      </c>
      <c r="BR410" t="s">
        <v>101</v>
      </c>
      <c r="BS410" t="s">
        <v>7954</v>
      </c>
      <c r="BT410" t="str">
        <f>HYPERLINK("https%3A%2F%2Fwww.webofscience.com%2Fwos%2Fwoscc%2Ffull-record%2FWOS:000308211300013","View Full Record in Web of Science")</f>
        <v>View Full Record in Web of Science</v>
      </c>
    </row>
    <row r="411" spans="1:72" x14ac:dyDescent="0.15">
      <c r="A411" t="s">
        <v>72</v>
      </c>
      <c r="B411" t="s">
        <v>7955</v>
      </c>
      <c r="C411" t="s">
        <v>74</v>
      </c>
      <c r="D411" t="s">
        <v>74</v>
      </c>
      <c r="E411" t="s">
        <v>74</v>
      </c>
      <c r="F411" t="s">
        <v>7956</v>
      </c>
      <c r="G411" t="s">
        <v>74</v>
      </c>
      <c r="H411" t="s">
        <v>74</v>
      </c>
      <c r="I411" t="s">
        <v>7957</v>
      </c>
      <c r="J411" t="s">
        <v>2850</v>
      </c>
      <c r="K411" t="s">
        <v>74</v>
      </c>
      <c r="L411" t="s">
        <v>74</v>
      </c>
      <c r="M411" t="s">
        <v>78</v>
      </c>
      <c r="N411" t="s">
        <v>79</v>
      </c>
      <c r="O411" t="s">
        <v>74</v>
      </c>
      <c r="P411" t="s">
        <v>74</v>
      </c>
      <c r="Q411" t="s">
        <v>74</v>
      </c>
      <c r="R411" t="s">
        <v>74</v>
      </c>
      <c r="S411" t="s">
        <v>74</v>
      </c>
      <c r="T411" t="s">
        <v>74</v>
      </c>
      <c r="U411" t="s">
        <v>7958</v>
      </c>
      <c r="V411" t="s">
        <v>7959</v>
      </c>
      <c r="W411" t="s">
        <v>7960</v>
      </c>
      <c r="X411" t="s">
        <v>7961</v>
      </c>
      <c r="Y411" t="s">
        <v>7962</v>
      </c>
      <c r="Z411" t="s">
        <v>7963</v>
      </c>
      <c r="AA411" t="s">
        <v>7964</v>
      </c>
      <c r="AB411" t="s">
        <v>7965</v>
      </c>
      <c r="AC411" t="s">
        <v>7966</v>
      </c>
      <c r="AD411" t="s">
        <v>7967</v>
      </c>
      <c r="AE411" t="s">
        <v>7968</v>
      </c>
      <c r="AF411" t="s">
        <v>74</v>
      </c>
      <c r="AG411">
        <v>30</v>
      </c>
      <c r="AH411">
        <v>64</v>
      </c>
      <c r="AI411">
        <v>72</v>
      </c>
      <c r="AJ411">
        <v>1</v>
      </c>
      <c r="AK411">
        <v>43</v>
      </c>
      <c r="AL411" t="s">
        <v>433</v>
      </c>
      <c r="AM411" t="s">
        <v>371</v>
      </c>
      <c r="AN411" t="s">
        <v>2862</v>
      </c>
      <c r="AO411" t="s">
        <v>2863</v>
      </c>
      <c r="AP411" t="s">
        <v>2864</v>
      </c>
      <c r="AQ411" t="s">
        <v>74</v>
      </c>
      <c r="AR411" t="s">
        <v>2865</v>
      </c>
      <c r="AS411" t="s">
        <v>2866</v>
      </c>
      <c r="AT411" t="s">
        <v>7061</v>
      </c>
      <c r="AU411">
        <v>2012</v>
      </c>
      <c r="AV411">
        <v>5</v>
      </c>
      <c r="AW411">
        <v>9</v>
      </c>
      <c r="AX411" t="s">
        <v>74</v>
      </c>
      <c r="AY411" t="s">
        <v>74</v>
      </c>
      <c r="AZ411" t="s">
        <v>74</v>
      </c>
      <c r="BA411" t="s">
        <v>74</v>
      </c>
      <c r="BB411">
        <v>623</v>
      </c>
      <c r="BC411">
        <v>626</v>
      </c>
      <c r="BD411" t="s">
        <v>74</v>
      </c>
      <c r="BE411" t="s">
        <v>7969</v>
      </c>
      <c r="BF411" t="str">
        <f>HYPERLINK("http://dx.doi.org/10.1038/NGEO1555","http://dx.doi.org/10.1038/NGEO1555")</f>
        <v>http://dx.doi.org/10.1038/NGEO1555</v>
      </c>
      <c r="BG411" t="s">
        <v>74</v>
      </c>
      <c r="BH411" t="s">
        <v>74</v>
      </c>
      <c r="BI411">
        <v>4</v>
      </c>
      <c r="BJ411" t="s">
        <v>461</v>
      </c>
      <c r="BK411" t="s">
        <v>98</v>
      </c>
      <c r="BL411" t="s">
        <v>462</v>
      </c>
      <c r="BM411" t="s">
        <v>7953</v>
      </c>
      <c r="BN411" t="s">
        <v>74</v>
      </c>
      <c r="BO411" t="s">
        <v>74</v>
      </c>
      <c r="BP411" t="s">
        <v>74</v>
      </c>
      <c r="BQ411" t="s">
        <v>74</v>
      </c>
      <c r="BR411" t="s">
        <v>101</v>
      </c>
      <c r="BS411" t="s">
        <v>7970</v>
      </c>
      <c r="BT411" t="str">
        <f>HYPERLINK("https%3A%2F%2Fwww.webofscience.com%2Fwos%2Fwoscc%2Ffull-record%2FWOS:000308211300016","View Full Record in Web of Science")</f>
        <v>View Full Record in Web of Science</v>
      </c>
    </row>
    <row r="412" spans="1:72" x14ac:dyDescent="0.15">
      <c r="A412" t="s">
        <v>72</v>
      </c>
      <c r="B412" t="s">
        <v>7971</v>
      </c>
      <c r="C412" t="s">
        <v>74</v>
      </c>
      <c r="D412" t="s">
        <v>74</v>
      </c>
      <c r="E412" t="s">
        <v>74</v>
      </c>
      <c r="F412" t="s">
        <v>7972</v>
      </c>
      <c r="G412" t="s">
        <v>74</v>
      </c>
      <c r="H412" t="s">
        <v>74</v>
      </c>
      <c r="I412" t="s">
        <v>7973</v>
      </c>
      <c r="J412" t="s">
        <v>7974</v>
      </c>
      <c r="K412" t="s">
        <v>74</v>
      </c>
      <c r="L412" t="s">
        <v>74</v>
      </c>
      <c r="M412" t="s">
        <v>78</v>
      </c>
      <c r="N412" t="s">
        <v>79</v>
      </c>
      <c r="O412" t="s">
        <v>74</v>
      </c>
      <c r="P412" t="s">
        <v>74</v>
      </c>
      <c r="Q412" t="s">
        <v>74</v>
      </c>
      <c r="R412" t="s">
        <v>74</v>
      </c>
      <c r="S412" t="s">
        <v>74</v>
      </c>
      <c r="T412" t="s">
        <v>7975</v>
      </c>
      <c r="U412" t="s">
        <v>7976</v>
      </c>
      <c r="V412" t="s">
        <v>7977</v>
      </c>
      <c r="W412" t="s">
        <v>7978</v>
      </c>
      <c r="X412" t="s">
        <v>7979</v>
      </c>
      <c r="Y412" t="s">
        <v>7980</v>
      </c>
      <c r="Z412" t="s">
        <v>7981</v>
      </c>
      <c r="AA412" t="s">
        <v>7982</v>
      </c>
      <c r="AB412" t="s">
        <v>7983</v>
      </c>
      <c r="AC412" t="s">
        <v>7984</v>
      </c>
      <c r="AD412" t="s">
        <v>7985</v>
      </c>
      <c r="AE412" t="s">
        <v>7986</v>
      </c>
      <c r="AF412" t="s">
        <v>74</v>
      </c>
      <c r="AG412">
        <v>49</v>
      </c>
      <c r="AH412">
        <v>19</v>
      </c>
      <c r="AI412">
        <v>21</v>
      </c>
      <c r="AJ412">
        <v>1</v>
      </c>
      <c r="AK412">
        <v>22</v>
      </c>
      <c r="AL412" t="s">
        <v>7987</v>
      </c>
      <c r="AM412" t="s">
        <v>7988</v>
      </c>
      <c r="AN412" t="s">
        <v>7989</v>
      </c>
      <c r="AO412" t="s">
        <v>7990</v>
      </c>
      <c r="AP412" t="s">
        <v>7991</v>
      </c>
      <c r="AQ412" t="s">
        <v>74</v>
      </c>
      <c r="AR412" t="s">
        <v>7974</v>
      </c>
      <c r="AS412" t="s">
        <v>7992</v>
      </c>
      <c r="AT412" t="s">
        <v>7061</v>
      </c>
      <c r="AU412">
        <v>2012</v>
      </c>
      <c r="AV412">
        <v>16</v>
      </c>
      <c r="AW412">
        <v>5</v>
      </c>
      <c r="AX412" t="s">
        <v>74</v>
      </c>
      <c r="AY412" t="s">
        <v>74</v>
      </c>
      <c r="AZ412" t="s">
        <v>74</v>
      </c>
      <c r="BA412" t="s">
        <v>74</v>
      </c>
      <c r="BB412">
        <v>715</v>
      </c>
      <c r="BC412">
        <v>726</v>
      </c>
      <c r="BD412" t="s">
        <v>74</v>
      </c>
      <c r="BE412" t="s">
        <v>7993</v>
      </c>
      <c r="BF412" t="str">
        <f>HYPERLINK("http://dx.doi.org/10.1007/s00792-012-0467-7","http://dx.doi.org/10.1007/s00792-012-0467-7")</f>
        <v>http://dx.doi.org/10.1007/s00792-012-0467-7</v>
      </c>
      <c r="BG412" t="s">
        <v>74</v>
      </c>
      <c r="BH412" t="s">
        <v>74</v>
      </c>
      <c r="BI412">
        <v>12</v>
      </c>
      <c r="BJ412" t="s">
        <v>7994</v>
      </c>
      <c r="BK412" t="s">
        <v>98</v>
      </c>
      <c r="BL412" t="s">
        <v>7994</v>
      </c>
      <c r="BM412" t="s">
        <v>7995</v>
      </c>
      <c r="BN412">
        <v>22760730</v>
      </c>
      <c r="BO412" t="s">
        <v>74</v>
      </c>
      <c r="BP412" t="s">
        <v>74</v>
      </c>
      <c r="BQ412" t="s">
        <v>74</v>
      </c>
      <c r="BR412" t="s">
        <v>101</v>
      </c>
      <c r="BS412" t="s">
        <v>7996</v>
      </c>
      <c r="BT412" t="str">
        <f>HYPERLINK("https%3A%2F%2Fwww.webofscience.com%2Fwos%2Fwoscc%2Ffull-record%2FWOS:000308248700003","View Full Record in Web of Science")</f>
        <v>View Full Record in Web of Science</v>
      </c>
    </row>
    <row r="413" spans="1:72" x14ac:dyDescent="0.15">
      <c r="A413" t="s">
        <v>72</v>
      </c>
      <c r="B413" t="s">
        <v>7997</v>
      </c>
      <c r="C413" t="s">
        <v>74</v>
      </c>
      <c r="D413" t="s">
        <v>74</v>
      </c>
      <c r="E413" t="s">
        <v>74</v>
      </c>
      <c r="F413" t="s">
        <v>7998</v>
      </c>
      <c r="G413" t="s">
        <v>74</v>
      </c>
      <c r="H413" t="s">
        <v>74</v>
      </c>
      <c r="I413" t="s">
        <v>7999</v>
      </c>
      <c r="J413" t="s">
        <v>1614</v>
      </c>
      <c r="K413" t="s">
        <v>74</v>
      </c>
      <c r="L413" t="s">
        <v>74</v>
      </c>
      <c r="M413" t="s">
        <v>78</v>
      </c>
      <c r="N413" t="s">
        <v>79</v>
      </c>
      <c r="O413" t="s">
        <v>74</v>
      </c>
      <c r="P413" t="s">
        <v>74</v>
      </c>
      <c r="Q413" t="s">
        <v>74</v>
      </c>
      <c r="R413" t="s">
        <v>74</v>
      </c>
      <c r="S413" t="s">
        <v>74</v>
      </c>
      <c r="T413" t="s">
        <v>74</v>
      </c>
      <c r="U413" t="s">
        <v>8000</v>
      </c>
      <c r="V413" t="s">
        <v>8001</v>
      </c>
      <c r="W413" t="s">
        <v>8002</v>
      </c>
      <c r="X413" t="s">
        <v>8003</v>
      </c>
      <c r="Y413" t="s">
        <v>8004</v>
      </c>
      <c r="Z413" t="s">
        <v>8005</v>
      </c>
      <c r="AA413" t="s">
        <v>8006</v>
      </c>
      <c r="AB413" t="s">
        <v>8007</v>
      </c>
      <c r="AC413" t="s">
        <v>8008</v>
      </c>
      <c r="AD413" t="s">
        <v>8009</v>
      </c>
      <c r="AE413" t="s">
        <v>8010</v>
      </c>
      <c r="AF413" t="s">
        <v>74</v>
      </c>
      <c r="AG413">
        <v>29</v>
      </c>
      <c r="AH413">
        <v>74</v>
      </c>
      <c r="AI413">
        <v>79</v>
      </c>
      <c r="AJ413">
        <v>1</v>
      </c>
      <c r="AK413">
        <v>46</v>
      </c>
      <c r="AL413" t="s">
        <v>1624</v>
      </c>
      <c r="AM413" t="s">
        <v>1268</v>
      </c>
      <c r="AN413" t="s">
        <v>1625</v>
      </c>
      <c r="AO413" t="s">
        <v>1626</v>
      </c>
      <c r="AP413" t="s">
        <v>74</v>
      </c>
      <c r="AQ413" t="s">
        <v>74</v>
      </c>
      <c r="AR413" t="s">
        <v>1614</v>
      </c>
      <c r="AS413" t="s">
        <v>462</v>
      </c>
      <c r="AT413" t="s">
        <v>7061</v>
      </c>
      <c r="AU413">
        <v>2012</v>
      </c>
      <c r="AV413">
        <v>40</v>
      </c>
      <c r="AW413">
        <v>9</v>
      </c>
      <c r="AX413" t="s">
        <v>74</v>
      </c>
      <c r="AY413" t="s">
        <v>74</v>
      </c>
      <c r="AZ413" t="s">
        <v>74</v>
      </c>
      <c r="BA413" t="s">
        <v>74</v>
      </c>
      <c r="BB413">
        <v>859</v>
      </c>
      <c r="BC413">
        <v>862</v>
      </c>
      <c r="BD413" t="s">
        <v>74</v>
      </c>
      <c r="BE413" t="s">
        <v>8011</v>
      </c>
      <c r="BF413" t="str">
        <f>HYPERLINK("http://dx.doi.org/10.1130/G33164.1","http://dx.doi.org/10.1130/G33164.1")</f>
        <v>http://dx.doi.org/10.1130/G33164.1</v>
      </c>
      <c r="BG413" t="s">
        <v>74</v>
      </c>
      <c r="BH413" t="s">
        <v>74</v>
      </c>
      <c r="BI413">
        <v>4</v>
      </c>
      <c r="BJ413" t="s">
        <v>462</v>
      </c>
      <c r="BK413" t="s">
        <v>98</v>
      </c>
      <c r="BL413" t="s">
        <v>462</v>
      </c>
      <c r="BM413" t="s">
        <v>8012</v>
      </c>
      <c r="BN413" t="s">
        <v>74</v>
      </c>
      <c r="BO413" t="s">
        <v>1254</v>
      </c>
      <c r="BP413" t="s">
        <v>74</v>
      </c>
      <c r="BQ413" t="s">
        <v>74</v>
      </c>
      <c r="BR413" t="s">
        <v>101</v>
      </c>
      <c r="BS413" t="s">
        <v>8013</v>
      </c>
      <c r="BT413" t="str">
        <f>HYPERLINK("https%3A%2F%2Fwww.webofscience.com%2Fwos%2Fwoscc%2Ffull-record%2FWOS:000307919800023","View Full Record in Web of Science")</f>
        <v>View Full Record in Web of Science</v>
      </c>
    </row>
    <row r="414" spans="1:72" x14ac:dyDescent="0.15">
      <c r="A414" t="s">
        <v>72</v>
      </c>
      <c r="B414" t="s">
        <v>8014</v>
      </c>
      <c r="C414" t="s">
        <v>74</v>
      </c>
      <c r="D414" t="s">
        <v>74</v>
      </c>
      <c r="E414" t="s">
        <v>74</v>
      </c>
      <c r="F414" t="s">
        <v>8015</v>
      </c>
      <c r="G414" t="s">
        <v>74</v>
      </c>
      <c r="H414" t="s">
        <v>74</v>
      </c>
      <c r="I414" t="s">
        <v>8016</v>
      </c>
      <c r="J414" t="s">
        <v>8017</v>
      </c>
      <c r="K414" t="s">
        <v>74</v>
      </c>
      <c r="L414" t="s">
        <v>74</v>
      </c>
      <c r="M414" t="s">
        <v>78</v>
      </c>
      <c r="N414" t="s">
        <v>79</v>
      </c>
      <c r="O414" t="s">
        <v>74</v>
      </c>
      <c r="P414" t="s">
        <v>74</v>
      </c>
      <c r="Q414" t="s">
        <v>74</v>
      </c>
      <c r="R414" t="s">
        <v>74</v>
      </c>
      <c r="S414" t="s">
        <v>74</v>
      </c>
      <c r="T414" t="s">
        <v>8018</v>
      </c>
      <c r="U414" t="s">
        <v>8019</v>
      </c>
      <c r="V414" t="s">
        <v>8020</v>
      </c>
      <c r="W414" t="s">
        <v>8021</v>
      </c>
      <c r="X414" t="s">
        <v>8022</v>
      </c>
      <c r="Y414" t="s">
        <v>8023</v>
      </c>
      <c r="Z414" t="s">
        <v>8024</v>
      </c>
      <c r="AA414" t="s">
        <v>8025</v>
      </c>
      <c r="AB414" t="s">
        <v>8026</v>
      </c>
      <c r="AC414" t="s">
        <v>8027</v>
      </c>
      <c r="AD414" t="s">
        <v>8028</v>
      </c>
      <c r="AE414" t="s">
        <v>8029</v>
      </c>
      <c r="AF414" t="s">
        <v>74</v>
      </c>
      <c r="AG414">
        <v>35</v>
      </c>
      <c r="AH414">
        <v>5</v>
      </c>
      <c r="AI414">
        <v>5</v>
      </c>
      <c r="AJ414">
        <v>2</v>
      </c>
      <c r="AK414">
        <v>5</v>
      </c>
      <c r="AL414" t="s">
        <v>3402</v>
      </c>
      <c r="AM414" t="s">
        <v>434</v>
      </c>
      <c r="AN414" t="s">
        <v>3403</v>
      </c>
      <c r="AO414" t="s">
        <v>8030</v>
      </c>
      <c r="AP414" t="s">
        <v>8031</v>
      </c>
      <c r="AQ414" t="s">
        <v>74</v>
      </c>
      <c r="AR414" t="s">
        <v>8032</v>
      </c>
      <c r="AS414" t="s">
        <v>8033</v>
      </c>
      <c r="AT414" t="s">
        <v>7061</v>
      </c>
      <c r="AU414">
        <v>2012</v>
      </c>
      <c r="AV414">
        <v>66</v>
      </c>
      <c r="AW414">
        <v>3</v>
      </c>
      <c r="AX414" t="s">
        <v>74</v>
      </c>
      <c r="AY414" t="s">
        <v>74</v>
      </c>
      <c r="AZ414" t="s">
        <v>74</v>
      </c>
      <c r="BA414" t="s">
        <v>74</v>
      </c>
      <c r="BB414">
        <v>275</v>
      </c>
      <c r="BC414">
        <v>294</v>
      </c>
      <c r="BD414" t="s">
        <v>74</v>
      </c>
      <c r="BE414" t="s">
        <v>8034</v>
      </c>
      <c r="BF414" t="str">
        <f>HYPERLINK("http://dx.doi.org/10.1007/s10152-011-0269-9","http://dx.doi.org/10.1007/s10152-011-0269-9")</f>
        <v>http://dx.doi.org/10.1007/s10152-011-0269-9</v>
      </c>
      <c r="BG414" t="s">
        <v>74</v>
      </c>
      <c r="BH414" t="s">
        <v>74</v>
      </c>
      <c r="BI414">
        <v>20</v>
      </c>
      <c r="BJ414" t="s">
        <v>1161</v>
      </c>
      <c r="BK414" t="s">
        <v>98</v>
      </c>
      <c r="BL414" t="s">
        <v>1161</v>
      </c>
      <c r="BM414" t="s">
        <v>8035</v>
      </c>
      <c r="BN414" t="s">
        <v>74</v>
      </c>
      <c r="BO414" t="s">
        <v>607</v>
      </c>
      <c r="BP414" t="s">
        <v>74</v>
      </c>
      <c r="BQ414" t="s">
        <v>74</v>
      </c>
      <c r="BR414" t="s">
        <v>101</v>
      </c>
      <c r="BS414" t="s">
        <v>8036</v>
      </c>
      <c r="BT414" t="str">
        <f>HYPERLINK("https%3A%2F%2Fwww.webofscience.com%2Fwos%2Fwoscc%2Ffull-record%2FWOS:000307814700004","View Full Record in Web of Science")</f>
        <v>View Full Record in Web of Science</v>
      </c>
    </row>
    <row r="415" spans="1:72" x14ac:dyDescent="0.15">
      <c r="A415" t="s">
        <v>72</v>
      </c>
      <c r="B415" t="s">
        <v>8037</v>
      </c>
      <c r="C415" t="s">
        <v>74</v>
      </c>
      <c r="D415" t="s">
        <v>74</v>
      </c>
      <c r="E415" t="s">
        <v>74</v>
      </c>
      <c r="F415" t="s">
        <v>8038</v>
      </c>
      <c r="G415" t="s">
        <v>74</v>
      </c>
      <c r="H415" t="s">
        <v>74</v>
      </c>
      <c r="I415" t="s">
        <v>8039</v>
      </c>
      <c r="J415" t="s">
        <v>8040</v>
      </c>
      <c r="K415" t="s">
        <v>74</v>
      </c>
      <c r="L415" t="s">
        <v>74</v>
      </c>
      <c r="M415" t="s">
        <v>78</v>
      </c>
      <c r="N415" t="s">
        <v>79</v>
      </c>
      <c r="O415" t="s">
        <v>74</v>
      </c>
      <c r="P415" t="s">
        <v>74</v>
      </c>
      <c r="Q415" t="s">
        <v>74</v>
      </c>
      <c r="R415" t="s">
        <v>74</v>
      </c>
      <c r="S415" t="s">
        <v>74</v>
      </c>
      <c r="T415" t="s">
        <v>8041</v>
      </c>
      <c r="U415" t="s">
        <v>8042</v>
      </c>
      <c r="V415" t="s">
        <v>8043</v>
      </c>
      <c r="W415" t="s">
        <v>8044</v>
      </c>
      <c r="X415" t="s">
        <v>8045</v>
      </c>
      <c r="Y415" t="s">
        <v>8046</v>
      </c>
      <c r="Z415" t="s">
        <v>8047</v>
      </c>
      <c r="AA415" t="s">
        <v>8048</v>
      </c>
      <c r="AB415" t="s">
        <v>8049</v>
      </c>
      <c r="AC415" t="s">
        <v>8050</v>
      </c>
      <c r="AD415" t="s">
        <v>8051</v>
      </c>
      <c r="AE415" t="s">
        <v>8052</v>
      </c>
      <c r="AF415" t="s">
        <v>74</v>
      </c>
      <c r="AG415">
        <v>44</v>
      </c>
      <c r="AH415">
        <v>6</v>
      </c>
      <c r="AI415">
        <v>8</v>
      </c>
      <c r="AJ415">
        <v>0</v>
      </c>
      <c r="AK415">
        <v>10</v>
      </c>
      <c r="AL415" t="s">
        <v>89</v>
      </c>
      <c r="AM415" t="s">
        <v>90</v>
      </c>
      <c r="AN415" t="s">
        <v>91</v>
      </c>
      <c r="AO415" t="s">
        <v>8053</v>
      </c>
      <c r="AP415" t="s">
        <v>74</v>
      </c>
      <c r="AQ415" t="s">
        <v>74</v>
      </c>
      <c r="AR415" t="s">
        <v>8054</v>
      </c>
      <c r="AS415" t="s">
        <v>8055</v>
      </c>
      <c r="AT415" t="s">
        <v>7061</v>
      </c>
      <c r="AU415">
        <v>2012</v>
      </c>
      <c r="AV415" t="s">
        <v>8056</v>
      </c>
      <c r="AW415" t="s">
        <v>74</v>
      </c>
      <c r="AX415" t="s">
        <v>74</v>
      </c>
      <c r="AY415" t="s">
        <v>74</v>
      </c>
      <c r="AZ415" t="s">
        <v>1019</v>
      </c>
      <c r="BA415" t="s">
        <v>74</v>
      </c>
      <c r="BB415">
        <v>92</v>
      </c>
      <c r="BC415">
        <v>98</v>
      </c>
      <c r="BD415" t="s">
        <v>74</v>
      </c>
      <c r="BE415" t="s">
        <v>8057</v>
      </c>
      <c r="BF415" t="str">
        <f>HYPERLINK("http://dx.doi.org/10.1016/j.jog.2011.07.001","http://dx.doi.org/10.1016/j.jog.2011.07.001")</f>
        <v>http://dx.doi.org/10.1016/j.jog.2011.07.001</v>
      </c>
      <c r="BG415" t="s">
        <v>74</v>
      </c>
      <c r="BH415" t="s">
        <v>74</v>
      </c>
      <c r="BI415">
        <v>7</v>
      </c>
      <c r="BJ415" t="s">
        <v>241</v>
      </c>
      <c r="BK415" t="s">
        <v>98</v>
      </c>
      <c r="BL415" t="s">
        <v>241</v>
      </c>
      <c r="BM415" t="s">
        <v>8058</v>
      </c>
      <c r="BN415" t="s">
        <v>74</v>
      </c>
      <c r="BO415" t="s">
        <v>74</v>
      </c>
      <c r="BP415" t="s">
        <v>74</v>
      </c>
      <c r="BQ415" t="s">
        <v>74</v>
      </c>
      <c r="BR415" t="s">
        <v>101</v>
      </c>
      <c r="BS415" t="s">
        <v>8059</v>
      </c>
      <c r="BT415" t="str">
        <f>HYPERLINK("https%3A%2F%2Fwww.webofscience.com%2Fwos%2Fwoscc%2Ffull-record%2FWOS:000307091400010","View Full Record in Web of Science")</f>
        <v>View Full Record in Web of Science</v>
      </c>
    </row>
    <row r="416" spans="1:72" x14ac:dyDescent="0.15">
      <c r="A416" t="s">
        <v>72</v>
      </c>
      <c r="B416" t="s">
        <v>8060</v>
      </c>
      <c r="C416" t="s">
        <v>74</v>
      </c>
      <c r="D416" t="s">
        <v>74</v>
      </c>
      <c r="E416" t="s">
        <v>74</v>
      </c>
      <c r="F416" t="s">
        <v>8061</v>
      </c>
      <c r="G416" t="s">
        <v>74</v>
      </c>
      <c r="H416" t="s">
        <v>74</v>
      </c>
      <c r="I416" t="s">
        <v>8062</v>
      </c>
      <c r="J416" t="s">
        <v>8063</v>
      </c>
      <c r="K416" t="s">
        <v>74</v>
      </c>
      <c r="L416" t="s">
        <v>74</v>
      </c>
      <c r="M416" t="s">
        <v>78</v>
      </c>
      <c r="N416" t="s">
        <v>52</v>
      </c>
      <c r="O416" t="s">
        <v>8064</v>
      </c>
      <c r="P416" t="s">
        <v>8065</v>
      </c>
      <c r="Q416" t="s">
        <v>8066</v>
      </c>
      <c r="R416" t="s">
        <v>74</v>
      </c>
      <c r="S416" t="s">
        <v>74</v>
      </c>
      <c r="T416" t="s">
        <v>74</v>
      </c>
      <c r="U416" t="s">
        <v>74</v>
      </c>
      <c r="V416" t="s">
        <v>74</v>
      </c>
      <c r="W416" t="s">
        <v>8067</v>
      </c>
      <c r="X416" t="s">
        <v>74</v>
      </c>
      <c r="Y416" t="s">
        <v>74</v>
      </c>
      <c r="Z416" t="s">
        <v>74</v>
      </c>
      <c r="AA416" t="s">
        <v>8068</v>
      </c>
      <c r="AB416" t="s">
        <v>74</v>
      </c>
      <c r="AC416" t="s">
        <v>74</v>
      </c>
      <c r="AD416" t="s">
        <v>74</v>
      </c>
      <c r="AE416" t="s">
        <v>74</v>
      </c>
      <c r="AF416" t="s">
        <v>74</v>
      </c>
      <c r="AG416">
        <v>0</v>
      </c>
      <c r="AH416">
        <v>0</v>
      </c>
      <c r="AI416">
        <v>0</v>
      </c>
      <c r="AJ416">
        <v>0</v>
      </c>
      <c r="AK416">
        <v>3</v>
      </c>
      <c r="AL416" t="s">
        <v>916</v>
      </c>
      <c r="AM416" t="s">
        <v>899</v>
      </c>
      <c r="AN416" t="s">
        <v>900</v>
      </c>
      <c r="AO416" t="s">
        <v>8069</v>
      </c>
      <c r="AP416" t="s">
        <v>74</v>
      </c>
      <c r="AQ416" t="s">
        <v>74</v>
      </c>
      <c r="AR416" t="s">
        <v>8070</v>
      </c>
      <c r="AS416" t="s">
        <v>8071</v>
      </c>
      <c r="AT416" t="s">
        <v>7061</v>
      </c>
      <c r="AU416">
        <v>2012</v>
      </c>
      <c r="AV416">
        <v>21</v>
      </c>
      <c r="AW416" t="s">
        <v>74</v>
      </c>
      <c r="AX416" t="s">
        <v>74</v>
      </c>
      <c r="AY416">
        <v>1</v>
      </c>
      <c r="AZ416" t="s">
        <v>1019</v>
      </c>
      <c r="BA416" t="s">
        <v>74</v>
      </c>
      <c r="BB416">
        <v>118</v>
      </c>
      <c r="BC416">
        <v>118</v>
      </c>
      <c r="BD416" t="s">
        <v>74</v>
      </c>
      <c r="BE416" t="s">
        <v>74</v>
      </c>
      <c r="BF416" t="s">
        <v>74</v>
      </c>
      <c r="BG416" t="s">
        <v>74</v>
      </c>
      <c r="BH416" t="s">
        <v>74</v>
      </c>
      <c r="BI416">
        <v>1</v>
      </c>
      <c r="BJ416" t="s">
        <v>8072</v>
      </c>
      <c r="BK416" t="s">
        <v>491</v>
      </c>
      <c r="BL416" t="s">
        <v>6783</v>
      </c>
      <c r="BM416" t="s">
        <v>8073</v>
      </c>
      <c r="BN416" t="s">
        <v>74</v>
      </c>
      <c r="BO416" t="s">
        <v>74</v>
      </c>
      <c r="BP416" t="s">
        <v>74</v>
      </c>
      <c r="BQ416" t="s">
        <v>74</v>
      </c>
      <c r="BR416" t="s">
        <v>101</v>
      </c>
      <c r="BS416" t="s">
        <v>8074</v>
      </c>
      <c r="BT416" t="str">
        <f>HYPERLINK("https%3A%2F%2Fwww.webofscience.com%2Fwos%2Fwoscc%2Ffull-record%2FWOS:000307963200263","View Full Record in Web of Science")</f>
        <v>View Full Record in Web of Science</v>
      </c>
    </row>
    <row r="417" spans="1:72" x14ac:dyDescent="0.15">
      <c r="A417" t="s">
        <v>72</v>
      </c>
      <c r="B417" t="s">
        <v>8075</v>
      </c>
      <c r="C417" t="s">
        <v>74</v>
      </c>
      <c r="D417" t="s">
        <v>74</v>
      </c>
      <c r="E417" t="s">
        <v>74</v>
      </c>
      <c r="F417" t="s">
        <v>8076</v>
      </c>
      <c r="G417" t="s">
        <v>74</v>
      </c>
      <c r="H417" t="s">
        <v>74</v>
      </c>
      <c r="I417" t="s">
        <v>8077</v>
      </c>
      <c r="J417" t="s">
        <v>7921</v>
      </c>
      <c r="K417" t="s">
        <v>74</v>
      </c>
      <c r="L417" t="s">
        <v>74</v>
      </c>
      <c r="M417" t="s">
        <v>78</v>
      </c>
      <c r="N417" t="s">
        <v>79</v>
      </c>
      <c r="O417" t="s">
        <v>74</v>
      </c>
      <c r="P417" t="s">
        <v>74</v>
      </c>
      <c r="Q417" t="s">
        <v>74</v>
      </c>
      <c r="R417" t="s">
        <v>74</v>
      </c>
      <c r="S417" t="s">
        <v>74</v>
      </c>
      <c r="T417" t="s">
        <v>8078</v>
      </c>
      <c r="U417" t="s">
        <v>8079</v>
      </c>
      <c r="V417" t="s">
        <v>8080</v>
      </c>
      <c r="W417" t="s">
        <v>8081</v>
      </c>
      <c r="X417" t="s">
        <v>8082</v>
      </c>
      <c r="Y417" t="s">
        <v>8083</v>
      </c>
      <c r="Z417" t="s">
        <v>8084</v>
      </c>
      <c r="AA417" t="s">
        <v>8085</v>
      </c>
      <c r="AB417" t="s">
        <v>8086</v>
      </c>
      <c r="AC417" t="s">
        <v>74</v>
      </c>
      <c r="AD417" t="s">
        <v>74</v>
      </c>
      <c r="AE417" t="s">
        <v>74</v>
      </c>
      <c r="AF417" t="s">
        <v>74</v>
      </c>
      <c r="AG417">
        <v>27</v>
      </c>
      <c r="AH417">
        <v>4</v>
      </c>
      <c r="AI417">
        <v>4</v>
      </c>
      <c r="AJ417">
        <v>0</v>
      </c>
      <c r="AK417">
        <v>2</v>
      </c>
      <c r="AL417" t="s">
        <v>1771</v>
      </c>
      <c r="AM417" t="s">
        <v>90</v>
      </c>
      <c r="AN417" t="s">
        <v>1772</v>
      </c>
      <c r="AO417" t="s">
        <v>7934</v>
      </c>
      <c r="AP417" t="s">
        <v>8087</v>
      </c>
      <c r="AQ417" t="s">
        <v>74</v>
      </c>
      <c r="AR417" t="s">
        <v>7935</v>
      </c>
      <c r="AS417" t="s">
        <v>7936</v>
      </c>
      <c r="AT417" t="s">
        <v>7061</v>
      </c>
      <c r="AU417">
        <v>2012</v>
      </c>
      <c r="AV417">
        <v>425</v>
      </c>
      <c r="AW417">
        <v>1</v>
      </c>
      <c r="AX417" t="s">
        <v>74</v>
      </c>
      <c r="AY417" t="s">
        <v>74</v>
      </c>
      <c r="AZ417" t="s">
        <v>74</v>
      </c>
      <c r="BA417" t="s">
        <v>74</v>
      </c>
      <c r="BB417">
        <v>222</v>
      </c>
      <c r="BC417">
        <v>230</v>
      </c>
      <c r="BD417" t="s">
        <v>74</v>
      </c>
      <c r="BE417" t="s">
        <v>8088</v>
      </c>
      <c r="BF417" t="str">
        <f>HYPERLINK("http://dx.doi.org/10.1111/j.1365-2966.2012.21430.x","http://dx.doi.org/10.1111/j.1365-2966.2012.21430.x")</f>
        <v>http://dx.doi.org/10.1111/j.1365-2966.2012.21430.x</v>
      </c>
      <c r="BG417" t="s">
        <v>74</v>
      </c>
      <c r="BH417" t="s">
        <v>74</v>
      </c>
      <c r="BI417">
        <v>9</v>
      </c>
      <c r="BJ417" t="s">
        <v>127</v>
      </c>
      <c r="BK417" t="s">
        <v>98</v>
      </c>
      <c r="BL417" t="s">
        <v>127</v>
      </c>
      <c r="BM417" t="s">
        <v>8089</v>
      </c>
      <c r="BN417" t="s">
        <v>74</v>
      </c>
      <c r="BO417" t="s">
        <v>1347</v>
      </c>
      <c r="BP417" t="s">
        <v>74</v>
      </c>
      <c r="BQ417" t="s">
        <v>74</v>
      </c>
      <c r="BR417" t="s">
        <v>101</v>
      </c>
      <c r="BS417" t="s">
        <v>8090</v>
      </c>
      <c r="BT417" t="str">
        <f>HYPERLINK("https%3A%2F%2Fwww.webofscience.com%2Fwos%2Fwoscc%2Ffull-record%2FWOS:000307887300038","View Full Record in Web of Science")</f>
        <v>View Full Record in Web of Science</v>
      </c>
    </row>
    <row r="418" spans="1:72" x14ac:dyDescent="0.15">
      <c r="A418" t="s">
        <v>72</v>
      </c>
      <c r="B418" t="s">
        <v>8091</v>
      </c>
      <c r="C418" t="s">
        <v>74</v>
      </c>
      <c r="D418" t="s">
        <v>74</v>
      </c>
      <c r="E418" t="s">
        <v>74</v>
      </c>
      <c r="F418" t="s">
        <v>8092</v>
      </c>
      <c r="G418" t="s">
        <v>74</v>
      </c>
      <c r="H418" t="s">
        <v>74</v>
      </c>
      <c r="I418" t="s">
        <v>8093</v>
      </c>
      <c r="J418" t="s">
        <v>8094</v>
      </c>
      <c r="K418" t="s">
        <v>74</v>
      </c>
      <c r="L418" t="s">
        <v>74</v>
      </c>
      <c r="M418" t="s">
        <v>78</v>
      </c>
      <c r="N418" t="s">
        <v>79</v>
      </c>
      <c r="O418" t="s">
        <v>74</v>
      </c>
      <c r="P418" t="s">
        <v>74</v>
      </c>
      <c r="Q418" t="s">
        <v>74</v>
      </c>
      <c r="R418" t="s">
        <v>74</v>
      </c>
      <c r="S418" t="s">
        <v>74</v>
      </c>
      <c r="T418" t="s">
        <v>8095</v>
      </c>
      <c r="U418" t="s">
        <v>8096</v>
      </c>
      <c r="V418" t="s">
        <v>8097</v>
      </c>
      <c r="W418" t="s">
        <v>8098</v>
      </c>
      <c r="X418" t="s">
        <v>8099</v>
      </c>
      <c r="Y418" t="s">
        <v>8100</v>
      </c>
      <c r="Z418" t="s">
        <v>8101</v>
      </c>
      <c r="AA418" t="s">
        <v>8102</v>
      </c>
      <c r="AB418" t="s">
        <v>8103</v>
      </c>
      <c r="AC418" t="s">
        <v>8104</v>
      </c>
      <c r="AD418" t="s">
        <v>8104</v>
      </c>
      <c r="AE418" t="s">
        <v>8105</v>
      </c>
      <c r="AF418" t="s">
        <v>74</v>
      </c>
      <c r="AG418">
        <v>26</v>
      </c>
      <c r="AH418">
        <v>12</v>
      </c>
      <c r="AI418">
        <v>13</v>
      </c>
      <c r="AJ418">
        <v>0</v>
      </c>
      <c r="AK418">
        <v>4</v>
      </c>
      <c r="AL418" t="s">
        <v>370</v>
      </c>
      <c r="AM418" t="s">
        <v>371</v>
      </c>
      <c r="AN418" t="s">
        <v>8106</v>
      </c>
      <c r="AO418" t="s">
        <v>8107</v>
      </c>
      <c r="AP418" t="s">
        <v>8108</v>
      </c>
      <c r="AQ418" t="s">
        <v>74</v>
      </c>
      <c r="AR418" t="s">
        <v>8109</v>
      </c>
      <c r="AS418" t="s">
        <v>8110</v>
      </c>
      <c r="AT418" t="s">
        <v>7522</v>
      </c>
      <c r="AU418">
        <v>2012</v>
      </c>
      <c r="AV418">
        <v>23</v>
      </c>
      <c r="AW418">
        <v>3</v>
      </c>
      <c r="AX418" t="s">
        <v>74</v>
      </c>
      <c r="AY418" t="s">
        <v>74</v>
      </c>
      <c r="AZ418" t="s">
        <v>74</v>
      </c>
      <c r="BA418" t="s">
        <v>74</v>
      </c>
      <c r="BB418">
        <v>231</v>
      </c>
      <c r="BC418">
        <v>238</v>
      </c>
      <c r="BD418" t="s">
        <v>74</v>
      </c>
      <c r="BE418" t="s">
        <v>8111</v>
      </c>
      <c r="BF418" t="str">
        <f>HYPERLINK("http://dx.doi.org/10.1016/j.wem.2012.04.003","http://dx.doi.org/10.1016/j.wem.2012.04.003")</f>
        <v>http://dx.doi.org/10.1016/j.wem.2012.04.003</v>
      </c>
      <c r="BG418" t="s">
        <v>74</v>
      </c>
      <c r="BH418" t="s">
        <v>74</v>
      </c>
      <c r="BI418">
        <v>8</v>
      </c>
      <c r="BJ418" t="s">
        <v>8112</v>
      </c>
      <c r="BK418" t="s">
        <v>98</v>
      </c>
      <c r="BL418" t="s">
        <v>8112</v>
      </c>
      <c r="BM418" t="s">
        <v>8113</v>
      </c>
      <c r="BN418">
        <v>22835801</v>
      </c>
      <c r="BO418" t="s">
        <v>607</v>
      </c>
      <c r="BP418" t="s">
        <v>74</v>
      </c>
      <c r="BQ418" t="s">
        <v>74</v>
      </c>
      <c r="BR418" t="s">
        <v>101</v>
      </c>
      <c r="BS418" t="s">
        <v>8114</v>
      </c>
      <c r="BT418" t="str">
        <f>HYPERLINK("https%3A%2F%2Fwww.webofscience.com%2Fwos%2Fwoscc%2Ffull-record%2FWOS:000308284600008","View Full Record in Web of Science")</f>
        <v>View Full Record in Web of Science</v>
      </c>
    </row>
    <row r="419" spans="1:72" x14ac:dyDescent="0.15">
      <c r="A419" t="s">
        <v>72</v>
      </c>
      <c r="B419" t="s">
        <v>8115</v>
      </c>
      <c r="C419" t="s">
        <v>74</v>
      </c>
      <c r="D419" t="s">
        <v>74</v>
      </c>
      <c r="E419" t="s">
        <v>74</v>
      </c>
      <c r="F419" t="s">
        <v>8116</v>
      </c>
      <c r="G419" t="s">
        <v>74</v>
      </c>
      <c r="H419" t="s">
        <v>74</v>
      </c>
      <c r="I419" t="s">
        <v>8117</v>
      </c>
      <c r="J419" t="s">
        <v>8118</v>
      </c>
      <c r="K419" t="s">
        <v>74</v>
      </c>
      <c r="L419" t="s">
        <v>74</v>
      </c>
      <c r="M419" t="s">
        <v>78</v>
      </c>
      <c r="N419" t="s">
        <v>974</v>
      </c>
      <c r="O419" t="s">
        <v>74</v>
      </c>
      <c r="P419" t="s">
        <v>74</v>
      </c>
      <c r="Q419" t="s">
        <v>74</v>
      </c>
      <c r="R419" t="s">
        <v>74</v>
      </c>
      <c r="S419" t="s">
        <v>74</v>
      </c>
      <c r="T419" t="s">
        <v>8119</v>
      </c>
      <c r="U419" t="s">
        <v>8120</v>
      </c>
      <c r="V419" t="s">
        <v>8121</v>
      </c>
      <c r="W419" t="s">
        <v>8122</v>
      </c>
      <c r="X419" t="s">
        <v>8123</v>
      </c>
      <c r="Y419" t="s">
        <v>8124</v>
      </c>
      <c r="Z419" t="s">
        <v>8125</v>
      </c>
      <c r="AA419" t="s">
        <v>8126</v>
      </c>
      <c r="AB419" t="s">
        <v>8127</v>
      </c>
      <c r="AC419" t="s">
        <v>8128</v>
      </c>
      <c r="AD419" t="s">
        <v>8129</v>
      </c>
      <c r="AE419" t="s">
        <v>8130</v>
      </c>
      <c r="AF419" t="s">
        <v>74</v>
      </c>
      <c r="AG419">
        <v>167</v>
      </c>
      <c r="AH419">
        <v>73</v>
      </c>
      <c r="AI419">
        <v>77</v>
      </c>
      <c r="AJ419">
        <v>9</v>
      </c>
      <c r="AK419">
        <v>86</v>
      </c>
      <c r="AL419" t="s">
        <v>898</v>
      </c>
      <c r="AM419" t="s">
        <v>899</v>
      </c>
      <c r="AN419" t="s">
        <v>900</v>
      </c>
      <c r="AO419" t="s">
        <v>8131</v>
      </c>
      <c r="AP419" t="s">
        <v>8132</v>
      </c>
      <c r="AQ419" t="s">
        <v>74</v>
      </c>
      <c r="AR419" t="s">
        <v>8133</v>
      </c>
      <c r="AS419" t="s">
        <v>8134</v>
      </c>
      <c r="AT419" t="s">
        <v>7061</v>
      </c>
      <c r="AU419">
        <v>2012</v>
      </c>
      <c r="AV419">
        <v>13</v>
      </c>
      <c r="AW419">
        <v>3</v>
      </c>
      <c r="AX419" t="s">
        <v>74</v>
      </c>
      <c r="AY419" t="s">
        <v>74</v>
      </c>
      <c r="AZ419" t="s">
        <v>74</v>
      </c>
      <c r="BA419" t="s">
        <v>74</v>
      </c>
      <c r="BB419">
        <v>241</v>
      </c>
      <c r="BC419">
        <v>266</v>
      </c>
      <c r="BD419" t="s">
        <v>74</v>
      </c>
      <c r="BE419" t="s">
        <v>8135</v>
      </c>
      <c r="BF419" t="str">
        <f>HYPERLINK("http://dx.doi.org/10.1111/j.1467-2979.2011.00427.x","http://dx.doi.org/10.1111/j.1467-2979.2011.00427.x")</f>
        <v>http://dx.doi.org/10.1111/j.1467-2979.2011.00427.x</v>
      </c>
      <c r="BG419" t="s">
        <v>74</v>
      </c>
      <c r="BH419" t="s">
        <v>74</v>
      </c>
      <c r="BI419">
        <v>26</v>
      </c>
      <c r="BJ419" t="s">
        <v>5292</v>
      </c>
      <c r="BK419" t="s">
        <v>98</v>
      </c>
      <c r="BL419" t="s">
        <v>5292</v>
      </c>
      <c r="BM419" t="s">
        <v>8136</v>
      </c>
      <c r="BN419" t="s">
        <v>74</v>
      </c>
      <c r="BO419" t="s">
        <v>74</v>
      </c>
      <c r="BP419" t="s">
        <v>74</v>
      </c>
      <c r="BQ419" t="s">
        <v>74</v>
      </c>
      <c r="BR419" t="s">
        <v>101</v>
      </c>
      <c r="BS419" t="s">
        <v>8137</v>
      </c>
      <c r="BT419" t="str">
        <f>HYPERLINK("https%3A%2F%2Fwww.webofscience.com%2Fwos%2Fwoscc%2Ffull-record%2FWOS:000306657500001","View Full Record in Web of Science")</f>
        <v>View Full Record in Web of Science</v>
      </c>
    </row>
    <row r="420" spans="1:72" x14ac:dyDescent="0.15">
      <c r="A420" t="s">
        <v>72</v>
      </c>
      <c r="B420" t="s">
        <v>8138</v>
      </c>
      <c r="C420" t="s">
        <v>74</v>
      </c>
      <c r="D420" t="s">
        <v>74</v>
      </c>
      <c r="E420" t="s">
        <v>74</v>
      </c>
      <c r="F420" t="s">
        <v>8139</v>
      </c>
      <c r="G420" t="s">
        <v>74</v>
      </c>
      <c r="H420" t="s">
        <v>74</v>
      </c>
      <c r="I420" t="s">
        <v>8140</v>
      </c>
      <c r="J420" t="s">
        <v>8141</v>
      </c>
      <c r="K420" t="s">
        <v>74</v>
      </c>
      <c r="L420" t="s">
        <v>74</v>
      </c>
      <c r="M420" t="s">
        <v>78</v>
      </c>
      <c r="N420" t="s">
        <v>79</v>
      </c>
      <c r="O420" t="s">
        <v>74</v>
      </c>
      <c r="P420" t="s">
        <v>74</v>
      </c>
      <c r="Q420" t="s">
        <v>74</v>
      </c>
      <c r="R420" t="s">
        <v>74</v>
      </c>
      <c r="S420" t="s">
        <v>74</v>
      </c>
      <c r="T420" t="s">
        <v>74</v>
      </c>
      <c r="U420" t="s">
        <v>8142</v>
      </c>
      <c r="V420" t="s">
        <v>8143</v>
      </c>
      <c r="W420" t="s">
        <v>8144</v>
      </c>
      <c r="X420" t="s">
        <v>8145</v>
      </c>
      <c r="Y420" t="s">
        <v>8146</v>
      </c>
      <c r="Z420" t="s">
        <v>8147</v>
      </c>
      <c r="AA420" t="s">
        <v>74</v>
      </c>
      <c r="AB420" t="s">
        <v>8148</v>
      </c>
      <c r="AC420" t="s">
        <v>74</v>
      </c>
      <c r="AD420" t="s">
        <v>74</v>
      </c>
      <c r="AE420" t="s">
        <v>74</v>
      </c>
      <c r="AF420" t="s">
        <v>74</v>
      </c>
      <c r="AG420">
        <v>13</v>
      </c>
      <c r="AH420">
        <v>4</v>
      </c>
      <c r="AI420">
        <v>4</v>
      </c>
      <c r="AJ420">
        <v>0</v>
      </c>
      <c r="AK420">
        <v>6</v>
      </c>
      <c r="AL420" t="s">
        <v>935</v>
      </c>
      <c r="AM420" t="s">
        <v>2382</v>
      </c>
      <c r="AN420" t="s">
        <v>2383</v>
      </c>
      <c r="AO420" t="s">
        <v>8149</v>
      </c>
      <c r="AP420" t="s">
        <v>8150</v>
      </c>
      <c r="AQ420" t="s">
        <v>74</v>
      </c>
      <c r="AR420" t="s">
        <v>8151</v>
      </c>
      <c r="AS420" t="s">
        <v>8152</v>
      </c>
      <c r="AT420" t="s">
        <v>7061</v>
      </c>
      <c r="AU420">
        <v>2012</v>
      </c>
      <c r="AV420">
        <v>83</v>
      </c>
      <c r="AW420">
        <v>1</v>
      </c>
      <c r="AX420" t="s">
        <v>74</v>
      </c>
      <c r="AY420" t="s">
        <v>74</v>
      </c>
      <c r="AZ420" t="s">
        <v>74</v>
      </c>
      <c r="BA420" t="s">
        <v>74</v>
      </c>
      <c r="BB420">
        <v>65</v>
      </c>
      <c r="BC420">
        <v>75</v>
      </c>
      <c r="BD420" t="s">
        <v>74</v>
      </c>
      <c r="BE420" t="s">
        <v>8153</v>
      </c>
      <c r="BF420" t="str">
        <f>HYPERLINK("http://dx.doi.org/10.1007/s11230-012-9371-x","http://dx.doi.org/10.1007/s11230-012-9371-x")</f>
        <v>http://dx.doi.org/10.1007/s11230-012-9371-x</v>
      </c>
      <c r="BG420" t="s">
        <v>74</v>
      </c>
      <c r="BH420" t="s">
        <v>74</v>
      </c>
      <c r="BI420">
        <v>11</v>
      </c>
      <c r="BJ420" t="s">
        <v>8154</v>
      </c>
      <c r="BK420" t="s">
        <v>98</v>
      </c>
      <c r="BL420" t="s">
        <v>8154</v>
      </c>
      <c r="BM420" t="s">
        <v>8155</v>
      </c>
      <c r="BN420">
        <v>22890381</v>
      </c>
      <c r="BO420" t="s">
        <v>74</v>
      </c>
      <c r="BP420" t="s">
        <v>74</v>
      </c>
      <c r="BQ420" t="s">
        <v>74</v>
      </c>
      <c r="BR420" t="s">
        <v>101</v>
      </c>
      <c r="BS420" t="s">
        <v>8156</v>
      </c>
      <c r="BT420" t="str">
        <f>HYPERLINK("https%3A%2F%2Fwww.webofscience.com%2Fwos%2Fwoscc%2Ffull-record%2FWOS:000307541400007","View Full Record in Web of Science")</f>
        <v>View Full Record in Web of Science</v>
      </c>
    </row>
    <row r="421" spans="1:72" x14ac:dyDescent="0.15">
      <c r="A421" t="s">
        <v>72</v>
      </c>
      <c r="B421" t="s">
        <v>8157</v>
      </c>
      <c r="C421" t="s">
        <v>74</v>
      </c>
      <c r="D421" t="s">
        <v>74</v>
      </c>
      <c r="E421" t="s">
        <v>74</v>
      </c>
      <c r="F421" t="s">
        <v>8158</v>
      </c>
      <c r="G421" t="s">
        <v>74</v>
      </c>
      <c r="H421" t="s">
        <v>74</v>
      </c>
      <c r="I421" t="s">
        <v>8159</v>
      </c>
      <c r="J421" t="s">
        <v>8160</v>
      </c>
      <c r="K421" t="s">
        <v>74</v>
      </c>
      <c r="L421" t="s">
        <v>74</v>
      </c>
      <c r="M421" t="s">
        <v>78</v>
      </c>
      <c r="N421" t="s">
        <v>79</v>
      </c>
      <c r="O421" t="s">
        <v>74</v>
      </c>
      <c r="P421" t="s">
        <v>74</v>
      </c>
      <c r="Q421" t="s">
        <v>74</v>
      </c>
      <c r="R421" t="s">
        <v>74</v>
      </c>
      <c r="S421" t="s">
        <v>74</v>
      </c>
      <c r="T421" t="s">
        <v>8161</v>
      </c>
      <c r="U421" t="s">
        <v>8162</v>
      </c>
      <c r="V421" t="s">
        <v>8163</v>
      </c>
      <c r="W421" t="s">
        <v>8164</v>
      </c>
      <c r="X421" t="s">
        <v>8165</v>
      </c>
      <c r="Y421" t="s">
        <v>8166</v>
      </c>
      <c r="Z421" t="s">
        <v>8167</v>
      </c>
      <c r="AA421" t="s">
        <v>74</v>
      </c>
      <c r="AB421" t="s">
        <v>8168</v>
      </c>
      <c r="AC421" t="s">
        <v>8169</v>
      </c>
      <c r="AD421" t="s">
        <v>8169</v>
      </c>
      <c r="AE421" t="s">
        <v>8170</v>
      </c>
      <c r="AF421" t="s">
        <v>74</v>
      </c>
      <c r="AG421">
        <v>69</v>
      </c>
      <c r="AH421">
        <v>10</v>
      </c>
      <c r="AI421">
        <v>12</v>
      </c>
      <c r="AJ421">
        <v>1</v>
      </c>
      <c r="AK421">
        <v>85</v>
      </c>
      <c r="AL421" t="s">
        <v>935</v>
      </c>
      <c r="AM421" t="s">
        <v>371</v>
      </c>
      <c r="AN421" t="s">
        <v>1873</v>
      </c>
      <c r="AO421" t="s">
        <v>8171</v>
      </c>
      <c r="AP421" t="s">
        <v>8172</v>
      </c>
      <c r="AQ421" t="s">
        <v>74</v>
      </c>
      <c r="AR421" t="s">
        <v>8173</v>
      </c>
      <c r="AS421" t="s">
        <v>8174</v>
      </c>
      <c r="AT421" t="s">
        <v>7061</v>
      </c>
      <c r="AU421">
        <v>2012</v>
      </c>
      <c r="AV421">
        <v>66</v>
      </c>
      <c r="AW421">
        <v>9</v>
      </c>
      <c r="AX421" t="s">
        <v>74</v>
      </c>
      <c r="AY421" t="s">
        <v>74</v>
      </c>
      <c r="AZ421" t="s">
        <v>74</v>
      </c>
      <c r="BA421" t="s">
        <v>74</v>
      </c>
      <c r="BB421">
        <v>1213</v>
      </c>
      <c r="BC421">
        <v>1224</v>
      </c>
      <c r="BD421" t="s">
        <v>74</v>
      </c>
      <c r="BE421" t="s">
        <v>8175</v>
      </c>
      <c r="BF421" t="str">
        <f>HYPERLINK("http://dx.doi.org/10.1007/s00265-012-1374-8","http://dx.doi.org/10.1007/s00265-012-1374-8")</f>
        <v>http://dx.doi.org/10.1007/s00265-012-1374-8</v>
      </c>
      <c r="BG421" t="s">
        <v>74</v>
      </c>
      <c r="BH421" t="s">
        <v>74</v>
      </c>
      <c r="BI421">
        <v>12</v>
      </c>
      <c r="BJ421" t="s">
        <v>8176</v>
      </c>
      <c r="BK421" t="s">
        <v>98</v>
      </c>
      <c r="BL421" t="s">
        <v>8177</v>
      </c>
      <c r="BM421" t="s">
        <v>8178</v>
      </c>
      <c r="BN421" t="s">
        <v>74</v>
      </c>
      <c r="BO421" t="s">
        <v>74</v>
      </c>
      <c r="BP421" t="s">
        <v>74</v>
      </c>
      <c r="BQ421" t="s">
        <v>74</v>
      </c>
      <c r="BR421" t="s">
        <v>101</v>
      </c>
      <c r="BS421" t="s">
        <v>8179</v>
      </c>
      <c r="BT421" t="str">
        <f>HYPERLINK("https%3A%2F%2Fwww.webofscience.com%2Fwos%2Fwoscc%2Ffull-record%2FWOS:000307510600002","View Full Record in Web of Science")</f>
        <v>View Full Record in Web of Science</v>
      </c>
    </row>
    <row r="422" spans="1:72" x14ac:dyDescent="0.15">
      <c r="A422" t="s">
        <v>72</v>
      </c>
      <c r="B422" t="s">
        <v>8180</v>
      </c>
      <c r="C422" t="s">
        <v>74</v>
      </c>
      <c r="D422" t="s">
        <v>74</v>
      </c>
      <c r="E422" t="s">
        <v>74</v>
      </c>
      <c r="F422" t="s">
        <v>8181</v>
      </c>
      <c r="G422" t="s">
        <v>74</v>
      </c>
      <c r="H422" t="s">
        <v>74</v>
      </c>
      <c r="I422" t="s">
        <v>8182</v>
      </c>
      <c r="J422" t="s">
        <v>1860</v>
      </c>
      <c r="K422" t="s">
        <v>74</v>
      </c>
      <c r="L422" t="s">
        <v>74</v>
      </c>
      <c r="M422" t="s">
        <v>78</v>
      </c>
      <c r="N422" t="s">
        <v>79</v>
      </c>
      <c r="O422" t="s">
        <v>74</v>
      </c>
      <c r="P422" t="s">
        <v>74</v>
      </c>
      <c r="Q422" t="s">
        <v>74</v>
      </c>
      <c r="R422" t="s">
        <v>74</v>
      </c>
      <c r="S422" t="s">
        <v>74</v>
      </c>
      <c r="T422" t="s">
        <v>8183</v>
      </c>
      <c r="U422" t="s">
        <v>8184</v>
      </c>
      <c r="V422" t="s">
        <v>8185</v>
      </c>
      <c r="W422" t="s">
        <v>8186</v>
      </c>
      <c r="X422" t="s">
        <v>5947</v>
      </c>
      <c r="Y422" t="s">
        <v>8187</v>
      </c>
      <c r="Z422" t="s">
        <v>8188</v>
      </c>
      <c r="AA422" t="s">
        <v>74</v>
      </c>
      <c r="AB422" t="s">
        <v>74</v>
      </c>
      <c r="AC422" t="s">
        <v>8189</v>
      </c>
      <c r="AD422" t="s">
        <v>8190</v>
      </c>
      <c r="AE422" t="s">
        <v>8191</v>
      </c>
      <c r="AF422" t="s">
        <v>74</v>
      </c>
      <c r="AG422">
        <v>20</v>
      </c>
      <c r="AH422">
        <v>9</v>
      </c>
      <c r="AI422">
        <v>9</v>
      </c>
      <c r="AJ422">
        <v>3</v>
      </c>
      <c r="AK422">
        <v>36</v>
      </c>
      <c r="AL422" t="s">
        <v>935</v>
      </c>
      <c r="AM422" t="s">
        <v>371</v>
      </c>
      <c r="AN422" t="s">
        <v>936</v>
      </c>
      <c r="AO422" t="s">
        <v>1874</v>
      </c>
      <c r="AP422" t="s">
        <v>1875</v>
      </c>
      <c r="AQ422" t="s">
        <v>74</v>
      </c>
      <c r="AR422" t="s">
        <v>1876</v>
      </c>
      <c r="AS422" t="s">
        <v>1877</v>
      </c>
      <c r="AT422" t="s">
        <v>7061</v>
      </c>
      <c r="AU422">
        <v>2012</v>
      </c>
      <c r="AV422">
        <v>35</v>
      </c>
      <c r="AW422">
        <v>9</v>
      </c>
      <c r="AX422" t="s">
        <v>74</v>
      </c>
      <c r="AY422" t="s">
        <v>74</v>
      </c>
      <c r="AZ422" t="s">
        <v>74</v>
      </c>
      <c r="BA422" t="s">
        <v>74</v>
      </c>
      <c r="BB422">
        <v>1289</v>
      </c>
      <c r="BC422">
        <v>1296</v>
      </c>
      <c r="BD422" t="s">
        <v>74</v>
      </c>
      <c r="BE422" t="s">
        <v>8192</v>
      </c>
      <c r="BF422" t="str">
        <f>HYPERLINK("http://dx.doi.org/10.1007/s00300-012-1172-9","http://dx.doi.org/10.1007/s00300-012-1172-9")</f>
        <v>http://dx.doi.org/10.1007/s00300-012-1172-9</v>
      </c>
      <c r="BG422" t="s">
        <v>74</v>
      </c>
      <c r="BH422" t="s">
        <v>74</v>
      </c>
      <c r="BI422">
        <v>8</v>
      </c>
      <c r="BJ422" t="s">
        <v>1879</v>
      </c>
      <c r="BK422" t="s">
        <v>98</v>
      </c>
      <c r="BL422" t="s">
        <v>1880</v>
      </c>
      <c r="BM422" t="s">
        <v>8193</v>
      </c>
      <c r="BN422" t="s">
        <v>74</v>
      </c>
      <c r="BO422" t="s">
        <v>74</v>
      </c>
      <c r="BP422" t="s">
        <v>74</v>
      </c>
      <c r="BQ422" t="s">
        <v>74</v>
      </c>
      <c r="BR422" t="s">
        <v>101</v>
      </c>
      <c r="BS422" t="s">
        <v>8194</v>
      </c>
      <c r="BT422" t="str">
        <f>HYPERLINK("https%3A%2F%2Fwww.webofscience.com%2Fwos%2Fwoscc%2Ffull-record%2FWOS:000306848300001","View Full Record in Web of Science")</f>
        <v>View Full Record in Web of Science</v>
      </c>
    </row>
    <row r="423" spans="1:72" x14ac:dyDescent="0.15">
      <c r="A423" t="s">
        <v>72</v>
      </c>
      <c r="B423" t="s">
        <v>8195</v>
      </c>
      <c r="C423" t="s">
        <v>74</v>
      </c>
      <c r="D423" t="s">
        <v>74</v>
      </c>
      <c r="E423" t="s">
        <v>74</v>
      </c>
      <c r="F423" t="s">
        <v>8196</v>
      </c>
      <c r="G423" t="s">
        <v>74</v>
      </c>
      <c r="H423" t="s">
        <v>74</v>
      </c>
      <c r="I423" t="s">
        <v>8197</v>
      </c>
      <c r="J423" t="s">
        <v>1860</v>
      </c>
      <c r="K423" t="s">
        <v>74</v>
      </c>
      <c r="L423" t="s">
        <v>74</v>
      </c>
      <c r="M423" t="s">
        <v>78</v>
      </c>
      <c r="N423" t="s">
        <v>79</v>
      </c>
      <c r="O423" t="s">
        <v>74</v>
      </c>
      <c r="P423" t="s">
        <v>74</v>
      </c>
      <c r="Q423" t="s">
        <v>74</v>
      </c>
      <c r="R423" t="s">
        <v>74</v>
      </c>
      <c r="S423" t="s">
        <v>74</v>
      </c>
      <c r="T423" t="s">
        <v>8198</v>
      </c>
      <c r="U423" t="s">
        <v>74</v>
      </c>
      <c r="V423" t="s">
        <v>8199</v>
      </c>
      <c r="W423" t="s">
        <v>8200</v>
      </c>
      <c r="X423" t="s">
        <v>8201</v>
      </c>
      <c r="Y423" t="s">
        <v>8202</v>
      </c>
      <c r="Z423" t="s">
        <v>8203</v>
      </c>
      <c r="AA423" t="s">
        <v>8204</v>
      </c>
      <c r="AB423" t="s">
        <v>8205</v>
      </c>
      <c r="AC423" t="s">
        <v>8206</v>
      </c>
      <c r="AD423" t="s">
        <v>8207</v>
      </c>
      <c r="AE423" t="s">
        <v>8208</v>
      </c>
      <c r="AF423" t="s">
        <v>74</v>
      </c>
      <c r="AG423">
        <v>21</v>
      </c>
      <c r="AH423">
        <v>3</v>
      </c>
      <c r="AI423">
        <v>4</v>
      </c>
      <c r="AJ423">
        <v>1</v>
      </c>
      <c r="AK423">
        <v>5</v>
      </c>
      <c r="AL423" t="s">
        <v>935</v>
      </c>
      <c r="AM423" t="s">
        <v>371</v>
      </c>
      <c r="AN423" t="s">
        <v>936</v>
      </c>
      <c r="AO423" t="s">
        <v>1874</v>
      </c>
      <c r="AP423" t="s">
        <v>1875</v>
      </c>
      <c r="AQ423" t="s">
        <v>74</v>
      </c>
      <c r="AR423" t="s">
        <v>1876</v>
      </c>
      <c r="AS423" t="s">
        <v>1877</v>
      </c>
      <c r="AT423" t="s">
        <v>7061</v>
      </c>
      <c r="AU423">
        <v>2012</v>
      </c>
      <c r="AV423">
        <v>35</v>
      </c>
      <c r="AW423">
        <v>9</v>
      </c>
      <c r="AX423" t="s">
        <v>74</v>
      </c>
      <c r="AY423" t="s">
        <v>74</v>
      </c>
      <c r="AZ423" t="s">
        <v>74</v>
      </c>
      <c r="BA423" t="s">
        <v>74</v>
      </c>
      <c r="BB423">
        <v>1395</v>
      </c>
      <c r="BC423">
        <v>1405</v>
      </c>
      <c r="BD423" t="s">
        <v>74</v>
      </c>
      <c r="BE423" t="s">
        <v>8209</v>
      </c>
      <c r="BF423" t="str">
        <f>HYPERLINK("http://dx.doi.org/10.1007/s00300-012-1179-2","http://dx.doi.org/10.1007/s00300-012-1179-2")</f>
        <v>http://dx.doi.org/10.1007/s00300-012-1179-2</v>
      </c>
      <c r="BG423" t="s">
        <v>74</v>
      </c>
      <c r="BH423" t="s">
        <v>74</v>
      </c>
      <c r="BI423">
        <v>11</v>
      </c>
      <c r="BJ423" t="s">
        <v>1879</v>
      </c>
      <c r="BK423" t="s">
        <v>98</v>
      </c>
      <c r="BL423" t="s">
        <v>1880</v>
      </c>
      <c r="BM423" t="s">
        <v>8193</v>
      </c>
      <c r="BN423" t="s">
        <v>74</v>
      </c>
      <c r="BO423" t="s">
        <v>74</v>
      </c>
      <c r="BP423" t="s">
        <v>74</v>
      </c>
      <c r="BQ423" t="s">
        <v>74</v>
      </c>
      <c r="BR423" t="s">
        <v>101</v>
      </c>
      <c r="BS423" t="s">
        <v>8210</v>
      </c>
      <c r="BT423" t="str">
        <f>HYPERLINK("https%3A%2F%2Fwww.webofscience.com%2Fwos%2Fwoscc%2Ffull-record%2FWOS:000306848300008","View Full Record in Web of Science")</f>
        <v>View Full Record in Web of Science</v>
      </c>
    </row>
    <row r="424" spans="1:72" x14ac:dyDescent="0.15">
      <c r="A424" t="s">
        <v>72</v>
      </c>
      <c r="B424" t="s">
        <v>8211</v>
      </c>
      <c r="C424" t="s">
        <v>74</v>
      </c>
      <c r="D424" t="s">
        <v>74</v>
      </c>
      <c r="E424" t="s">
        <v>74</v>
      </c>
      <c r="F424" t="s">
        <v>8212</v>
      </c>
      <c r="G424" t="s">
        <v>74</v>
      </c>
      <c r="H424" t="s">
        <v>74</v>
      </c>
      <c r="I424" t="s">
        <v>8213</v>
      </c>
      <c r="J424" t="s">
        <v>8214</v>
      </c>
      <c r="K424" t="s">
        <v>74</v>
      </c>
      <c r="L424" t="s">
        <v>74</v>
      </c>
      <c r="M424" t="s">
        <v>78</v>
      </c>
      <c r="N424" t="s">
        <v>79</v>
      </c>
      <c r="O424" t="s">
        <v>74</v>
      </c>
      <c r="P424" t="s">
        <v>74</v>
      </c>
      <c r="Q424" t="s">
        <v>74</v>
      </c>
      <c r="R424" t="s">
        <v>74</v>
      </c>
      <c r="S424" t="s">
        <v>74</v>
      </c>
      <c r="T424" t="s">
        <v>8215</v>
      </c>
      <c r="U424" t="s">
        <v>74</v>
      </c>
      <c r="V424" t="s">
        <v>8216</v>
      </c>
      <c r="W424" t="s">
        <v>8217</v>
      </c>
      <c r="X424" t="s">
        <v>8218</v>
      </c>
      <c r="Y424" t="s">
        <v>8219</v>
      </c>
      <c r="Z424" t="s">
        <v>8220</v>
      </c>
      <c r="AA424" t="s">
        <v>74</v>
      </c>
      <c r="AB424" t="s">
        <v>74</v>
      </c>
      <c r="AC424" t="s">
        <v>74</v>
      </c>
      <c r="AD424" t="s">
        <v>74</v>
      </c>
      <c r="AE424" t="s">
        <v>74</v>
      </c>
      <c r="AF424" t="s">
        <v>74</v>
      </c>
      <c r="AG424">
        <v>38</v>
      </c>
      <c r="AH424">
        <v>4</v>
      </c>
      <c r="AI424">
        <v>8</v>
      </c>
      <c r="AJ424">
        <v>0</v>
      </c>
      <c r="AK424">
        <v>25</v>
      </c>
      <c r="AL424" t="s">
        <v>916</v>
      </c>
      <c r="AM424" t="s">
        <v>899</v>
      </c>
      <c r="AN424" t="s">
        <v>900</v>
      </c>
      <c r="AO424" t="s">
        <v>8221</v>
      </c>
      <c r="AP424" t="s">
        <v>74</v>
      </c>
      <c r="AQ424" t="s">
        <v>74</v>
      </c>
      <c r="AR424" t="s">
        <v>8222</v>
      </c>
      <c r="AS424" t="s">
        <v>8223</v>
      </c>
      <c r="AT424" t="s">
        <v>7061</v>
      </c>
      <c r="AU424">
        <v>2012</v>
      </c>
      <c r="AV424">
        <v>178</v>
      </c>
      <c r="AW424" t="s">
        <v>74</v>
      </c>
      <c r="AX424">
        <v>3</v>
      </c>
      <c r="AY424" t="s">
        <v>74</v>
      </c>
      <c r="AZ424" t="s">
        <v>74</v>
      </c>
      <c r="BA424" t="s">
        <v>74</v>
      </c>
      <c r="BB424">
        <v>201</v>
      </c>
      <c r="BC424">
        <v>207</v>
      </c>
      <c r="BD424" t="s">
        <v>74</v>
      </c>
      <c r="BE424" t="s">
        <v>8224</v>
      </c>
      <c r="BF424" t="str">
        <f>HYPERLINK("http://dx.doi.org/10.1111/j.1475-4959.2011.00434.x","http://dx.doi.org/10.1111/j.1475-4959.2011.00434.x")</f>
        <v>http://dx.doi.org/10.1111/j.1475-4959.2011.00434.x</v>
      </c>
      <c r="BG424" t="s">
        <v>74</v>
      </c>
      <c r="BH424" t="s">
        <v>74</v>
      </c>
      <c r="BI424">
        <v>7</v>
      </c>
      <c r="BJ424" t="s">
        <v>8225</v>
      </c>
      <c r="BK424" t="s">
        <v>7282</v>
      </c>
      <c r="BL424" t="s">
        <v>8225</v>
      </c>
      <c r="BM424" t="s">
        <v>8226</v>
      </c>
      <c r="BN424" t="s">
        <v>74</v>
      </c>
      <c r="BO424" t="s">
        <v>74</v>
      </c>
      <c r="BP424" t="s">
        <v>74</v>
      </c>
      <c r="BQ424" t="s">
        <v>74</v>
      </c>
      <c r="BR424" t="s">
        <v>101</v>
      </c>
      <c r="BS424" t="s">
        <v>8227</v>
      </c>
      <c r="BT424" t="str">
        <f>HYPERLINK("https%3A%2F%2Fwww.webofscience.com%2Fwos%2Fwoscc%2Ffull-record%2FWOS:000307013100002","View Full Record in Web of Science")</f>
        <v>View Full Record in Web of Science</v>
      </c>
    </row>
    <row r="425" spans="1:72" x14ac:dyDescent="0.15">
      <c r="A425" t="s">
        <v>72</v>
      </c>
      <c r="B425" t="s">
        <v>8228</v>
      </c>
      <c r="C425" t="s">
        <v>74</v>
      </c>
      <c r="D425" t="s">
        <v>74</v>
      </c>
      <c r="E425" t="s">
        <v>74</v>
      </c>
      <c r="F425" t="s">
        <v>8229</v>
      </c>
      <c r="G425" t="s">
        <v>74</v>
      </c>
      <c r="H425" t="s">
        <v>74</v>
      </c>
      <c r="I425" t="s">
        <v>8230</v>
      </c>
      <c r="J425" t="s">
        <v>8231</v>
      </c>
      <c r="K425" t="s">
        <v>74</v>
      </c>
      <c r="L425" t="s">
        <v>74</v>
      </c>
      <c r="M425" t="s">
        <v>78</v>
      </c>
      <c r="N425" t="s">
        <v>79</v>
      </c>
      <c r="O425" t="s">
        <v>74</v>
      </c>
      <c r="P425" t="s">
        <v>74</v>
      </c>
      <c r="Q425" t="s">
        <v>74</v>
      </c>
      <c r="R425" t="s">
        <v>74</v>
      </c>
      <c r="S425" t="s">
        <v>74</v>
      </c>
      <c r="T425" t="s">
        <v>8232</v>
      </c>
      <c r="U425" t="s">
        <v>8233</v>
      </c>
      <c r="V425" t="s">
        <v>8234</v>
      </c>
      <c r="W425" t="s">
        <v>8235</v>
      </c>
      <c r="X425" t="s">
        <v>8236</v>
      </c>
      <c r="Y425" t="s">
        <v>8237</v>
      </c>
      <c r="Z425" t="s">
        <v>8238</v>
      </c>
      <c r="AA425" t="s">
        <v>74</v>
      </c>
      <c r="AB425" t="s">
        <v>8239</v>
      </c>
      <c r="AC425" t="s">
        <v>8240</v>
      </c>
      <c r="AD425" t="s">
        <v>8241</v>
      </c>
      <c r="AE425" t="s">
        <v>8242</v>
      </c>
      <c r="AF425" t="s">
        <v>74</v>
      </c>
      <c r="AG425">
        <v>108</v>
      </c>
      <c r="AH425">
        <v>23</v>
      </c>
      <c r="AI425">
        <v>27</v>
      </c>
      <c r="AJ425">
        <v>0</v>
      </c>
      <c r="AK425">
        <v>43</v>
      </c>
      <c r="AL425" t="s">
        <v>1771</v>
      </c>
      <c r="AM425" t="s">
        <v>90</v>
      </c>
      <c r="AN425" t="s">
        <v>1772</v>
      </c>
      <c r="AO425" t="s">
        <v>8243</v>
      </c>
      <c r="AP425" t="s">
        <v>8244</v>
      </c>
      <c r="AQ425" t="s">
        <v>74</v>
      </c>
      <c r="AR425" t="s">
        <v>8245</v>
      </c>
      <c r="AS425" t="s">
        <v>8246</v>
      </c>
      <c r="AT425" t="s">
        <v>7061</v>
      </c>
      <c r="AU425">
        <v>2012</v>
      </c>
      <c r="AV425">
        <v>34</v>
      </c>
      <c r="AW425">
        <v>9</v>
      </c>
      <c r="AX425" t="s">
        <v>74</v>
      </c>
      <c r="AY425" t="s">
        <v>74</v>
      </c>
      <c r="AZ425" t="s">
        <v>74</v>
      </c>
      <c r="BA425" t="s">
        <v>74</v>
      </c>
      <c r="BB425">
        <v>828</v>
      </c>
      <c r="BC425">
        <v>848</v>
      </c>
      <c r="BD425" t="s">
        <v>74</v>
      </c>
      <c r="BE425" t="s">
        <v>8247</v>
      </c>
      <c r="BF425" t="str">
        <f>HYPERLINK("http://dx.doi.org/10.1093/plankt/fbs016","http://dx.doi.org/10.1093/plankt/fbs016")</f>
        <v>http://dx.doi.org/10.1093/plankt/fbs016</v>
      </c>
      <c r="BG425" t="s">
        <v>74</v>
      </c>
      <c r="BH425" t="s">
        <v>74</v>
      </c>
      <c r="BI425">
        <v>21</v>
      </c>
      <c r="BJ425" t="s">
        <v>1161</v>
      </c>
      <c r="BK425" t="s">
        <v>98</v>
      </c>
      <c r="BL425" t="s">
        <v>1161</v>
      </c>
      <c r="BM425" t="s">
        <v>8248</v>
      </c>
      <c r="BN425" t="s">
        <v>74</v>
      </c>
      <c r="BO425" t="s">
        <v>607</v>
      </c>
      <c r="BP425" t="s">
        <v>74</v>
      </c>
      <c r="BQ425" t="s">
        <v>74</v>
      </c>
      <c r="BR425" t="s">
        <v>101</v>
      </c>
      <c r="BS425" t="s">
        <v>8249</v>
      </c>
      <c r="BT425" t="str">
        <f>HYPERLINK("https%3A%2F%2Fwww.webofscience.com%2Fwos%2Fwoscc%2Ffull-record%2FWOS:000307174500008","View Full Record in Web of Science")</f>
        <v>View Full Record in Web of Science</v>
      </c>
    </row>
    <row r="426" spans="1:72" x14ac:dyDescent="0.15">
      <c r="A426" t="s">
        <v>72</v>
      </c>
      <c r="B426" t="s">
        <v>8014</v>
      </c>
      <c r="C426" t="s">
        <v>74</v>
      </c>
      <c r="D426" t="s">
        <v>74</v>
      </c>
      <c r="E426" t="s">
        <v>74</v>
      </c>
      <c r="F426" t="s">
        <v>8015</v>
      </c>
      <c r="G426" t="s">
        <v>74</v>
      </c>
      <c r="H426" t="s">
        <v>74</v>
      </c>
      <c r="I426" t="s">
        <v>8250</v>
      </c>
      <c r="J426" t="s">
        <v>8251</v>
      </c>
      <c r="K426" t="s">
        <v>74</v>
      </c>
      <c r="L426" t="s">
        <v>74</v>
      </c>
      <c r="M426" t="s">
        <v>78</v>
      </c>
      <c r="N426" t="s">
        <v>79</v>
      </c>
      <c r="O426" t="s">
        <v>74</v>
      </c>
      <c r="P426" t="s">
        <v>74</v>
      </c>
      <c r="Q426" t="s">
        <v>74</v>
      </c>
      <c r="R426" t="s">
        <v>74</v>
      </c>
      <c r="S426" t="s">
        <v>74</v>
      </c>
      <c r="T426" t="s">
        <v>8252</v>
      </c>
      <c r="U426" t="s">
        <v>8253</v>
      </c>
      <c r="V426" t="s">
        <v>8254</v>
      </c>
      <c r="W426" t="s">
        <v>8255</v>
      </c>
      <c r="X426" t="s">
        <v>8256</v>
      </c>
      <c r="Y426" t="s">
        <v>8257</v>
      </c>
      <c r="Z426" t="s">
        <v>8024</v>
      </c>
      <c r="AA426" t="s">
        <v>8025</v>
      </c>
      <c r="AB426" t="s">
        <v>8026</v>
      </c>
      <c r="AC426" t="s">
        <v>8258</v>
      </c>
      <c r="AD426" t="s">
        <v>8258</v>
      </c>
      <c r="AE426" t="s">
        <v>8259</v>
      </c>
      <c r="AF426" t="s">
        <v>74</v>
      </c>
      <c r="AG426">
        <v>83</v>
      </c>
      <c r="AH426">
        <v>14</v>
      </c>
      <c r="AI426">
        <v>14</v>
      </c>
      <c r="AJ426">
        <v>0</v>
      </c>
      <c r="AK426">
        <v>6</v>
      </c>
      <c r="AL426" t="s">
        <v>4767</v>
      </c>
      <c r="AM426" t="s">
        <v>4768</v>
      </c>
      <c r="AN426" t="s">
        <v>4769</v>
      </c>
      <c r="AO426" t="s">
        <v>8260</v>
      </c>
      <c r="AP426" t="s">
        <v>8261</v>
      </c>
      <c r="AQ426" t="s">
        <v>74</v>
      </c>
      <c r="AR426" t="s">
        <v>8262</v>
      </c>
      <c r="AS426" t="s">
        <v>8263</v>
      </c>
      <c r="AT426" t="s">
        <v>7061</v>
      </c>
      <c r="AU426">
        <v>2012</v>
      </c>
      <c r="AV426">
        <v>42</v>
      </c>
      <c r="AW426">
        <v>3</v>
      </c>
      <c r="AX426" t="s">
        <v>74</v>
      </c>
      <c r="AY426" t="s">
        <v>74</v>
      </c>
      <c r="AZ426" t="s">
        <v>74</v>
      </c>
      <c r="BA426" t="s">
        <v>74</v>
      </c>
      <c r="BB426">
        <v>329</v>
      </c>
      <c r="BC426">
        <v>393</v>
      </c>
      <c r="BD426" t="s">
        <v>74</v>
      </c>
      <c r="BE426" t="s">
        <v>8264</v>
      </c>
      <c r="BF426" t="str">
        <f>HYPERLINK("http://dx.doi.org/10.1007/s12526-012-0116-5","http://dx.doi.org/10.1007/s12526-012-0116-5")</f>
        <v>http://dx.doi.org/10.1007/s12526-012-0116-5</v>
      </c>
      <c r="BG426" t="s">
        <v>74</v>
      </c>
      <c r="BH426" t="s">
        <v>74</v>
      </c>
      <c r="BI426">
        <v>65</v>
      </c>
      <c r="BJ426" t="s">
        <v>8265</v>
      </c>
      <c r="BK426" t="s">
        <v>98</v>
      </c>
      <c r="BL426" t="s">
        <v>8266</v>
      </c>
      <c r="BM426" t="s">
        <v>8267</v>
      </c>
      <c r="BN426" t="s">
        <v>74</v>
      </c>
      <c r="BO426" t="s">
        <v>74</v>
      </c>
      <c r="BP426" t="s">
        <v>74</v>
      </c>
      <c r="BQ426" t="s">
        <v>74</v>
      </c>
      <c r="BR426" t="s">
        <v>101</v>
      </c>
      <c r="BS426" t="s">
        <v>8268</v>
      </c>
      <c r="BT426" t="str">
        <f>HYPERLINK("https%3A%2F%2Fwww.webofscience.com%2Fwos%2Fwoscc%2Ffull-record%2FWOS:000307396900003","View Full Record in Web of Science")</f>
        <v>View Full Record in Web of Science</v>
      </c>
    </row>
    <row r="427" spans="1:72" x14ac:dyDescent="0.15">
      <c r="A427" t="s">
        <v>72</v>
      </c>
      <c r="B427" t="s">
        <v>8269</v>
      </c>
      <c r="C427" t="s">
        <v>74</v>
      </c>
      <c r="D427" t="s">
        <v>74</v>
      </c>
      <c r="E427" t="s">
        <v>74</v>
      </c>
      <c r="F427" t="s">
        <v>8270</v>
      </c>
      <c r="G427" t="s">
        <v>74</v>
      </c>
      <c r="H427" t="s">
        <v>74</v>
      </c>
      <c r="I427" t="s">
        <v>8271</v>
      </c>
      <c r="J427" t="s">
        <v>8272</v>
      </c>
      <c r="K427" t="s">
        <v>74</v>
      </c>
      <c r="L427" t="s">
        <v>74</v>
      </c>
      <c r="M427" t="s">
        <v>78</v>
      </c>
      <c r="N427" t="s">
        <v>79</v>
      </c>
      <c r="O427" t="s">
        <v>74</v>
      </c>
      <c r="P427" t="s">
        <v>74</v>
      </c>
      <c r="Q427" t="s">
        <v>74</v>
      </c>
      <c r="R427" t="s">
        <v>74</v>
      </c>
      <c r="S427" t="s">
        <v>74</v>
      </c>
      <c r="T427" t="s">
        <v>8273</v>
      </c>
      <c r="U427" t="s">
        <v>8274</v>
      </c>
      <c r="V427" t="s">
        <v>8275</v>
      </c>
      <c r="W427" t="s">
        <v>8276</v>
      </c>
      <c r="X427" t="s">
        <v>8277</v>
      </c>
      <c r="Y427" t="s">
        <v>8278</v>
      </c>
      <c r="Z427" t="s">
        <v>8279</v>
      </c>
      <c r="AA427" t="s">
        <v>74</v>
      </c>
      <c r="AB427" t="s">
        <v>74</v>
      </c>
      <c r="AC427" t="s">
        <v>74</v>
      </c>
      <c r="AD427" t="s">
        <v>74</v>
      </c>
      <c r="AE427" t="s">
        <v>74</v>
      </c>
      <c r="AF427" t="s">
        <v>74</v>
      </c>
      <c r="AG427">
        <v>33</v>
      </c>
      <c r="AH427">
        <v>8</v>
      </c>
      <c r="AI427">
        <v>8</v>
      </c>
      <c r="AJ427">
        <v>0</v>
      </c>
      <c r="AK427">
        <v>21</v>
      </c>
      <c r="AL427" t="s">
        <v>89</v>
      </c>
      <c r="AM427" t="s">
        <v>90</v>
      </c>
      <c r="AN427" t="s">
        <v>91</v>
      </c>
      <c r="AO427" t="s">
        <v>8280</v>
      </c>
      <c r="AP427" t="s">
        <v>8281</v>
      </c>
      <c r="AQ427" t="s">
        <v>74</v>
      </c>
      <c r="AR427" t="s">
        <v>8282</v>
      </c>
      <c r="AS427" t="s">
        <v>8283</v>
      </c>
      <c r="AT427" t="s">
        <v>7061</v>
      </c>
      <c r="AU427">
        <v>2012</v>
      </c>
      <c r="AV427">
        <v>57</v>
      </c>
      <c r="AW427" t="s">
        <v>74</v>
      </c>
      <c r="AX427" t="s">
        <v>74</v>
      </c>
      <c r="AY427" t="s">
        <v>74</v>
      </c>
      <c r="AZ427" t="s">
        <v>74</v>
      </c>
      <c r="BA427" t="s">
        <v>74</v>
      </c>
      <c r="BB427">
        <v>29</v>
      </c>
      <c r="BC427">
        <v>34</v>
      </c>
      <c r="BD427" t="s">
        <v>74</v>
      </c>
      <c r="BE427" t="s">
        <v>8284</v>
      </c>
      <c r="BF427" t="str">
        <f>HYPERLINK("http://dx.doi.org/10.1016/j.atmosenv.2012.02.007","http://dx.doi.org/10.1016/j.atmosenv.2012.02.007")</f>
        <v>http://dx.doi.org/10.1016/j.atmosenv.2012.02.007</v>
      </c>
      <c r="BG427" t="s">
        <v>74</v>
      </c>
      <c r="BH427" t="s">
        <v>74</v>
      </c>
      <c r="BI427">
        <v>6</v>
      </c>
      <c r="BJ427" t="s">
        <v>4129</v>
      </c>
      <c r="BK427" t="s">
        <v>98</v>
      </c>
      <c r="BL427" t="s">
        <v>2844</v>
      </c>
      <c r="BM427" t="s">
        <v>8285</v>
      </c>
      <c r="BN427" t="s">
        <v>74</v>
      </c>
      <c r="BO427" t="s">
        <v>74</v>
      </c>
      <c r="BP427" t="s">
        <v>74</v>
      </c>
      <c r="BQ427" t="s">
        <v>74</v>
      </c>
      <c r="BR427" t="s">
        <v>101</v>
      </c>
      <c r="BS427" t="s">
        <v>8286</v>
      </c>
      <c r="BT427" t="str">
        <f>HYPERLINK("https%3A%2F%2Fwww.webofscience.com%2Fwos%2Fwoscc%2Ffull-record%2FWOS:000307140100004","View Full Record in Web of Science")</f>
        <v>View Full Record in Web of Science</v>
      </c>
    </row>
    <row r="428" spans="1:72" x14ac:dyDescent="0.15">
      <c r="A428" t="s">
        <v>72</v>
      </c>
      <c r="B428" t="s">
        <v>8287</v>
      </c>
      <c r="C428" t="s">
        <v>74</v>
      </c>
      <c r="D428" t="s">
        <v>74</v>
      </c>
      <c r="E428" t="s">
        <v>74</v>
      </c>
      <c r="F428" t="s">
        <v>8288</v>
      </c>
      <c r="G428" t="s">
        <v>74</v>
      </c>
      <c r="H428" t="s">
        <v>74</v>
      </c>
      <c r="I428" t="s">
        <v>8289</v>
      </c>
      <c r="J428" t="s">
        <v>8290</v>
      </c>
      <c r="K428" t="s">
        <v>74</v>
      </c>
      <c r="L428" t="s">
        <v>74</v>
      </c>
      <c r="M428" t="s">
        <v>78</v>
      </c>
      <c r="N428" t="s">
        <v>79</v>
      </c>
      <c r="O428" t="s">
        <v>74</v>
      </c>
      <c r="P428" t="s">
        <v>74</v>
      </c>
      <c r="Q428" t="s">
        <v>74</v>
      </c>
      <c r="R428" t="s">
        <v>74</v>
      </c>
      <c r="S428" t="s">
        <v>74</v>
      </c>
      <c r="T428" t="s">
        <v>8291</v>
      </c>
      <c r="U428" t="s">
        <v>8292</v>
      </c>
      <c r="V428" t="s">
        <v>8293</v>
      </c>
      <c r="W428" t="s">
        <v>8294</v>
      </c>
      <c r="X428" t="s">
        <v>8295</v>
      </c>
      <c r="Y428" t="s">
        <v>8296</v>
      </c>
      <c r="Z428" t="s">
        <v>8297</v>
      </c>
      <c r="AA428" t="s">
        <v>74</v>
      </c>
      <c r="AB428" t="s">
        <v>74</v>
      </c>
      <c r="AC428" t="s">
        <v>8298</v>
      </c>
      <c r="AD428" t="s">
        <v>8299</v>
      </c>
      <c r="AE428" t="s">
        <v>8300</v>
      </c>
      <c r="AF428" t="s">
        <v>74</v>
      </c>
      <c r="AG428">
        <v>57</v>
      </c>
      <c r="AH428">
        <v>45</v>
      </c>
      <c r="AI428">
        <v>51</v>
      </c>
      <c r="AJ428">
        <v>1</v>
      </c>
      <c r="AK428">
        <v>52</v>
      </c>
      <c r="AL428" t="s">
        <v>8301</v>
      </c>
      <c r="AM428" t="s">
        <v>8302</v>
      </c>
      <c r="AN428" t="s">
        <v>8303</v>
      </c>
      <c r="AO428" t="s">
        <v>8304</v>
      </c>
      <c r="AP428" t="s">
        <v>8305</v>
      </c>
      <c r="AQ428" t="s">
        <v>74</v>
      </c>
      <c r="AR428" t="s">
        <v>8290</v>
      </c>
      <c r="AS428" t="s">
        <v>8306</v>
      </c>
      <c r="AT428" t="s">
        <v>7061</v>
      </c>
      <c r="AU428">
        <v>2012</v>
      </c>
      <c r="AV428">
        <v>94</v>
      </c>
      <c r="AW428">
        <v>9</v>
      </c>
      <c r="AX428" t="s">
        <v>74</v>
      </c>
      <c r="AY428" t="s">
        <v>74</v>
      </c>
      <c r="AZ428" t="s">
        <v>74</v>
      </c>
      <c r="BA428" t="s">
        <v>74</v>
      </c>
      <c r="BB428">
        <v>1943</v>
      </c>
      <c r="BC428">
        <v>1950</v>
      </c>
      <c r="BD428" t="s">
        <v>74</v>
      </c>
      <c r="BE428" t="s">
        <v>8307</v>
      </c>
      <c r="BF428" t="str">
        <f>HYPERLINK("http://dx.doi.org/10.1016/j.biochi.2012.05.013","http://dx.doi.org/10.1016/j.biochi.2012.05.013")</f>
        <v>http://dx.doi.org/10.1016/j.biochi.2012.05.013</v>
      </c>
      <c r="BG428" t="s">
        <v>74</v>
      </c>
      <c r="BH428" t="s">
        <v>74</v>
      </c>
      <c r="BI428">
        <v>8</v>
      </c>
      <c r="BJ428" t="s">
        <v>3727</v>
      </c>
      <c r="BK428" t="s">
        <v>98</v>
      </c>
      <c r="BL428" t="s">
        <v>3727</v>
      </c>
      <c r="BM428" t="s">
        <v>8308</v>
      </c>
      <c r="BN428">
        <v>22634328</v>
      </c>
      <c r="BO428" t="s">
        <v>74</v>
      </c>
      <c r="BP428" t="s">
        <v>74</v>
      </c>
      <c r="BQ428" t="s">
        <v>74</v>
      </c>
      <c r="BR428" t="s">
        <v>101</v>
      </c>
      <c r="BS428" t="s">
        <v>8309</v>
      </c>
      <c r="BT428" t="str">
        <f>HYPERLINK("https%3A%2F%2Fwww.webofscience.com%2Fwos%2Fwoscc%2Ffull-record%2FWOS:000307087900013","View Full Record in Web of Science")</f>
        <v>View Full Record in Web of Science</v>
      </c>
    </row>
    <row r="429" spans="1:72" x14ac:dyDescent="0.15">
      <c r="A429" t="s">
        <v>72</v>
      </c>
      <c r="B429" t="s">
        <v>8310</v>
      </c>
      <c r="C429" t="s">
        <v>74</v>
      </c>
      <c r="D429" t="s">
        <v>74</v>
      </c>
      <c r="E429" t="s">
        <v>74</v>
      </c>
      <c r="F429" t="s">
        <v>8311</v>
      </c>
      <c r="G429" t="s">
        <v>74</v>
      </c>
      <c r="H429" t="s">
        <v>74</v>
      </c>
      <c r="I429" t="s">
        <v>8312</v>
      </c>
      <c r="J429" t="s">
        <v>8313</v>
      </c>
      <c r="K429" t="s">
        <v>74</v>
      </c>
      <c r="L429" t="s">
        <v>74</v>
      </c>
      <c r="M429" t="s">
        <v>78</v>
      </c>
      <c r="N429" t="s">
        <v>79</v>
      </c>
      <c r="O429" t="s">
        <v>74</v>
      </c>
      <c r="P429" t="s">
        <v>74</v>
      </c>
      <c r="Q429" t="s">
        <v>74</v>
      </c>
      <c r="R429" t="s">
        <v>74</v>
      </c>
      <c r="S429" t="s">
        <v>74</v>
      </c>
      <c r="T429" t="s">
        <v>8314</v>
      </c>
      <c r="U429" t="s">
        <v>8315</v>
      </c>
      <c r="V429" t="s">
        <v>8316</v>
      </c>
      <c r="W429" t="s">
        <v>8317</v>
      </c>
      <c r="X429" t="s">
        <v>8318</v>
      </c>
      <c r="Y429" t="s">
        <v>8319</v>
      </c>
      <c r="Z429" t="s">
        <v>8320</v>
      </c>
      <c r="AA429" t="s">
        <v>74</v>
      </c>
      <c r="AB429" t="s">
        <v>8321</v>
      </c>
      <c r="AC429" t="s">
        <v>8322</v>
      </c>
      <c r="AD429" t="s">
        <v>8323</v>
      </c>
      <c r="AE429" t="s">
        <v>8324</v>
      </c>
      <c r="AF429" t="s">
        <v>74</v>
      </c>
      <c r="AG429">
        <v>37</v>
      </c>
      <c r="AH429">
        <v>37</v>
      </c>
      <c r="AI429">
        <v>38</v>
      </c>
      <c r="AJ429">
        <v>0</v>
      </c>
      <c r="AK429">
        <v>40</v>
      </c>
      <c r="AL429" t="s">
        <v>935</v>
      </c>
      <c r="AM429" t="s">
        <v>371</v>
      </c>
      <c r="AN429" t="s">
        <v>1873</v>
      </c>
      <c r="AO429" t="s">
        <v>8325</v>
      </c>
      <c r="AP429" t="s">
        <v>8326</v>
      </c>
      <c r="AQ429" t="s">
        <v>74</v>
      </c>
      <c r="AR429" t="s">
        <v>8313</v>
      </c>
      <c r="AS429" t="s">
        <v>8327</v>
      </c>
      <c r="AT429" t="s">
        <v>7061</v>
      </c>
      <c r="AU429">
        <v>2012</v>
      </c>
      <c r="AV429">
        <v>23</v>
      </c>
      <c r="AW429">
        <v>5</v>
      </c>
      <c r="AX429" t="s">
        <v>74</v>
      </c>
      <c r="AY429" t="s">
        <v>74</v>
      </c>
      <c r="AZ429" t="s">
        <v>74</v>
      </c>
      <c r="BA429" t="s">
        <v>74</v>
      </c>
      <c r="BB429">
        <v>645</v>
      </c>
      <c r="BC429">
        <v>651</v>
      </c>
      <c r="BD429" t="s">
        <v>74</v>
      </c>
      <c r="BE429" t="s">
        <v>8328</v>
      </c>
      <c r="BF429" t="str">
        <f>HYPERLINK("http://dx.doi.org/10.1007/s10532-012-9540-2","http://dx.doi.org/10.1007/s10532-012-9540-2")</f>
        <v>http://dx.doi.org/10.1007/s10532-012-9540-2</v>
      </c>
      <c r="BG429" t="s">
        <v>74</v>
      </c>
      <c r="BH429" t="s">
        <v>74</v>
      </c>
      <c r="BI429">
        <v>7</v>
      </c>
      <c r="BJ429" t="s">
        <v>8329</v>
      </c>
      <c r="BK429" t="s">
        <v>98</v>
      </c>
      <c r="BL429" t="s">
        <v>8329</v>
      </c>
      <c r="BM429" t="s">
        <v>8330</v>
      </c>
      <c r="BN429">
        <v>22302594</v>
      </c>
      <c r="BO429" t="s">
        <v>74</v>
      </c>
      <c r="BP429" t="s">
        <v>74</v>
      </c>
      <c r="BQ429" t="s">
        <v>74</v>
      </c>
      <c r="BR429" t="s">
        <v>101</v>
      </c>
      <c r="BS429" t="s">
        <v>8331</v>
      </c>
      <c r="BT429" t="str">
        <f>HYPERLINK("https%3A%2F%2Fwww.webofscience.com%2Fwos%2Fwoscc%2Ffull-record%2FWOS:000307295800002","View Full Record in Web of Science")</f>
        <v>View Full Record in Web of Science</v>
      </c>
    </row>
    <row r="430" spans="1:72" x14ac:dyDescent="0.15">
      <c r="A430" t="s">
        <v>72</v>
      </c>
      <c r="B430" t="s">
        <v>8332</v>
      </c>
      <c r="C430" t="s">
        <v>74</v>
      </c>
      <c r="D430" t="s">
        <v>74</v>
      </c>
      <c r="E430" t="s">
        <v>74</v>
      </c>
      <c r="F430" t="s">
        <v>8333</v>
      </c>
      <c r="G430" t="s">
        <v>74</v>
      </c>
      <c r="H430" t="s">
        <v>74</v>
      </c>
      <c r="I430" t="s">
        <v>8334</v>
      </c>
      <c r="J430" t="s">
        <v>7531</v>
      </c>
      <c r="K430" t="s">
        <v>74</v>
      </c>
      <c r="L430" t="s">
        <v>74</v>
      </c>
      <c r="M430" t="s">
        <v>78</v>
      </c>
      <c r="N430" t="s">
        <v>471</v>
      </c>
      <c r="O430" t="s">
        <v>7532</v>
      </c>
      <c r="P430" t="s">
        <v>7533</v>
      </c>
      <c r="Q430" t="s">
        <v>7534</v>
      </c>
      <c r="R430" t="s">
        <v>74</v>
      </c>
      <c r="S430" t="s">
        <v>7535</v>
      </c>
      <c r="T430" t="s">
        <v>8335</v>
      </c>
      <c r="U430" t="s">
        <v>8336</v>
      </c>
      <c r="V430" t="s">
        <v>8337</v>
      </c>
      <c r="W430" t="s">
        <v>8338</v>
      </c>
      <c r="X430" t="s">
        <v>8339</v>
      </c>
      <c r="Y430" t="s">
        <v>8340</v>
      </c>
      <c r="Z430" t="s">
        <v>8341</v>
      </c>
      <c r="AA430" t="s">
        <v>8342</v>
      </c>
      <c r="AB430" t="s">
        <v>8343</v>
      </c>
      <c r="AC430" t="s">
        <v>8344</v>
      </c>
      <c r="AD430" t="s">
        <v>2296</v>
      </c>
      <c r="AE430" t="s">
        <v>74</v>
      </c>
      <c r="AF430" t="s">
        <v>74</v>
      </c>
      <c r="AG430">
        <v>102</v>
      </c>
      <c r="AH430">
        <v>27</v>
      </c>
      <c r="AI430">
        <v>28</v>
      </c>
      <c r="AJ430">
        <v>1</v>
      </c>
      <c r="AK430">
        <v>43</v>
      </c>
      <c r="AL430" t="s">
        <v>935</v>
      </c>
      <c r="AM430" t="s">
        <v>2382</v>
      </c>
      <c r="AN430" t="s">
        <v>2383</v>
      </c>
      <c r="AO430" t="s">
        <v>7545</v>
      </c>
      <c r="AP430" t="s">
        <v>7546</v>
      </c>
      <c r="AQ430" t="s">
        <v>74</v>
      </c>
      <c r="AR430" t="s">
        <v>7531</v>
      </c>
      <c r="AS430" t="s">
        <v>7547</v>
      </c>
      <c r="AT430" t="s">
        <v>7061</v>
      </c>
      <c r="AU430">
        <v>2012</v>
      </c>
      <c r="AV430">
        <v>110</v>
      </c>
      <c r="AW430" t="s">
        <v>7548</v>
      </c>
      <c r="AX430" t="s">
        <v>74</v>
      </c>
      <c r="AY430" t="s">
        <v>74</v>
      </c>
      <c r="AZ430" t="s">
        <v>1019</v>
      </c>
      <c r="BA430" t="s">
        <v>74</v>
      </c>
      <c r="BB430">
        <v>87</v>
      </c>
      <c r="BC430">
        <v>107</v>
      </c>
      <c r="BD430" t="s">
        <v>74</v>
      </c>
      <c r="BE430" t="s">
        <v>8345</v>
      </c>
      <c r="BF430" t="str">
        <f>HYPERLINK("http://dx.doi.org/10.1007/s10533-012-9705-4","http://dx.doi.org/10.1007/s10533-012-9705-4")</f>
        <v>http://dx.doi.org/10.1007/s10533-012-9705-4</v>
      </c>
      <c r="BG430" t="s">
        <v>74</v>
      </c>
      <c r="BH430" t="s">
        <v>74</v>
      </c>
      <c r="BI430">
        <v>21</v>
      </c>
      <c r="BJ430" t="s">
        <v>7550</v>
      </c>
      <c r="BK430" t="s">
        <v>491</v>
      </c>
      <c r="BL430" t="s">
        <v>7551</v>
      </c>
      <c r="BM430" t="s">
        <v>7552</v>
      </c>
      <c r="BN430" t="s">
        <v>74</v>
      </c>
      <c r="BO430" t="s">
        <v>74</v>
      </c>
      <c r="BP430" t="s">
        <v>74</v>
      </c>
      <c r="BQ430" t="s">
        <v>74</v>
      </c>
      <c r="BR430" t="s">
        <v>101</v>
      </c>
      <c r="BS430" t="s">
        <v>8346</v>
      </c>
      <c r="BT430" t="str">
        <f>HYPERLINK("https%3A%2F%2Fwww.webofscience.com%2Fwos%2Fwoscc%2Ffull-record%2FWOS:000309227400008","View Full Record in Web of Science")</f>
        <v>View Full Record in Web of Science</v>
      </c>
    </row>
    <row r="431" spans="1:72" x14ac:dyDescent="0.15">
      <c r="A431" t="s">
        <v>72</v>
      </c>
      <c r="B431" t="s">
        <v>8347</v>
      </c>
      <c r="C431" t="s">
        <v>74</v>
      </c>
      <c r="D431" t="s">
        <v>74</v>
      </c>
      <c r="E431" t="s">
        <v>74</v>
      </c>
      <c r="F431" t="s">
        <v>8348</v>
      </c>
      <c r="G431" t="s">
        <v>74</v>
      </c>
      <c r="H431" t="s">
        <v>74</v>
      </c>
      <c r="I431" t="s">
        <v>8349</v>
      </c>
      <c r="J431" t="s">
        <v>8350</v>
      </c>
      <c r="K431" t="s">
        <v>74</v>
      </c>
      <c r="L431" t="s">
        <v>74</v>
      </c>
      <c r="M431" t="s">
        <v>78</v>
      </c>
      <c r="N431" t="s">
        <v>79</v>
      </c>
      <c r="O431" t="s">
        <v>74</v>
      </c>
      <c r="P431" t="s">
        <v>74</v>
      </c>
      <c r="Q431" t="s">
        <v>74</v>
      </c>
      <c r="R431" t="s">
        <v>74</v>
      </c>
      <c r="S431" t="s">
        <v>74</v>
      </c>
      <c r="T431" t="s">
        <v>8351</v>
      </c>
      <c r="U431" t="s">
        <v>8352</v>
      </c>
      <c r="V431" t="s">
        <v>8353</v>
      </c>
      <c r="W431" t="s">
        <v>8354</v>
      </c>
      <c r="X431" t="s">
        <v>8355</v>
      </c>
      <c r="Y431" t="s">
        <v>8356</v>
      </c>
      <c r="Z431" t="s">
        <v>8357</v>
      </c>
      <c r="AA431" t="s">
        <v>8358</v>
      </c>
      <c r="AB431" t="s">
        <v>8359</v>
      </c>
      <c r="AC431" t="s">
        <v>8360</v>
      </c>
      <c r="AD431" t="s">
        <v>8361</v>
      </c>
      <c r="AE431" t="s">
        <v>8362</v>
      </c>
      <c r="AF431" t="s">
        <v>74</v>
      </c>
      <c r="AG431">
        <v>38</v>
      </c>
      <c r="AH431">
        <v>24</v>
      </c>
      <c r="AI431">
        <v>26</v>
      </c>
      <c r="AJ431">
        <v>5</v>
      </c>
      <c r="AK431">
        <v>107</v>
      </c>
      <c r="AL431" t="s">
        <v>89</v>
      </c>
      <c r="AM431" t="s">
        <v>90</v>
      </c>
      <c r="AN431" t="s">
        <v>91</v>
      </c>
      <c r="AO431" t="s">
        <v>8363</v>
      </c>
      <c r="AP431" t="s">
        <v>8364</v>
      </c>
      <c r="AQ431" t="s">
        <v>74</v>
      </c>
      <c r="AR431" t="s">
        <v>8350</v>
      </c>
      <c r="AS431" t="s">
        <v>8365</v>
      </c>
      <c r="AT431" t="s">
        <v>7061</v>
      </c>
      <c r="AU431">
        <v>2012</v>
      </c>
      <c r="AV431">
        <v>88</v>
      </c>
      <c r="AW431">
        <v>11</v>
      </c>
      <c r="AX431" t="s">
        <v>74</v>
      </c>
      <c r="AY431" t="s">
        <v>74</v>
      </c>
      <c r="AZ431" t="s">
        <v>74</v>
      </c>
      <c r="BA431" t="s">
        <v>74</v>
      </c>
      <c r="BB431">
        <v>1340</v>
      </c>
      <c r="BC431">
        <v>1345</v>
      </c>
      <c r="BD431" t="s">
        <v>74</v>
      </c>
      <c r="BE431" t="s">
        <v>8366</v>
      </c>
      <c r="BF431" t="str">
        <f>HYPERLINK("http://dx.doi.org/10.1016/j.chemosphere.2012.05.033","http://dx.doi.org/10.1016/j.chemosphere.2012.05.033")</f>
        <v>http://dx.doi.org/10.1016/j.chemosphere.2012.05.033</v>
      </c>
      <c r="BG431" t="s">
        <v>74</v>
      </c>
      <c r="BH431" t="s">
        <v>74</v>
      </c>
      <c r="BI431">
        <v>6</v>
      </c>
      <c r="BJ431" t="s">
        <v>332</v>
      </c>
      <c r="BK431" t="s">
        <v>98</v>
      </c>
      <c r="BL431" t="s">
        <v>333</v>
      </c>
      <c r="BM431" t="s">
        <v>8367</v>
      </c>
      <c r="BN431">
        <v>22722002</v>
      </c>
      <c r="BO431" t="s">
        <v>74</v>
      </c>
      <c r="BP431" t="s">
        <v>74</v>
      </c>
      <c r="BQ431" t="s">
        <v>74</v>
      </c>
      <c r="BR431" t="s">
        <v>101</v>
      </c>
      <c r="BS431" t="s">
        <v>8368</v>
      </c>
      <c r="BT431" t="str">
        <f>HYPERLINK("https%3A%2F%2Fwww.webofscience.com%2Fwos%2Fwoscc%2Ffull-record%2FWOS:000306878000011","View Full Record in Web of Science")</f>
        <v>View Full Record in Web of Science</v>
      </c>
    </row>
    <row r="432" spans="1:72" x14ac:dyDescent="0.15">
      <c r="A432" t="s">
        <v>72</v>
      </c>
      <c r="B432" t="s">
        <v>8369</v>
      </c>
      <c r="C432" t="s">
        <v>74</v>
      </c>
      <c r="D432" t="s">
        <v>74</v>
      </c>
      <c r="E432" t="s">
        <v>74</v>
      </c>
      <c r="F432" t="s">
        <v>8370</v>
      </c>
      <c r="G432" t="s">
        <v>74</v>
      </c>
      <c r="H432" t="s">
        <v>74</v>
      </c>
      <c r="I432" t="s">
        <v>8371</v>
      </c>
      <c r="J432" t="s">
        <v>1709</v>
      </c>
      <c r="K432" t="s">
        <v>74</v>
      </c>
      <c r="L432" t="s">
        <v>74</v>
      </c>
      <c r="M432" t="s">
        <v>78</v>
      </c>
      <c r="N432" t="s">
        <v>79</v>
      </c>
      <c r="O432" t="s">
        <v>74</v>
      </c>
      <c r="P432" t="s">
        <v>74</v>
      </c>
      <c r="Q432" t="s">
        <v>74</v>
      </c>
      <c r="R432" t="s">
        <v>74</v>
      </c>
      <c r="S432" t="s">
        <v>74</v>
      </c>
      <c r="T432" t="s">
        <v>8372</v>
      </c>
      <c r="U432" t="s">
        <v>8373</v>
      </c>
      <c r="V432" t="s">
        <v>8374</v>
      </c>
      <c r="W432" t="s">
        <v>8375</v>
      </c>
      <c r="X432" t="s">
        <v>8376</v>
      </c>
      <c r="Y432" t="s">
        <v>8377</v>
      </c>
      <c r="Z432" t="s">
        <v>8378</v>
      </c>
      <c r="AA432" t="s">
        <v>8379</v>
      </c>
      <c r="AB432" t="s">
        <v>8380</v>
      </c>
      <c r="AC432" t="s">
        <v>8381</v>
      </c>
      <c r="AD432" t="s">
        <v>8382</v>
      </c>
      <c r="AE432" t="s">
        <v>8383</v>
      </c>
      <c r="AF432" t="s">
        <v>74</v>
      </c>
      <c r="AG432">
        <v>121</v>
      </c>
      <c r="AH432">
        <v>44</v>
      </c>
      <c r="AI432">
        <v>59</v>
      </c>
      <c r="AJ432">
        <v>4</v>
      </c>
      <c r="AK432">
        <v>100</v>
      </c>
      <c r="AL432" t="s">
        <v>935</v>
      </c>
      <c r="AM432" t="s">
        <v>371</v>
      </c>
      <c r="AN432" t="s">
        <v>936</v>
      </c>
      <c r="AO432" t="s">
        <v>1722</v>
      </c>
      <c r="AP432" t="s">
        <v>1723</v>
      </c>
      <c r="AQ432" t="s">
        <v>74</v>
      </c>
      <c r="AR432" t="s">
        <v>1724</v>
      </c>
      <c r="AS432" t="s">
        <v>1725</v>
      </c>
      <c r="AT432" t="s">
        <v>7061</v>
      </c>
      <c r="AU432">
        <v>2012</v>
      </c>
      <c r="AV432">
        <v>39</v>
      </c>
      <c r="AW432">
        <v>5</v>
      </c>
      <c r="AX432" t="s">
        <v>74</v>
      </c>
      <c r="AY432" t="s">
        <v>74</v>
      </c>
      <c r="AZ432" t="s">
        <v>1019</v>
      </c>
      <c r="BA432" t="s">
        <v>74</v>
      </c>
      <c r="BB432">
        <v>1073</v>
      </c>
      <c r="BC432">
        <v>1092</v>
      </c>
      <c r="BD432" t="s">
        <v>74</v>
      </c>
      <c r="BE432" t="s">
        <v>8384</v>
      </c>
      <c r="BF432" t="str">
        <f>HYPERLINK("http://dx.doi.org/10.1007/s00382-011-1147-5","http://dx.doi.org/10.1007/s00382-011-1147-5")</f>
        <v>http://dx.doi.org/10.1007/s00382-011-1147-5</v>
      </c>
      <c r="BG432" t="s">
        <v>74</v>
      </c>
      <c r="BH432" t="s">
        <v>74</v>
      </c>
      <c r="BI432">
        <v>20</v>
      </c>
      <c r="BJ432" t="s">
        <v>378</v>
      </c>
      <c r="BK432" t="s">
        <v>98</v>
      </c>
      <c r="BL432" t="s">
        <v>378</v>
      </c>
      <c r="BM432" t="s">
        <v>8385</v>
      </c>
      <c r="BN432" t="s">
        <v>74</v>
      </c>
      <c r="BO432" t="s">
        <v>74</v>
      </c>
      <c r="BP432" t="s">
        <v>74</v>
      </c>
      <c r="BQ432" t="s">
        <v>74</v>
      </c>
      <c r="BR432" t="s">
        <v>101</v>
      </c>
      <c r="BS432" t="s">
        <v>8386</v>
      </c>
      <c r="BT432" t="str">
        <f>HYPERLINK("https%3A%2F%2Fwww.webofscience.com%2Fwos%2Fwoscc%2Ffull-record%2FWOS:000307981900004","View Full Record in Web of Science")</f>
        <v>View Full Record in Web of Science</v>
      </c>
    </row>
    <row r="433" spans="1:72" x14ac:dyDescent="0.15">
      <c r="A433" t="s">
        <v>72</v>
      </c>
      <c r="B433" t="s">
        <v>8387</v>
      </c>
      <c r="C433" t="s">
        <v>74</v>
      </c>
      <c r="D433" t="s">
        <v>74</v>
      </c>
      <c r="E433" t="s">
        <v>74</v>
      </c>
      <c r="F433" t="s">
        <v>8388</v>
      </c>
      <c r="G433" t="s">
        <v>74</v>
      </c>
      <c r="H433" t="s">
        <v>74</v>
      </c>
      <c r="I433" t="s">
        <v>8389</v>
      </c>
      <c r="J433" t="s">
        <v>8390</v>
      </c>
      <c r="K433" t="s">
        <v>74</v>
      </c>
      <c r="L433" t="s">
        <v>74</v>
      </c>
      <c r="M433" t="s">
        <v>78</v>
      </c>
      <c r="N433" t="s">
        <v>79</v>
      </c>
      <c r="O433" t="s">
        <v>74</v>
      </c>
      <c r="P433" t="s">
        <v>74</v>
      </c>
      <c r="Q433" t="s">
        <v>74</v>
      </c>
      <c r="R433" t="s">
        <v>74</v>
      </c>
      <c r="S433" t="s">
        <v>74</v>
      </c>
      <c r="T433" t="s">
        <v>8391</v>
      </c>
      <c r="U433" t="s">
        <v>74</v>
      </c>
      <c r="V433" t="s">
        <v>8392</v>
      </c>
      <c r="W433" t="s">
        <v>8393</v>
      </c>
      <c r="X433" t="s">
        <v>8394</v>
      </c>
      <c r="Y433" t="s">
        <v>8395</v>
      </c>
      <c r="Z433" t="s">
        <v>8396</v>
      </c>
      <c r="AA433" t="s">
        <v>8397</v>
      </c>
      <c r="AB433" t="s">
        <v>8398</v>
      </c>
      <c r="AC433" t="s">
        <v>8399</v>
      </c>
      <c r="AD433" t="s">
        <v>8399</v>
      </c>
      <c r="AE433" t="s">
        <v>8400</v>
      </c>
      <c r="AF433" t="s">
        <v>74</v>
      </c>
      <c r="AG433">
        <v>38</v>
      </c>
      <c r="AH433">
        <v>5</v>
      </c>
      <c r="AI433">
        <v>5</v>
      </c>
      <c r="AJ433">
        <v>0</v>
      </c>
      <c r="AK433">
        <v>5</v>
      </c>
      <c r="AL433" t="s">
        <v>935</v>
      </c>
      <c r="AM433" t="s">
        <v>371</v>
      </c>
      <c r="AN433" t="s">
        <v>1873</v>
      </c>
      <c r="AO433" t="s">
        <v>8401</v>
      </c>
      <c r="AP433" t="s">
        <v>8402</v>
      </c>
      <c r="AQ433" t="s">
        <v>74</v>
      </c>
      <c r="AR433" t="s">
        <v>8390</v>
      </c>
      <c r="AS433" t="s">
        <v>8403</v>
      </c>
      <c r="AT433" t="s">
        <v>7061</v>
      </c>
      <c r="AU433">
        <v>2012</v>
      </c>
      <c r="AV433">
        <v>31</v>
      </c>
      <c r="AW433">
        <v>3</v>
      </c>
      <c r="AX433" t="s">
        <v>74</v>
      </c>
      <c r="AY433" t="s">
        <v>74</v>
      </c>
      <c r="AZ433" t="s">
        <v>74</v>
      </c>
      <c r="BA433" t="s">
        <v>74</v>
      </c>
      <c r="BB433">
        <v>715</v>
      </c>
      <c r="BC433">
        <v>730</v>
      </c>
      <c r="BD433" t="s">
        <v>74</v>
      </c>
      <c r="BE433" t="s">
        <v>8404</v>
      </c>
      <c r="BF433" t="str">
        <f>HYPERLINK("http://dx.doi.org/10.1007/s00338-012-0885-0","http://dx.doi.org/10.1007/s00338-012-0885-0")</f>
        <v>http://dx.doi.org/10.1007/s00338-012-0885-0</v>
      </c>
      <c r="BG433" t="s">
        <v>74</v>
      </c>
      <c r="BH433" t="s">
        <v>74</v>
      </c>
      <c r="BI433">
        <v>16</v>
      </c>
      <c r="BJ433" t="s">
        <v>1753</v>
      </c>
      <c r="BK433" t="s">
        <v>98</v>
      </c>
      <c r="BL433" t="s">
        <v>1753</v>
      </c>
      <c r="BM433" t="s">
        <v>8405</v>
      </c>
      <c r="BN433" t="s">
        <v>74</v>
      </c>
      <c r="BO433" t="s">
        <v>74</v>
      </c>
      <c r="BP433" t="s">
        <v>74</v>
      </c>
      <c r="BQ433" t="s">
        <v>74</v>
      </c>
      <c r="BR433" t="s">
        <v>101</v>
      </c>
      <c r="BS433" t="s">
        <v>8406</v>
      </c>
      <c r="BT433" t="str">
        <f>HYPERLINK("https%3A%2F%2Fwww.webofscience.com%2Fwos%2Fwoscc%2Ffull-record%2FWOS:000307287400011","View Full Record in Web of Science")</f>
        <v>View Full Record in Web of Science</v>
      </c>
    </row>
    <row r="434" spans="1:72" x14ac:dyDescent="0.15">
      <c r="A434" t="s">
        <v>72</v>
      </c>
      <c r="B434" t="s">
        <v>8407</v>
      </c>
      <c r="C434" t="s">
        <v>74</v>
      </c>
      <c r="D434" t="s">
        <v>74</v>
      </c>
      <c r="E434" t="s">
        <v>74</v>
      </c>
      <c r="F434" t="s">
        <v>8408</v>
      </c>
      <c r="G434" t="s">
        <v>74</v>
      </c>
      <c r="H434" t="s">
        <v>74</v>
      </c>
      <c r="I434" t="s">
        <v>8409</v>
      </c>
      <c r="J434" t="s">
        <v>222</v>
      </c>
      <c r="K434" t="s">
        <v>74</v>
      </c>
      <c r="L434" t="s">
        <v>74</v>
      </c>
      <c r="M434" t="s">
        <v>78</v>
      </c>
      <c r="N434" t="s">
        <v>79</v>
      </c>
      <c r="O434" t="s">
        <v>74</v>
      </c>
      <c r="P434" t="s">
        <v>74</v>
      </c>
      <c r="Q434" t="s">
        <v>74</v>
      </c>
      <c r="R434" t="s">
        <v>74</v>
      </c>
      <c r="S434" t="s">
        <v>74</v>
      </c>
      <c r="T434" t="s">
        <v>8410</v>
      </c>
      <c r="U434" t="s">
        <v>8411</v>
      </c>
      <c r="V434" t="s">
        <v>8412</v>
      </c>
      <c r="W434" t="s">
        <v>8413</v>
      </c>
      <c r="X434" t="s">
        <v>8414</v>
      </c>
      <c r="Y434" t="s">
        <v>8415</v>
      </c>
      <c r="Z434" t="s">
        <v>8416</v>
      </c>
      <c r="AA434" t="s">
        <v>8417</v>
      </c>
      <c r="AB434" t="s">
        <v>8418</v>
      </c>
      <c r="AC434" t="s">
        <v>8419</v>
      </c>
      <c r="AD434" t="s">
        <v>8420</v>
      </c>
      <c r="AE434" t="s">
        <v>8421</v>
      </c>
      <c r="AF434" t="s">
        <v>74</v>
      </c>
      <c r="AG434">
        <v>68</v>
      </c>
      <c r="AH434">
        <v>17</v>
      </c>
      <c r="AI434">
        <v>17</v>
      </c>
      <c r="AJ434">
        <v>2</v>
      </c>
      <c r="AK434">
        <v>33</v>
      </c>
      <c r="AL434" t="s">
        <v>188</v>
      </c>
      <c r="AM434" t="s">
        <v>189</v>
      </c>
      <c r="AN434" t="s">
        <v>190</v>
      </c>
      <c r="AO434" t="s">
        <v>235</v>
      </c>
      <c r="AP434" t="s">
        <v>236</v>
      </c>
      <c r="AQ434" t="s">
        <v>74</v>
      </c>
      <c r="AR434" t="s">
        <v>237</v>
      </c>
      <c r="AS434" t="s">
        <v>238</v>
      </c>
      <c r="AT434" t="s">
        <v>7061</v>
      </c>
      <c r="AU434">
        <v>2012</v>
      </c>
      <c r="AV434">
        <v>345</v>
      </c>
      <c r="AW434" t="s">
        <v>74</v>
      </c>
      <c r="AX434" t="s">
        <v>74</v>
      </c>
      <c r="AY434" t="s">
        <v>74</v>
      </c>
      <c r="AZ434" t="s">
        <v>74</v>
      </c>
      <c r="BA434" t="s">
        <v>74</v>
      </c>
      <c r="BB434">
        <v>194</v>
      </c>
      <c r="BC434">
        <v>202</v>
      </c>
      <c r="BD434" t="s">
        <v>74</v>
      </c>
      <c r="BE434" t="s">
        <v>8422</v>
      </c>
      <c r="BF434" t="str">
        <f>HYPERLINK("http://dx.doi.org/10.1016/j.epsl.2012.06.016","http://dx.doi.org/10.1016/j.epsl.2012.06.016")</f>
        <v>http://dx.doi.org/10.1016/j.epsl.2012.06.016</v>
      </c>
      <c r="BG434" t="s">
        <v>74</v>
      </c>
      <c r="BH434" t="s">
        <v>74</v>
      </c>
      <c r="BI434">
        <v>9</v>
      </c>
      <c r="BJ434" t="s">
        <v>241</v>
      </c>
      <c r="BK434" t="s">
        <v>98</v>
      </c>
      <c r="BL434" t="s">
        <v>241</v>
      </c>
      <c r="BM434" t="s">
        <v>7767</v>
      </c>
      <c r="BN434" t="s">
        <v>74</v>
      </c>
      <c r="BO434" t="s">
        <v>74</v>
      </c>
      <c r="BP434" t="s">
        <v>74</v>
      </c>
      <c r="BQ434" t="s">
        <v>74</v>
      </c>
      <c r="BR434" t="s">
        <v>101</v>
      </c>
      <c r="BS434" t="s">
        <v>8423</v>
      </c>
      <c r="BT434" t="str">
        <f>HYPERLINK("https%3A%2F%2Fwww.webofscience.com%2Fwos%2Fwoscc%2Ffull-record%2FWOS:000308522800021","View Full Record in Web of Science")</f>
        <v>View Full Record in Web of Science</v>
      </c>
    </row>
    <row r="435" spans="1:72" x14ac:dyDescent="0.15">
      <c r="A435" t="s">
        <v>72</v>
      </c>
      <c r="B435" t="s">
        <v>8424</v>
      </c>
      <c r="C435" t="s">
        <v>74</v>
      </c>
      <c r="D435" t="s">
        <v>74</v>
      </c>
      <c r="E435" t="s">
        <v>74</v>
      </c>
      <c r="F435" t="s">
        <v>8425</v>
      </c>
      <c r="G435" t="s">
        <v>74</v>
      </c>
      <c r="H435" t="s">
        <v>74</v>
      </c>
      <c r="I435" t="s">
        <v>8426</v>
      </c>
      <c r="J435" t="s">
        <v>2348</v>
      </c>
      <c r="K435" t="s">
        <v>74</v>
      </c>
      <c r="L435" t="s">
        <v>74</v>
      </c>
      <c r="M435" t="s">
        <v>78</v>
      </c>
      <c r="N435" t="s">
        <v>79</v>
      </c>
      <c r="O435" t="s">
        <v>74</v>
      </c>
      <c r="P435" t="s">
        <v>74</v>
      </c>
      <c r="Q435" t="s">
        <v>74</v>
      </c>
      <c r="R435" t="s">
        <v>74</v>
      </c>
      <c r="S435" t="s">
        <v>74</v>
      </c>
      <c r="T435" t="s">
        <v>8427</v>
      </c>
      <c r="U435" t="s">
        <v>8428</v>
      </c>
      <c r="V435" t="s">
        <v>8429</v>
      </c>
      <c r="W435" t="s">
        <v>8430</v>
      </c>
      <c r="X435" t="s">
        <v>8431</v>
      </c>
      <c r="Y435" t="s">
        <v>8432</v>
      </c>
      <c r="Z435" t="s">
        <v>8433</v>
      </c>
      <c r="AA435" t="s">
        <v>8434</v>
      </c>
      <c r="AB435" t="s">
        <v>8435</v>
      </c>
      <c r="AC435" t="s">
        <v>8436</v>
      </c>
      <c r="AD435" t="s">
        <v>8437</v>
      </c>
      <c r="AE435" t="s">
        <v>8438</v>
      </c>
      <c r="AF435" t="s">
        <v>74</v>
      </c>
      <c r="AG435">
        <v>24</v>
      </c>
      <c r="AH435">
        <v>14</v>
      </c>
      <c r="AI435">
        <v>17</v>
      </c>
      <c r="AJ435">
        <v>0</v>
      </c>
      <c r="AK435">
        <v>9</v>
      </c>
      <c r="AL435" t="s">
        <v>898</v>
      </c>
      <c r="AM435" t="s">
        <v>899</v>
      </c>
      <c r="AN435" t="s">
        <v>900</v>
      </c>
      <c r="AO435" t="s">
        <v>2361</v>
      </c>
      <c r="AP435" t="s">
        <v>74</v>
      </c>
      <c r="AQ435" t="s">
        <v>74</v>
      </c>
      <c r="AR435" t="s">
        <v>2348</v>
      </c>
      <c r="AS435" t="s">
        <v>2362</v>
      </c>
      <c r="AT435" t="s">
        <v>7061</v>
      </c>
      <c r="AU435">
        <v>2012</v>
      </c>
      <c r="AV435">
        <v>3</v>
      </c>
      <c r="AW435">
        <v>9</v>
      </c>
      <c r="AX435" t="s">
        <v>74</v>
      </c>
      <c r="AY435" t="s">
        <v>74</v>
      </c>
      <c r="AZ435" t="s">
        <v>74</v>
      </c>
      <c r="BA435" t="s">
        <v>74</v>
      </c>
      <c r="BB435" t="s">
        <v>74</v>
      </c>
      <c r="BC435" t="s">
        <v>74</v>
      </c>
      <c r="BD435">
        <v>81</v>
      </c>
      <c r="BE435" t="s">
        <v>8439</v>
      </c>
      <c r="BF435" t="str">
        <f>HYPERLINK("http://dx.doi.org/10.1890/ES12-00132.1","http://dx.doi.org/10.1890/ES12-00132.1")</f>
        <v>http://dx.doi.org/10.1890/ES12-00132.1</v>
      </c>
      <c r="BG435" t="s">
        <v>74</v>
      </c>
      <c r="BH435" t="s">
        <v>74</v>
      </c>
      <c r="BI435">
        <v>11</v>
      </c>
      <c r="BJ435" t="s">
        <v>515</v>
      </c>
      <c r="BK435" t="s">
        <v>98</v>
      </c>
      <c r="BL435" t="s">
        <v>333</v>
      </c>
      <c r="BM435" t="s">
        <v>8440</v>
      </c>
      <c r="BN435" t="s">
        <v>74</v>
      </c>
      <c r="BO435" t="s">
        <v>8441</v>
      </c>
      <c r="BP435" t="s">
        <v>74</v>
      </c>
      <c r="BQ435" t="s">
        <v>74</v>
      </c>
      <c r="BR435" t="s">
        <v>101</v>
      </c>
      <c r="BS435" t="s">
        <v>8442</v>
      </c>
      <c r="BT435" t="str">
        <f>HYPERLINK("https%3A%2F%2Fwww.webofscience.com%2Fwos%2Fwoscc%2Ffull-record%2FWOS:000327303200007","View Full Record in Web of Science")</f>
        <v>View Full Record in Web of Science</v>
      </c>
    </row>
    <row r="436" spans="1:72" x14ac:dyDescent="0.15">
      <c r="A436" t="s">
        <v>72</v>
      </c>
      <c r="B436" t="s">
        <v>8443</v>
      </c>
      <c r="C436" t="s">
        <v>74</v>
      </c>
      <c r="D436" t="s">
        <v>74</v>
      </c>
      <c r="E436" t="s">
        <v>74</v>
      </c>
      <c r="F436" t="s">
        <v>8444</v>
      </c>
      <c r="G436" t="s">
        <v>74</v>
      </c>
      <c r="H436" t="s">
        <v>74</v>
      </c>
      <c r="I436" t="s">
        <v>8445</v>
      </c>
      <c r="J436" t="s">
        <v>8446</v>
      </c>
      <c r="K436" t="s">
        <v>74</v>
      </c>
      <c r="L436" t="s">
        <v>74</v>
      </c>
      <c r="M436" t="s">
        <v>78</v>
      </c>
      <c r="N436" t="s">
        <v>79</v>
      </c>
      <c r="O436" t="s">
        <v>74</v>
      </c>
      <c r="P436" t="s">
        <v>74</v>
      </c>
      <c r="Q436" t="s">
        <v>74</v>
      </c>
      <c r="R436" t="s">
        <v>74</v>
      </c>
      <c r="S436" t="s">
        <v>74</v>
      </c>
      <c r="T436" t="s">
        <v>8447</v>
      </c>
      <c r="U436" t="s">
        <v>8448</v>
      </c>
      <c r="V436" t="s">
        <v>8449</v>
      </c>
      <c r="W436" t="s">
        <v>8450</v>
      </c>
      <c r="X436" t="s">
        <v>3103</v>
      </c>
      <c r="Y436" t="s">
        <v>8451</v>
      </c>
      <c r="Z436" t="s">
        <v>8452</v>
      </c>
      <c r="AA436" t="s">
        <v>8453</v>
      </c>
      <c r="AB436" t="s">
        <v>8454</v>
      </c>
      <c r="AC436" t="s">
        <v>8455</v>
      </c>
      <c r="AD436" t="s">
        <v>8456</v>
      </c>
      <c r="AE436" t="s">
        <v>8457</v>
      </c>
      <c r="AF436" t="s">
        <v>74</v>
      </c>
      <c r="AG436">
        <v>44</v>
      </c>
      <c r="AH436">
        <v>42</v>
      </c>
      <c r="AI436">
        <v>44</v>
      </c>
      <c r="AJ436">
        <v>0</v>
      </c>
      <c r="AK436">
        <v>74</v>
      </c>
      <c r="AL436" t="s">
        <v>2780</v>
      </c>
      <c r="AM436" t="s">
        <v>371</v>
      </c>
      <c r="AN436" t="s">
        <v>2781</v>
      </c>
      <c r="AO436" t="s">
        <v>8458</v>
      </c>
      <c r="AP436" t="s">
        <v>8459</v>
      </c>
      <c r="AQ436" t="s">
        <v>74</v>
      </c>
      <c r="AR436" t="s">
        <v>8460</v>
      </c>
      <c r="AS436" t="s">
        <v>8461</v>
      </c>
      <c r="AT436" t="s">
        <v>7061</v>
      </c>
      <c r="AU436">
        <v>2012</v>
      </c>
      <c r="AV436">
        <v>39</v>
      </c>
      <c r="AW436">
        <v>3</v>
      </c>
      <c r="AX436" t="s">
        <v>74</v>
      </c>
      <c r="AY436" t="s">
        <v>74</v>
      </c>
      <c r="AZ436" t="s">
        <v>74</v>
      </c>
      <c r="BA436" t="s">
        <v>74</v>
      </c>
      <c r="BB436">
        <v>271</v>
      </c>
      <c r="BC436">
        <v>281</v>
      </c>
      <c r="BD436" t="s">
        <v>74</v>
      </c>
      <c r="BE436" t="s">
        <v>8462</v>
      </c>
      <c r="BF436" t="str">
        <f>HYPERLINK("http://dx.doi.org/10.1017/S0376892912000185","http://dx.doi.org/10.1017/S0376892912000185")</f>
        <v>http://dx.doi.org/10.1017/S0376892912000185</v>
      </c>
      <c r="BG436" t="s">
        <v>74</v>
      </c>
      <c r="BH436" t="s">
        <v>74</v>
      </c>
      <c r="BI436">
        <v>11</v>
      </c>
      <c r="BJ436" t="s">
        <v>8463</v>
      </c>
      <c r="BK436" t="s">
        <v>98</v>
      </c>
      <c r="BL436" t="s">
        <v>1880</v>
      </c>
      <c r="BM436" t="s">
        <v>8464</v>
      </c>
      <c r="BN436" t="s">
        <v>74</v>
      </c>
      <c r="BO436" t="s">
        <v>607</v>
      </c>
      <c r="BP436" t="s">
        <v>74</v>
      </c>
      <c r="BQ436" t="s">
        <v>74</v>
      </c>
      <c r="BR436" t="s">
        <v>101</v>
      </c>
      <c r="BS436" t="s">
        <v>8465</v>
      </c>
      <c r="BT436" t="str">
        <f>HYPERLINK("https%3A%2F%2Fwww.webofscience.com%2Fwos%2Fwoscc%2Ffull-record%2FWOS:000308573400009","View Full Record in Web of Science")</f>
        <v>View Full Record in Web of Science</v>
      </c>
    </row>
    <row r="437" spans="1:72" x14ac:dyDescent="0.15">
      <c r="A437" t="s">
        <v>72</v>
      </c>
      <c r="B437" t="s">
        <v>8466</v>
      </c>
      <c r="C437" t="s">
        <v>74</v>
      </c>
      <c r="D437" t="s">
        <v>74</v>
      </c>
      <c r="E437" t="s">
        <v>74</v>
      </c>
      <c r="F437" t="s">
        <v>8467</v>
      </c>
      <c r="G437" t="s">
        <v>74</v>
      </c>
      <c r="H437" t="s">
        <v>74</v>
      </c>
      <c r="I437" t="s">
        <v>8468</v>
      </c>
      <c r="J437" t="s">
        <v>8469</v>
      </c>
      <c r="K437" t="s">
        <v>74</v>
      </c>
      <c r="L437" t="s">
        <v>74</v>
      </c>
      <c r="M437" t="s">
        <v>78</v>
      </c>
      <c r="N437" t="s">
        <v>974</v>
      </c>
      <c r="O437" t="s">
        <v>74</v>
      </c>
      <c r="P437" t="s">
        <v>74</v>
      </c>
      <c r="Q437" t="s">
        <v>74</v>
      </c>
      <c r="R437" t="s">
        <v>74</v>
      </c>
      <c r="S437" t="s">
        <v>74</v>
      </c>
      <c r="T437" t="s">
        <v>74</v>
      </c>
      <c r="U437" t="s">
        <v>8470</v>
      </c>
      <c r="V437" t="s">
        <v>8471</v>
      </c>
      <c r="W437" t="s">
        <v>8472</v>
      </c>
      <c r="X437" t="s">
        <v>8473</v>
      </c>
      <c r="Y437" t="s">
        <v>8474</v>
      </c>
      <c r="Z437" t="s">
        <v>8475</v>
      </c>
      <c r="AA437" t="s">
        <v>8476</v>
      </c>
      <c r="AB437" t="s">
        <v>8477</v>
      </c>
      <c r="AC437" t="s">
        <v>8478</v>
      </c>
      <c r="AD437" t="s">
        <v>8479</v>
      </c>
      <c r="AE437" t="s">
        <v>8480</v>
      </c>
      <c r="AF437" t="s">
        <v>74</v>
      </c>
      <c r="AG437">
        <v>53</v>
      </c>
      <c r="AH437">
        <v>89</v>
      </c>
      <c r="AI437">
        <v>100</v>
      </c>
      <c r="AJ437">
        <v>4</v>
      </c>
      <c r="AK437">
        <v>67</v>
      </c>
      <c r="AL437" t="s">
        <v>898</v>
      </c>
      <c r="AM437" t="s">
        <v>899</v>
      </c>
      <c r="AN437" t="s">
        <v>900</v>
      </c>
      <c r="AO437" t="s">
        <v>8481</v>
      </c>
      <c r="AP437" t="s">
        <v>8482</v>
      </c>
      <c r="AQ437" t="s">
        <v>74</v>
      </c>
      <c r="AR437" t="s">
        <v>8483</v>
      </c>
      <c r="AS437" t="s">
        <v>8484</v>
      </c>
      <c r="AT437" t="s">
        <v>7061</v>
      </c>
      <c r="AU437">
        <v>2012</v>
      </c>
      <c r="AV437">
        <v>14</v>
      </c>
      <c r="AW437">
        <v>9</v>
      </c>
      <c r="AX437" t="s">
        <v>74</v>
      </c>
      <c r="AY437" t="s">
        <v>74</v>
      </c>
      <c r="AZ437" t="s">
        <v>1019</v>
      </c>
      <c r="BA437" t="s">
        <v>74</v>
      </c>
      <c r="BB437">
        <v>2272</v>
      </c>
      <c r="BC437">
        <v>2282</v>
      </c>
      <c r="BD437" t="s">
        <v>74</v>
      </c>
      <c r="BE437" t="s">
        <v>8485</v>
      </c>
      <c r="BF437" t="str">
        <f>HYPERLINK("http://dx.doi.org/10.1111/j.1462-2920.2012.02821.x","http://dx.doi.org/10.1111/j.1462-2920.2012.02821.x")</f>
        <v>http://dx.doi.org/10.1111/j.1462-2920.2012.02821.x</v>
      </c>
      <c r="BG437" t="s">
        <v>74</v>
      </c>
      <c r="BH437" t="s">
        <v>74</v>
      </c>
      <c r="BI437">
        <v>11</v>
      </c>
      <c r="BJ437" t="s">
        <v>775</v>
      </c>
      <c r="BK437" t="s">
        <v>98</v>
      </c>
      <c r="BL437" t="s">
        <v>775</v>
      </c>
      <c r="BM437" t="s">
        <v>8486</v>
      </c>
      <c r="BN437">
        <v>22779750</v>
      </c>
      <c r="BO437" t="s">
        <v>607</v>
      </c>
      <c r="BP437" t="s">
        <v>74</v>
      </c>
      <c r="BQ437" t="s">
        <v>74</v>
      </c>
      <c r="BR437" t="s">
        <v>101</v>
      </c>
      <c r="BS437" t="s">
        <v>8487</v>
      </c>
      <c r="BT437" t="str">
        <f>HYPERLINK("https%3A%2F%2Fwww.webofscience.com%2Fwos%2Fwoscc%2Ffull-record%2FWOS:000308300600003","View Full Record in Web of Science")</f>
        <v>View Full Record in Web of Science</v>
      </c>
    </row>
    <row r="438" spans="1:72" x14ac:dyDescent="0.15">
      <c r="A438" t="s">
        <v>72</v>
      </c>
      <c r="B438" t="s">
        <v>8488</v>
      </c>
      <c r="C438" t="s">
        <v>74</v>
      </c>
      <c r="D438" t="s">
        <v>74</v>
      </c>
      <c r="E438" t="s">
        <v>74</v>
      </c>
      <c r="F438" t="s">
        <v>8489</v>
      </c>
      <c r="G438" t="s">
        <v>74</v>
      </c>
      <c r="H438" t="s">
        <v>74</v>
      </c>
      <c r="I438" t="s">
        <v>8490</v>
      </c>
      <c r="J438" t="s">
        <v>5274</v>
      </c>
      <c r="K438" t="s">
        <v>74</v>
      </c>
      <c r="L438" t="s">
        <v>74</v>
      </c>
      <c r="M438" t="s">
        <v>78</v>
      </c>
      <c r="N438" t="s">
        <v>79</v>
      </c>
      <c r="O438" t="s">
        <v>74</v>
      </c>
      <c r="P438" t="s">
        <v>74</v>
      </c>
      <c r="Q438" t="s">
        <v>74</v>
      </c>
      <c r="R438" t="s">
        <v>74</v>
      </c>
      <c r="S438" t="s">
        <v>74</v>
      </c>
      <c r="T438" t="s">
        <v>8491</v>
      </c>
      <c r="U438" t="s">
        <v>8492</v>
      </c>
      <c r="V438" t="s">
        <v>8493</v>
      </c>
      <c r="W438" t="s">
        <v>8494</v>
      </c>
      <c r="X438" t="s">
        <v>8495</v>
      </c>
      <c r="Y438" t="s">
        <v>8496</v>
      </c>
      <c r="Z438" t="s">
        <v>8497</v>
      </c>
      <c r="AA438" t="s">
        <v>74</v>
      </c>
      <c r="AB438" t="s">
        <v>74</v>
      </c>
      <c r="AC438" t="s">
        <v>2313</v>
      </c>
      <c r="AD438" t="s">
        <v>2296</v>
      </c>
      <c r="AE438" t="s">
        <v>74</v>
      </c>
      <c r="AF438" t="s">
        <v>74</v>
      </c>
      <c r="AG438">
        <v>26</v>
      </c>
      <c r="AH438">
        <v>20</v>
      </c>
      <c r="AI438">
        <v>23</v>
      </c>
      <c r="AJ438">
        <v>0</v>
      </c>
      <c r="AK438">
        <v>30</v>
      </c>
      <c r="AL438" t="s">
        <v>188</v>
      </c>
      <c r="AM438" t="s">
        <v>189</v>
      </c>
      <c r="AN438" t="s">
        <v>190</v>
      </c>
      <c r="AO438" t="s">
        <v>5287</v>
      </c>
      <c r="AP438" t="s">
        <v>5288</v>
      </c>
      <c r="AQ438" t="s">
        <v>74</v>
      </c>
      <c r="AR438" t="s">
        <v>5289</v>
      </c>
      <c r="AS438" t="s">
        <v>5290</v>
      </c>
      <c r="AT438" t="s">
        <v>7061</v>
      </c>
      <c r="AU438">
        <v>2012</v>
      </c>
      <c r="AV438">
        <v>127</v>
      </c>
      <c r="AW438" t="s">
        <v>74</v>
      </c>
      <c r="AX438" t="s">
        <v>74</v>
      </c>
      <c r="AY438" t="s">
        <v>74</v>
      </c>
      <c r="AZ438" t="s">
        <v>74</v>
      </c>
      <c r="BA438" t="s">
        <v>74</v>
      </c>
      <c r="BB438">
        <v>166</v>
      </c>
      <c r="BC438">
        <v>170</v>
      </c>
      <c r="BD438" t="s">
        <v>74</v>
      </c>
      <c r="BE438" t="s">
        <v>8498</v>
      </c>
      <c r="BF438" t="str">
        <f>HYPERLINK("http://dx.doi.org/10.1016/j.fishres.2012.02.002","http://dx.doi.org/10.1016/j.fishres.2012.02.002")</f>
        <v>http://dx.doi.org/10.1016/j.fishres.2012.02.002</v>
      </c>
      <c r="BG438" t="s">
        <v>74</v>
      </c>
      <c r="BH438" t="s">
        <v>74</v>
      </c>
      <c r="BI438">
        <v>5</v>
      </c>
      <c r="BJ438" t="s">
        <v>5292</v>
      </c>
      <c r="BK438" t="s">
        <v>98</v>
      </c>
      <c r="BL438" t="s">
        <v>5292</v>
      </c>
      <c r="BM438" t="s">
        <v>8499</v>
      </c>
      <c r="BN438" t="s">
        <v>74</v>
      </c>
      <c r="BO438" t="s">
        <v>74</v>
      </c>
      <c r="BP438" t="s">
        <v>74</v>
      </c>
      <c r="BQ438" t="s">
        <v>74</v>
      </c>
      <c r="BR438" t="s">
        <v>101</v>
      </c>
      <c r="BS438" t="s">
        <v>8500</v>
      </c>
      <c r="BT438" t="str">
        <f>HYPERLINK("https%3A%2F%2Fwww.webofscience.com%2Fwos%2Fwoscc%2Ffull-record%2FWOS:000306626700022","View Full Record in Web of Science")</f>
        <v>View Full Record in Web of Science</v>
      </c>
    </row>
    <row r="439" spans="1:72" x14ac:dyDescent="0.15">
      <c r="A439" t="s">
        <v>72</v>
      </c>
      <c r="B439" t="s">
        <v>8501</v>
      </c>
      <c r="C439" t="s">
        <v>74</v>
      </c>
      <c r="D439" t="s">
        <v>74</v>
      </c>
      <c r="E439" t="s">
        <v>74</v>
      </c>
      <c r="F439" t="s">
        <v>8502</v>
      </c>
      <c r="G439" t="s">
        <v>74</v>
      </c>
      <c r="H439" t="s">
        <v>74</v>
      </c>
      <c r="I439" t="s">
        <v>8503</v>
      </c>
      <c r="J439" t="s">
        <v>2580</v>
      </c>
      <c r="K439" t="s">
        <v>74</v>
      </c>
      <c r="L439" t="s">
        <v>74</v>
      </c>
      <c r="M439" t="s">
        <v>78</v>
      </c>
      <c r="N439" t="s">
        <v>79</v>
      </c>
      <c r="O439" t="s">
        <v>74</v>
      </c>
      <c r="P439" t="s">
        <v>74</v>
      </c>
      <c r="Q439" t="s">
        <v>74</v>
      </c>
      <c r="R439" t="s">
        <v>74</v>
      </c>
      <c r="S439" t="s">
        <v>74</v>
      </c>
      <c r="T439" t="s">
        <v>74</v>
      </c>
      <c r="U439" t="s">
        <v>8504</v>
      </c>
      <c r="V439" t="s">
        <v>8505</v>
      </c>
      <c r="W439" t="s">
        <v>8506</v>
      </c>
      <c r="X439" t="s">
        <v>8507</v>
      </c>
      <c r="Y439" t="s">
        <v>8508</v>
      </c>
      <c r="Z439" t="s">
        <v>8509</v>
      </c>
      <c r="AA439" t="s">
        <v>8510</v>
      </c>
      <c r="AB439" t="s">
        <v>8511</v>
      </c>
      <c r="AC439" t="s">
        <v>8512</v>
      </c>
      <c r="AD439" t="s">
        <v>8513</v>
      </c>
      <c r="AE439" t="s">
        <v>8514</v>
      </c>
      <c r="AF439" t="s">
        <v>74</v>
      </c>
      <c r="AG439">
        <v>72</v>
      </c>
      <c r="AH439">
        <v>49</v>
      </c>
      <c r="AI439">
        <v>57</v>
      </c>
      <c r="AJ439">
        <v>0</v>
      </c>
      <c r="AK439">
        <v>23</v>
      </c>
      <c r="AL439" t="s">
        <v>89</v>
      </c>
      <c r="AM439" t="s">
        <v>90</v>
      </c>
      <c r="AN439" t="s">
        <v>91</v>
      </c>
      <c r="AO439" t="s">
        <v>2592</v>
      </c>
      <c r="AP439" t="s">
        <v>2593</v>
      </c>
      <c r="AQ439" t="s">
        <v>74</v>
      </c>
      <c r="AR439" t="s">
        <v>2594</v>
      </c>
      <c r="AS439" t="s">
        <v>2595</v>
      </c>
      <c r="AT439" t="s">
        <v>7117</v>
      </c>
      <c r="AU439">
        <v>2012</v>
      </c>
      <c r="AV439">
        <v>92</v>
      </c>
      <c r="AW439" t="s">
        <v>74</v>
      </c>
      <c r="AX439" t="s">
        <v>74</v>
      </c>
      <c r="AY439" t="s">
        <v>74</v>
      </c>
      <c r="AZ439" t="s">
        <v>74</v>
      </c>
      <c r="BA439" t="s">
        <v>74</v>
      </c>
      <c r="BB439">
        <v>148</v>
      </c>
      <c r="BC439">
        <v>169</v>
      </c>
      <c r="BD439" t="s">
        <v>74</v>
      </c>
      <c r="BE439" t="s">
        <v>8515</v>
      </c>
      <c r="BF439" t="str">
        <f>HYPERLINK("http://dx.doi.org/10.1016/j.gca.2012.06.005","http://dx.doi.org/10.1016/j.gca.2012.06.005")</f>
        <v>http://dx.doi.org/10.1016/j.gca.2012.06.005</v>
      </c>
      <c r="BG439" t="s">
        <v>74</v>
      </c>
      <c r="BH439" t="s">
        <v>74</v>
      </c>
      <c r="BI439">
        <v>22</v>
      </c>
      <c r="BJ439" t="s">
        <v>241</v>
      </c>
      <c r="BK439" t="s">
        <v>98</v>
      </c>
      <c r="BL439" t="s">
        <v>241</v>
      </c>
      <c r="BM439" t="s">
        <v>8516</v>
      </c>
      <c r="BN439" t="s">
        <v>74</v>
      </c>
      <c r="BO439" t="s">
        <v>416</v>
      </c>
      <c r="BP439" t="s">
        <v>74</v>
      </c>
      <c r="BQ439" t="s">
        <v>74</v>
      </c>
      <c r="BR439" t="s">
        <v>101</v>
      </c>
      <c r="BS439" t="s">
        <v>8517</v>
      </c>
      <c r="BT439" t="str">
        <f>HYPERLINK("https%3A%2F%2Fwww.webofscience.com%2Fwos%2Fwoscc%2Ffull-record%2FWOS:000307885900010","View Full Record in Web of Science")</f>
        <v>View Full Record in Web of Science</v>
      </c>
    </row>
    <row r="440" spans="1:72" x14ac:dyDescent="0.15">
      <c r="A440" t="s">
        <v>72</v>
      </c>
      <c r="B440" t="s">
        <v>8518</v>
      </c>
      <c r="C440" t="s">
        <v>74</v>
      </c>
      <c r="D440" t="s">
        <v>74</v>
      </c>
      <c r="E440" t="s">
        <v>74</v>
      </c>
      <c r="F440" t="s">
        <v>8519</v>
      </c>
      <c r="G440" t="s">
        <v>74</v>
      </c>
      <c r="H440" t="s">
        <v>74</v>
      </c>
      <c r="I440" t="s">
        <v>8520</v>
      </c>
      <c r="J440" t="s">
        <v>8521</v>
      </c>
      <c r="K440" t="s">
        <v>74</v>
      </c>
      <c r="L440" t="s">
        <v>74</v>
      </c>
      <c r="M440" t="s">
        <v>78</v>
      </c>
      <c r="N440" t="s">
        <v>79</v>
      </c>
      <c r="O440" t="s">
        <v>74</v>
      </c>
      <c r="P440" t="s">
        <v>74</v>
      </c>
      <c r="Q440" t="s">
        <v>74</v>
      </c>
      <c r="R440" t="s">
        <v>74</v>
      </c>
      <c r="S440" t="s">
        <v>74</v>
      </c>
      <c r="T440" t="s">
        <v>8522</v>
      </c>
      <c r="U440" t="s">
        <v>8523</v>
      </c>
      <c r="V440" t="s">
        <v>8524</v>
      </c>
      <c r="W440" t="s">
        <v>8525</v>
      </c>
      <c r="X440" t="s">
        <v>8526</v>
      </c>
      <c r="Y440" t="s">
        <v>8527</v>
      </c>
      <c r="Z440" t="s">
        <v>8528</v>
      </c>
      <c r="AA440" t="s">
        <v>8529</v>
      </c>
      <c r="AB440" t="s">
        <v>8530</v>
      </c>
      <c r="AC440" t="s">
        <v>8531</v>
      </c>
      <c r="AD440" t="s">
        <v>8532</v>
      </c>
      <c r="AE440" t="s">
        <v>8533</v>
      </c>
      <c r="AF440" t="s">
        <v>74</v>
      </c>
      <c r="AG440">
        <v>55</v>
      </c>
      <c r="AH440">
        <v>7</v>
      </c>
      <c r="AI440">
        <v>8</v>
      </c>
      <c r="AJ440">
        <v>1</v>
      </c>
      <c r="AK440">
        <v>28</v>
      </c>
      <c r="AL440" t="s">
        <v>8534</v>
      </c>
      <c r="AM440" t="s">
        <v>8535</v>
      </c>
      <c r="AN440" t="s">
        <v>8536</v>
      </c>
      <c r="AO440" t="s">
        <v>8537</v>
      </c>
      <c r="AP440" t="s">
        <v>8538</v>
      </c>
      <c r="AQ440" t="s">
        <v>74</v>
      </c>
      <c r="AR440" t="s">
        <v>8539</v>
      </c>
      <c r="AS440" t="s">
        <v>8540</v>
      </c>
      <c r="AT440" t="s">
        <v>7061</v>
      </c>
      <c r="AU440">
        <v>2012</v>
      </c>
      <c r="AV440">
        <v>10</v>
      </c>
      <c r="AW440">
        <v>3</v>
      </c>
      <c r="AX440" t="s">
        <v>74</v>
      </c>
      <c r="AY440" t="s">
        <v>74</v>
      </c>
      <c r="AZ440" t="s">
        <v>74</v>
      </c>
      <c r="BA440" t="s">
        <v>74</v>
      </c>
      <c r="BB440">
        <v>239</v>
      </c>
      <c r="BC440" t="s">
        <v>4531</v>
      </c>
      <c r="BD440" t="s">
        <v>74</v>
      </c>
      <c r="BE440" t="s">
        <v>8541</v>
      </c>
      <c r="BF440" t="str">
        <f>HYPERLINK("http://dx.doi.org/10.1344/105.000001746","http://dx.doi.org/10.1344/105.000001746")</f>
        <v>http://dx.doi.org/10.1344/105.000001746</v>
      </c>
      <c r="BG440" t="s">
        <v>74</v>
      </c>
      <c r="BH440" t="s">
        <v>74</v>
      </c>
      <c r="BI440">
        <v>13</v>
      </c>
      <c r="BJ440" t="s">
        <v>462</v>
      </c>
      <c r="BK440" t="s">
        <v>98</v>
      </c>
      <c r="BL440" t="s">
        <v>462</v>
      </c>
      <c r="BM440" t="s">
        <v>8542</v>
      </c>
      <c r="BN440" t="s">
        <v>74</v>
      </c>
      <c r="BO440" t="s">
        <v>74</v>
      </c>
      <c r="BP440" t="s">
        <v>74</v>
      </c>
      <c r="BQ440" t="s">
        <v>74</v>
      </c>
      <c r="BR440" t="s">
        <v>101</v>
      </c>
      <c r="BS440" t="s">
        <v>8543</v>
      </c>
      <c r="BT440" t="str">
        <f>HYPERLINK("https%3A%2F%2Fwww.webofscience.com%2Fwos%2Fwoscc%2Ffull-record%2FWOS:000309957000003","View Full Record in Web of Science")</f>
        <v>View Full Record in Web of Science</v>
      </c>
    </row>
    <row r="441" spans="1:72" x14ac:dyDescent="0.15">
      <c r="A441" t="s">
        <v>72</v>
      </c>
      <c r="B441" t="s">
        <v>8544</v>
      </c>
      <c r="C441" t="s">
        <v>74</v>
      </c>
      <c r="D441" t="s">
        <v>74</v>
      </c>
      <c r="E441" t="s">
        <v>74</v>
      </c>
      <c r="F441" t="s">
        <v>8545</v>
      </c>
      <c r="G441" t="s">
        <v>74</v>
      </c>
      <c r="H441" t="s">
        <v>74</v>
      </c>
      <c r="I441" t="s">
        <v>8546</v>
      </c>
      <c r="J441" t="s">
        <v>8547</v>
      </c>
      <c r="K441" t="s">
        <v>74</v>
      </c>
      <c r="L441" t="s">
        <v>74</v>
      </c>
      <c r="M441" t="s">
        <v>78</v>
      </c>
      <c r="N441" t="s">
        <v>79</v>
      </c>
      <c r="O441" t="s">
        <v>74</v>
      </c>
      <c r="P441" t="s">
        <v>74</v>
      </c>
      <c r="Q441" t="s">
        <v>74</v>
      </c>
      <c r="R441" t="s">
        <v>74</v>
      </c>
      <c r="S441" t="s">
        <v>74</v>
      </c>
      <c r="T441" t="s">
        <v>8548</v>
      </c>
      <c r="U441" t="s">
        <v>8549</v>
      </c>
      <c r="V441" t="s">
        <v>8550</v>
      </c>
      <c r="W441" t="s">
        <v>8551</v>
      </c>
      <c r="X441" t="s">
        <v>8552</v>
      </c>
      <c r="Y441" t="s">
        <v>8553</v>
      </c>
      <c r="Z441" t="s">
        <v>8554</v>
      </c>
      <c r="AA441" t="s">
        <v>8555</v>
      </c>
      <c r="AB441" t="s">
        <v>8556</v>
      </c>
      <c r="AC441" t="s">
        <v>8557</v>
      </c>
      <c r="AD441" t="s">
        <v>8558</v>
      </c>
      <c r="AE441" t="s">
        <v>8559</v>
      </c>
      <c r="AF441" t="s">
        <v>74</v>
      </c>
      <c r="AG441">
        <v>35</v>
      </c>
      <c r="AH441">
        <v>20</v>
      </c>
      <c r="AI441">
        <v>23</v>
      </c>
      <c r="AJ441">
        <v>0</v>
      </c>
      <c r="AK441">
        <v>13</v>
      </c>
      <c r="AL441" t="s">
        <v>2780</v>
      </c>
      <c r="AM441" t="s">
        <v>371</v>
      </c>
      <c r="AN441" t="s">
        <v>2781</v>
      </c>
      <c r="AO441" t="s">
        <v>8560</v>
      </c>
      <c r="AP441" t="s">
        <v>74</v>
      </c>
      <c r="AQ441" t="s">
        <v>74</v>
      </c>
      <c r="AR441" t="s">
        <v>8561</v>
      </c>
      <c r="AS441" t="s">
        <v>8562</v>
      </c>
      <c r="AT441" t="s">
        <v>7061</v>
      </c>
      <c r="AU441">
        <v>2012</v>
      </c>
      <c r="AV441">
        <v>149</v>
      </c>
      <c r="AW441">
        <v>5</v>
      </c>
      <c r="AX441" t="s">
        <v>74</v>
      </c>
      <c r="AY441" t="s">
        <v>74</v>
      </c>
      <c r="AZ441" t="s">
        <v>74</v>
      </c>
      <c r="BA441" t="s">
        <v>74</v>
      </c>
      <c r="BB441">
        <v>768</v>
      </c>
      <c r="BC441">
        <v>782</v>
      </c>
      <c r="BD441" t="s">
        <v>74</v>
      </c>
      <c r="BE441" t="s">
        <v>8563</v>
      </c>
      <c r="BF441" t="str">
        <f>HYPERLINK("http://dx.doi.org/10.1017/S0016756811001002","http://dx.doi.org/10.1017/S0016756811001002")</f>
        <v>http://dx.doi.org/10.1017/S0016756811001002</v>
      </c>
      <c r="BG441" t="s">
        <v>74</v>
      </c>
      <c r="BH441" t="s">
        <v>74</v>
      </c>
      <c r="BI441">
        <v>15</v>
      </c>
      <c r="BJ441" t="s">
        <v>461</v>
      </c>
      <c r="BK441" t="s">
        <v>98</v>
      </c>
      <c r="BL441" t="s">
        <v>462</v>
      </c>
      <c r="BM441" t="s">
        <v>8564</v>
      </c>
      <c r="BN441" t="s">
        <v>74</v>
      </c>
      <c r="BO441" t="s">
        <v>416</v>
      </c>
      <c r="BP441" t="s">
        <v>74</v>
      </c>
      <c r="BQ441" t="s">
        <v>74</v>
      </c>
      <c r="BR441" t="s">
        <v>101</v>
      </c>
      <c r="BS441" t="s">
        <v>8565</v>
      </c>
      <c r="BT441" t="str">
        <f>HYPERLINK("https%3A%2F%2Fwww.webofscience.com%2Fwos%2Fwoscc%2Ffull-record%2FWOS:000307170400002","View Full Record in Web of Science")</f>
        <v>View Full Record in Web of Science</v>
      </c>
    </row>
    <row r="442" spans="1:72" x14ac:dyDescent="0.15">
      <c r="A442" t="s">
        <v>72</v>
      </c>
      <c r="B442" t="s">
        <v>8566</v>
      </c>
      <c r="C442" t="s">
        <v>74</v>
      </c>
      <c r="D442" t="s">
        <v>74</v>
      </c>
      <c r="E442" t="s">
        <v>74</v>
      </c>
      <c r="F442" t="s">
        <v>8567</v>
      </c>
      <c r="G442" t="s">
        <v>74</v>
      </c>
      <c r="H442" t="s">
        <v>74</v>
      </c>
      <c r="I442" t="s">
        <v>8568</v>
      </c>
      <c r="J442" t="s">
        <v>1368</v>
      </c>
      <c r="K442" t="s">
        <v>74</v>
      </c>
      <c r="L442" t="s">
        <v>74</v>
      </c>
      <c r="M442" t="s">
        <v>78</v>
      </c>
      <c r="N442" t="s">
        <v>79</v>
      </c>
      <c r="O442" t="s">
        <v>74</v>
      </c>
      <c r="P442" t="s">
        <v>74</v>
      </c>
      <c r="Q442" t="s">
        <v>74</v>
      </c>
      <c r="R442" t="s">
        <v>74</v>
      </c>
      <c r="S442" t="s">
        <v>74</v>
      </c>
      <c r="T442" t="s">
        <v>74</v>
      </c>
      <c r="U442" t="s">
        <v>8569</v>
      </c>
      <c r="V442" t="s">
        <v>8570</v>
      </c>
      <c r="W442" t="s">
        <v>8571</v>
      </c>
      <c r="X442" t="s">
        <v>8572</v>
      </c>
      <c r="Y442" t="s">
        <v>8573</v>
      </c>
      <c r="Z442" t="s">
        <v>8574</v>
      </c>
      <c r="AA442" t="s">
        <v>8575</v>
      </c>
      <c r="AB442" t="s">
        <v>8576</v>
      </c>
      <c r="AC442" t="s">
        <v>8577</v>
      </c>
      <c r="AD442" t="s">
        <v>8578</v>
      </c>
      <c r="AE442" t="s">
        <v>8579</v>
      </c>
      <c r="AF442" t="s">
        <v>74</v>
      </c>
      <c r="AG442">
        <v>21</v>
      </c>
      <c r="AH442">
        <v>15</v>
      </c>
      <c r="AI442">
        <v>15</v>
      </c>
      <c r="AJ442">
        <v>0</v>
      </c>
      <c r="AK442">
        <v>3</v>
      </c>
      <c r="AL442" t="s">
        <v>1130</v>
      </c>
      <c r="AM442" t="s">
        <v>371</v>
      </c>
      <c r="AN442" t="s">
        <v>1131</v>
      </c>
      <c r="AO442" t="s">
        <v>1377</v>
      </c>
      <c r="AP442" t="s">
        <v>1378</v>
      </c>
      <c r="AQ442" t="s">
        <v>74</v>
      </c>
      <c r="AR442" t="s">
        <v>1379</v>
      </c>
      <c r="AS442" t="s">
        <v>1380</v>
      </c>
      <c r="AT442" t="s">
        <v>7061</v>
      </c>
      <c r="AU442">
        <v>2012</v>
      </c>
      <c r="AV442">
        <v>52</v>
      </c>
      <c r="AW442">
        <v>5</v>
      </c>
      <c r="AX442" t="s">
        <v>74</v>
      </c>
      <c r="AY442" t="s">
        <v>74</v>
      </c>
      <c r="AZ442" t="s">
        <v>74</v>
      </c>
      <c r="BA442" t="s">
        <v>74</v>
      </c>
      <c r="BB442">
        <v>629</v>
      </c>
      <c r="BC442">
        <v>638</v>
      </c>
      <c r="BD442" t="s">
        <v>74</v>
      </c>
      <c r="BE442" t="s">
        <v>8580</v>
      </c>
      <c r="BF442" t="str">
        <f>HYPERLINK("http://dx.doi.org/10.1134/S0016793212050064","http://dx.doi.org/10.1134/S0016793212050064")</f>
        <v>http://dx.doi.org/10.1134/S0016793212050064</v>
      </c>
      <c r="BG442" t="s">
        <v>74</v>
      </c>
      <c r="BH442" t="s">
        <v>74</v>
      </c>
      <c r="BI442">
        <v>10</v>
      </c>
      <c r="BJ442" t="s">
        <v>241</v>
      </c>
      <c r="BK442" t="s">
        <v>98</v>
      </c>
      <c r="BL442" t="s">
        <v>241</v>
      </c>
      <c r="BM442" t="s">
        <v>8581</v>
      </c>
      <c r="BN442" t="s">
        <v>74</v>
      </c>
      <c r="BO442" t="s">
        <v>74</v>
      </c>
      <c r="BP442" t="s">
        <v>74</v>
      </c>
      <c r="BQ442" t="s">
        <v>74</v>
      </c>
      <c r="BR442" t="s">
        <v>101</v>
      </c>
      <c r="BS442" t="s">
        <v>8582</v>
      </c>
      <c r="BT442" t="str">
        <f>HYPERLINK("https%3A%2F%2Fwww.webofscience.com%2Fwos%2Fwoscc%2Ffull-record%2FWOS:000309230100007","View Full Record in Web of Science")</f>
        <v>View Full Record in Web of Science</v>
      </c>
    </row>
    <row r="443" spans="1:72" x14ac:dyDescent="0.15">
      <c r="A443" t="s">
        <v>72</v>
      </c>
      <c r="B443" t="s">
        <v>8583</v>
      </c>
      <c r="C443" t="s">
        <v>74</v>
      </c>
      <c r="D443" t="s">
        <v>74</v>
      </c>
      <c r="E443" t="s">
        <v>74</v>
      </c>
      <c r="F443" t="s">
        <v>8584</v>
      </c>
      <c r="G443" t="s">
        <v>74</v>
      </c>
      <c r="H443" t="s">
        <v>74</v>
      </c>
      <c r="I443" t="s">
        <v>8585</v>
      </c>
      <c r="J443" t="s">
        <v>8586</v>
      </c>
      <c r="K443" t="s">
        <v>74</v>
      </c>
      <c r="L443" t="s">
        <v>74</v>
      </c>
      <c r="M443" t="s">
        <v>78</v>
      </c>
      <c r="N443" t="s">
        <v>79</v>
      </c>
      <c r="O443" t="s">
        <v>74</v>
      </c>
      <c r="P443" t="s">
        <v>74</v>
      </c>
      <c r="Q443" t="s">
        <v>74</v>
      </c>
      <c r="R443" t="s">
        <v>74</v>
      </c>
      <c r="S443" t="s">
        <v>74</v>
      </c>
      <c r="T443" t="s">
        <v>8587</v>
      </c>
      <c r="U443" t="s">
        <v>8588</v>
      </c>
      <c r="V443" t="s">
        <v>8589</v>
      </c>
      <c r="W443" t="s">
        <v>8590</v>
      </c>
      <c r="X443" t="s">
        <v>8591</v>
      </c>
      <c r="Y443" t="s">
        <v>8592</v>
      </c>
      <c r="Z443" t="s">
        <v>8593</v>
      </c>
      <c r="AA443" t="s">
        <v>8594</v>
      </c>
      <c r="AB443" t="s">
        <v>8595</v>
      </c>
      <c r="AC443" t="s">
        <v>8596</v>
      </c>
      <c r="AD443" t="s">
        <v>8597</v>
      </c>
      <c r="AE443" t="s">
        <v>8598</v>
      </c>
      <c r="AF443" t="s">
        <v>74</v>
      </c>
      <c r="AG443">
        <v>31</v>
      </c>
      <c r="AH443">
        <v>12</v>
      </c>
      <c r="AI443">
        <v>12</v>
      </c>
      <c r="AJ443">
        <v>1</v>
      </c>
      <c r="AK443">
        <v>25</v>
      </c>
      <c r="AL443" t="s">
        <v>1771</v>
      </c>
      <c r="AM443" t="s">
        <v>90</v>
      </c>
      <c r="AN443" t="s">
        <v>1772</v>
      </c>
      <c r="AO443" t="s">
        <v>8599</v>
      </c>
      <c r="AP443" t="s">
        <v>8600</v>
      </c>
      <c r="AQ443" t="s">
        <v>74</v>
      </c>
      <c r="AR443" t="s">
        <v>8601</v>
      </c>
      <c r="AS443" t="s">
        <v>8602</v>
      </c>
      <c r="AT443" t="s">
        <v>7061</v>
      </c>
      <c r="AU443">
        <v>2012</v>
      </c>
      <c r="AV443">
        <v>190</v>
      </c>
      <c r="AW443">
        <v>3</v>
      </c>
      <c r="AX443" t="s">
        <v>74</v>
      </c>
      <c r="AY443" t="s">
        <v>74</v>
      </c>
      <c r="AZ443" t="s">
        <v>74</v>
      </c>
      <c r="BA443" t="s">
        <v>74</v>
      </c>
      <c r="BB443">
        <v>1562</v>
      </c>
      <c r="BC443">
        <v>1570</v>
      </c>
      <c r="BD443" t="s">
        <v>74</v>
      </c>
      <c r="BE443" t="s">
        <v>8603</v>
      </c>
      <c r="BF443" t="str">
        <f>HYPERLINK("http://dx.doi.org/10.1111/j.1365-246X.2012.05584.x","http://dx.doi.org/10.1111/j.1365-246X.2012.05584.x")</f>
        <v>http://dx.doi.org/10.1111/j.1365-246X.2012.05584.x</v>
      </c>
      <c r="BG443" t="s">
        <v>74</v>
      </c>
      <c r="BH443" t="s">
        <v>74</v>
      </c>
      <c r="BI443">
        <v>9</v>
      </c>
      <c r="BJ443" t="s">
        <v>241</v>
      </c>
      <c r="BK443" t="s">
        <v>98</v>
      </c>
      <c r="BL443" t="s">
        <v>241</v>
      </c>
      <c r="BM443" t="s">
        <v>8604</v>
      </c>
      <c r="BN443" t="s">
        <v>74</v>
      </c>
      <c r="BO443" t="s">
        <v>1254</v>
      </c>
      <c r="BP443" t="s">
        <v>74</v>
      </c>
      <c r="BQ443" t="s">
        <v>74</v>
      </c>
      <c r="BR443" t="s">
        <v>101</v>
      </c>
      <c r="BS443" t="s">
        <v>8605</v>
      </c>
      <c r="BT443" t="str">
        <f>HYPERLINK("https%3A%2F%2Fwww.webofscience.com%2Fwos%2Fwoscc%2Ffull-record%2FWOS:000307571100020","View Full Record in Web of Science")</f>
        <v>View Full Record in Web of Science</v>
      </c>
    </row>
    <row r="444" spans="1:72" x14ac:dyDescent="0.15">
      <c r="A444" t="s">
        <v>72</v>
      </c>
      <c r="B444" t="s">
        <v>8606</v>
      </c>
      <c r="C444" t="s">
        <v>74</v>
      </c>
      <c r="D444" t="s">
        <v>74</v>
      </c>
      <c r="E444" t="s">
        <v>74</v>
      </c>
      <c r="F444" t="s">
        <v>8607</v>
      </c>
      <c r="G444" t="s">
        <v>74</v>
      </c>
      <c r="H444" t="s">
        <v>74</v>
      </c>
      <c r="I444" t="s">
        <v>8608</v>
      </c>
      <c r="J444" t="s">
        <v>444</v>
      </c>
      <c r="K444" t="s">
        <v>74</v>
      </c>
      <c r="L444" t="s">
        <v>74</v>
      </c>
      <c r="M444" t="s">
        <v>78</v>
      </c>
      <c r="N444" t="s">
        <v>79</v>
      </c>
      <c r="O444" t="s">
        <v>74</v>
      </c>
      <c r="P444" t="s">
        <v>74</v>
      </c>
      <c r="Q444" t="s">
        <v>74</v>
      </c>
      <c r="R444" t="s">
        <v>74</v>
      </c>
      <c r="S444" t="s">
        <v>74</v>
      </c>
      <c r="T444" t="s">
        <v>74</v>
      </c>
      <c r="U444" t="s">
        <v>8609</v>
      </c>
      <c r="V444" t="s">
        <v>8610</v>
      </c>
      <c r="W444" t="s">
        <v>8611</v>
      </c>
      <c r="X444" t="s">
        <v>8495</v>
      </c>
      <c r="Y444" t="s">
        <v>8612</v>
      </c>
      <c r="Z444" t="s">
        <v>8613</v>
      </c>
      <c r="AA444" t="s">
        <v>8614</v>
      </c>
      <c r="AB444" t="s">
        <v>8615</v>
      </c>
      <c r="AC444" t="s">
        <v>8616</v>
      </c>
      <c r="AD444" t="s">
        <v>8617</v>
      </c>
      <c r="AE444" t="s">
        <v>8618</v>
      </c>
      <c r="AF444" t="s">
        <v>74</v>
      </c>
      <c r="AG444">
        <v>24</v>
      </c>
      <c r="AH444">
        <v>41</v>
      </c>
      <c r="AI444">
        <v>45</v>
      </c>
      <c r="AJ444">
        <v>0</v>
      </c>
      <c r="AK444">
        <v>14</v>
      </c>
      <c r="AL444" t="s">
        <v>118</v>
      </c>
      <c r="AM444" t="s">
        <v>119</v>
      </c>
      <c r="AN444" t="s">
        <v>120</v>
      </c>
      <c r="AO444" t="s">
        <v>454</v>
      </c>
      <c r="AP444" t="s">
        <v>74</v>
      </c>
      <c r="AQ444" t="s">
        <v>74</v>
      </c>
      <c r="AR444" t="s">
        <v>456</v>
      </c>
      <c r="AS444" t="s">
        <v>457</v>
      </c>
      <c r="AT444" t="s">
        <v>7117</v>
      </c>
      <c r="AU444">
        <v>2012</v>
      </c>
      <c r="AV444">
        <v>39</v>
      </c>
      <c r="AW444" t="s">
        <v>74</v>
      </c>
      <c r="AX444" t="s">
        <v>74</v>
      </c>
      <c r="AY444" t="s">
        <v>74</v>
      </c>
      <c r="AZ444" t="s">
        <v>74</v>
      </c>
      <c r="BA444" t="s">
        <v>74</v>
      </c>
      <c r="BB444" t="s">
        <v>74</v>
      </c>
      <c r="BC444" t="s">
        <v>74</v>
      </c>
      <c r="BD444" t="s">
        <v>8619</v>
      </c>
      <c r="BE444" t="s">
        <v>8620</v>
      </c>
      <c r="BF444" t="str">
        <f>HYPERLINK("http://dx.doi.org/10.1029/2012GL052856","http://dx.doi.org/10.1029/2012GL052856")</f>
        <v>http://dx.doi.org/10.1029/2012GL052856</v>
      </c>
      <c r="BG444" t="s">
        <v>74</v>
      </c>
      <c r="BH444" t="s">
        <v>74</v>
      </c>
      <c r="BI444">
        <v>6</v>
      </c>
      <c r="BJ444" t="s">
        <v>461</v>
      </c>
      <c r="BK444" t="s">
        <v>98</v>
      </c>
      <c r="BL444" t="s">
        <v>462</v>
      </c>
      <c r="BM444" t="s">
        <v>8621</v>
      </c>
      <c r="BN444" t="s">
        <v>74</v>
      </c>
      <c r="BO444" t="s">
        <v>5917</v>
      </c>
      <c r="BP444" t="s">
        <v>74</v>
      </c>
      <c r="BQ444" t="s">
        <v>74</v>
      </c>
      <c r="BR444" t="s">
        <v>101</v>
      </c>
      <c r="BS444" t="s">
        <v>8622</v>
      </c>
      <c r="BT444" t="str">
        <f>HYPERLINK("https%3A%2F%2Fwww.webofscience.com%2Fwos%2Fwoscc%2Ffull-record%2FWOS:000308308200001","View Full Record in Web of Science")</f>
        <v>View Full Record in Web of Science</v>
      </c>
    </row>
    <row r="445" spans="1:72" x14ac:dyDescent="0.15">
      <c r="A445" t="s">
        <v>72</v>
      </c>
      <c r="B445" t="s">
        <v>8623</v>
      </c>
      <c r="C445" t="s">
        <v>74</v>
      </c>
      <c r="D445" t="s">
        <v>74</v>
      </c>
      <c r="E445" t="s">
        <v>74</v>
      </c>
      <c r="F445" t="s">
        <v>8624</v>
      </c>
      <c r="G445" t="s">
        <v>74</v>
      </c>
      <c r="H445" t="s">
        <v>74</v>
      </c>
      <c r="I445" t="s">
        <v>8625</v>
      </c>
      <c r="J445" t="s">
        <v>2648</v>
      </c>
      <c r="K445" t="s">
        <v>74</v>
      </c>
      <c r="L445" t="s">
        <v>74</v>
      </c>
      <c r="M445" t="s">
        <v>78</v>
      </c>
      <c r="N445" t="s">
        <v>79</v>
      </c>
      <c r="O445" t="s">
        <v>74</v>
      </c>
      <c r="P445" t="s">
        <v>74</v>
      </c>
      <c r="Q445" t="s">
        <v>74</v>
      </c>
      <c r="R445" t="s">
        <v>74</v>
      </c>
      <c r="S445" t="s">
        <v>74</v>
      </c>
      <c r="T445" t="s">
        <v>8626</v>
      </c>
      <c r="U445" t="s">
        <v>8627</v>
      </c>
      <c r="V445" t="s">
        <v>8628</v>
      </c>
      <c r="W445" t="s">
        <v>8629</v>
      </c>
      <c r="X445" t="s">
        <v>8630</v>
      </c>
      <c r="Y445" t="s">
        <v>8631</v>
      </c>
      <c r="Z445" t="s">
        <v>8632</v>
      </c>
      <c r="AA445" t="s">
        <v>8633</v>
      </c>
      <c r="AB445" t="s">
        <v>8634</v>
      </c>
      <c r="AC445" t="s">
        <v>8635</v>
      </c>
      <c r="AD445" t="s">
        <v>8636</v>
      </c>
      <c r="AE445" t="s">
        <v>8637</v>
      </c>
      <c r="AF445" t="s">
        <v>74</v>
      </c>
      <c r="AG445">
        <v>78</v>
      </c>
      <c r="AH445">
        <v>84</v>
      </c>
      <c r="AI445">
        <v>86</v>
      </c>
      <c r="AJ445">
        <v>15</v>
      </c>
      <c r="AK445">
        <v>417</v>
      </c>
      <c r="AL445" t="s">
        <v>898</v>
      </c>
      <c r="AM445" t="s">
        <v>899</v>
      </c>
      <c r="AN445" t="s">
        <v>900</v>
      </c>
      <c r="AO445" t="s">
        <v>2661</v>
      </c>
      <c r="AP445" t="s">
        <v>2662</v>
      </c>
      <c r="AQ445" t="s">
        <v>74</v>
      </c>
      <c r="AR445" t="s">
        <v>2663</v>
      </c>
      <c r="AS445" t="s">
        <v>2664</v>
      </c>
      <c r="AT445" t="s">
        <v>7061</v>
      </c>
      <c r="AU445">
        <v>2012</v>
      </c>
      <c r="AV445">
        <v>18</v>
      </c>
      <c r="AW445">
        <v>9</v>
      </c>
      <c r="AX445" t="s">
        <v>74</v>
      </c>
      <c r="AY445" t="s">
        <v>74</v>
      </c>
      <c r="AZ445" t="s">
        <v>74</v>
      </c>
      <c r="BA445" t="s">
        <v>74</v>
      </c>
      <c r="BB445">
        <v>2756</v>
      </c>
      <c r="BC445">
        <v>2770</v>
      </c>
      <c r="BD445" t="s">
        <v>74</v>
      </c>
      <c r="BE445" t="s">
        <v>8638</v>
      </c>
      <c r="BF445" t="str">
        <f>HYPERLINK("http://dx.doi.org/10.1111/j.1365-2486.2012.02744.x","http://dx.doi.org/10.1111/j.1365-2486.2012.02744.x")</f>
        <v>http://dx.doi.org/10.1111/j.1365-2486.2012.02744.x</v>
      </c>
      <c r="BG445" t="s">
        <v>74</v>
      </c>
      <c r="BH445" t="s">
        <v>74</v>
      </c>
      <c r="BI445">
        <v>15</v>
      </c>
      <c r="BJ445" t="s">
        <v>2203</v>
      </c>
      <c r="BK445" t="s">
        <v>98</v>
      </c>
      <c r="BL445" t="s">
        <v>1880</v>
      </c>
      <c r="BM445" t="s">
        <v>8639</v>
      </c>
      <c r="BN445">
        <v>24501054</v>
      </c>
      <c r="BO445" t="s">
        <v>74</v>
      </c>
      <c r="BP445" t="s">
        <v>74</v>
      </c>
      <c r="BQ445" t="s">
        <v>74</v>
      </c>
      <c r="BR445" t="s">
        <v>101</v>
      </c>
      <c r="BS445" t="s">
        <v>8640</v>
      </c>
      <c r="BT445" t="str">
        <f>HYPERLINK("https%3A%2F%2Fwww.webofscience.com%2Fwos%2Fwoscc%2Ffull-record%2FWOS:000307222700008","View Full Record in Web of Science")</f>
        <v>View Full Record in Web of Science</v>
      </c>
    </row>
    <row r="446" spans="1:72" x14ac:dyDescent="0.15">
      <c r="A446" t="s">
        <v>72</v>
      </c>
      <c r="B446" t="s">
        <v>8641</v>
      </c>
      <c r="C446" t="s">
        <v>74</v>
      </c>
      <c r="D446" t="s">
        <v>74</v>
      </c>
      <c r="E446" t="s">
        <v>74</v>
      </c>
      <c r="F446" t="s">
        <v>8642</v>
      </c>
      <c r="G446" t="s">
        <v>74</v>
      </c>
      <c r="H446" t="s">
        <v>74</v>
      </c>
      <c r="I446" t="s">
        <v>8643</v>
      </c>
      <c r="J446" t="s">
        <v>7827</v>
      </c>
      <c r="K446" t="s">
        <v>74</v>
      </c>
      <c r="L446" t="s">
        <v>74</v>
      </c>
      <c r="M446" t="s">
        <v>78</v>
      </c>
      <c r="N446" t="s">
        <v>79</v>
      </c>
      <c r="O446" t="s">
        <v>74</v>
      </c>
      <c r="P446" t="s">
        <v>74</v>
      </c>
      <c r="Q446" t="s">
        <v>74</v>
      </c>
      <c r="R446" t="s">
        <v>74</v>
      </c>
      <c r="S446" t="s">
        <v>74</v>
      </c>
      <c r="T446" t="s">
        <v>8644</v>
      </c>
      <c r="U446" t="s">
        <v>8645</v>
      </c>
      <c r="V446" t="s">
        <v>8646</v>
      </c>
      <c r="W446" t="s">
        <v>8647</v>
      </c>
      <c r="X446" t="s">
        <v>8648</v>
      </c>
      <c r="Y446" t="s">
        <v>8649</v>
      </c>
      <c r="Z446" t="s">
        <v>8650</v>
      </c>
      <c r="AA446" t="s">
        <v>74</v>
      </c>
      <c r="AB446" t="s">
        <v>8651</v>
      </c>
      <c r="AC446" t="s">
        <v>8652</v>
      </c>
      <c r="AD446" t="s">
        <v>8652</v>
      </c>
      <c r="AE446" t="s">
        <v>8653</v>
      </c>
      <c r="AF446" t="s">
        <v>74</v>
      </c>
      <c r="AG446">
        <v>56</v>
      </c>
      <c r="AH446">
        <v>23</v>
      </c>
      <c r="AI446">
        <v>24</v>
      </c>
      <c r="AJ446">
        <v>2</v>
      </c>
      <c r="AK446">
        <v>76</v>
      </c>
      <c r="AL446" t="s">
        <v>1771</v>
      </c>
      <c r="AM446" t="s">
        <v>90</v>
      </c>
      <c r="AN446" t="s">
        <v>1772</v>
      </c>
      <c r="AO446" t="s">
        <v>7839</v>
      </c>
      <c r="AP446" t="s">
        <v>7840</v>
      </c>
      <c r="AQ446" t="s">
        <v>74</v>
      </c>
      <c r="AR446" t="s">
        <v>7841</v>
      </c>
      <c r="AS446" t="s">
        <v>7842</v>
      </c>
      <c r="AT446" t="s">
        <v>7061</v>
      </c>
      <c r="AU446">
        <v>2012</v>
      </c>
      <c r="AV446">
        <v>69</v>
      </c>
      <c r="AW446">
        <v>8</v>
      </c>
      <c r="AX446" t="s">
        <v>74</v>
      </c>
      <c r="AY446" t="s">
        <v>74</v>
      </c>
      <c r="AZ446" t="s">
        <v>74</v>
      </c>
      <c r="BA446" t="s">
        <v>74</v>
      </c>
      <c r="BB446">
        <v>1382</v>
      </c>
      <c r="BC446">
        <v>1393</v>
      </c>
      <c r="BD446" t="s">
        <v>74</v>
      </c>
      <c r="BE446" t="s">
        <v>8654</v>
      </c>
      <c r="BF446" t="str">
        <f>HYPERLINK("http://dx.doi.org/10.1093/icesjms/fss100","http://dx.doi.org/10.1093/icesjms/fss100")</f>
        <v>http://dx.doi.org/10.1093/icesjms/fss100</v>
      </c>
      <c r="BG446" t="s">
        <v>74</v>
      </c>
      <c r="BH446" t="s">
        <v>74</v>
      </c>
      <c r="BI446">
        <v>12</v>
      </c>
      <c r="BJ446" t="s">
        <v>7844</v>
      </c>
      <c r="BK446" t="s">
        <v>98</v>
      </c>
      <c r="BL446" t="s">
        <v>7844</v>
      </c>
      <c r="BM446" t="s">
        <v>8655</v>
      </c>
      <c r="BN446" t="s">
        <v>74</v>
      </c>
      <c r="BO446" t="s">
        <v>607</v>
      </c>
      <c r="BP446" t="s">
        <v>74</v>
      </c>
      <c r="BQ446" t="s">
        <v>74</v>
      </c>
      <c r="BR446" t="s">
        <v>101</v>
      </c>
      <c r="BS446" t="s">
        <v>8656</v>
      </c>
      <c r="BT446" t="str">
        <f>HYPERLINK("https%3A%2F%2Fwww.webofscience.com%2Fwos%2Fwoscc%2Ffull-record%2FWOS:000308012200007","View Full Record in Web of Science")</f>
        <v>View Full Record in Web of Science</v>
      </c>
    </row>
    <row r="447" spans="1:72" x14ac:dyDescent="0.15">
      <c r="A447" t="s">
        <v>72</v>
      </c>
      <c r="B447" t="s">
        <v>8657</v>
      </c>
      <c r="C447" t="s">
        <v>74</v>
      </c>
      <c r="D447" t="s">
        <v>74</v>
      </c>
      <c r="E447" t="s">
        <v>74</v>
      </c>
      <c r="F447" t="s">
        <v>8658</v>
      </c>
      <c r="G447" t="s">
        <v>74</v>
      </c>
      <c r="H447" t="s">
        <v>74</v>
      </c>
      <c r="I447" t="s">
        <v>8659</v>
      </c>
      <c r="J447" t="s">
        <v>8660</v>
      </c>
      <c r="K447" t="s">
        <v>74</v>
      </c>
      <c r="L447" t="s">
        <v>74</v>
      </c>
      <c r="M447" t="s">
        <v>78</v>
      </c>
      <c r="N447" t="s">
        <v>974</v>
      </c>
      <c r="O447" t="s">
        <v>74</v>
      </c>
      <c r="P447" t="s">
        <v>74</v>
      </c>
      <c r="Q447" t="s">
        <v>74</v>
      </c>
      <c r="R447" t="s">
        <v>74</v>
      </c>
      <c r="S447" t="s">
        <v>74</v>
      </c>
      <c r="T447" t="s">
        <v>8661</v>
      </c>
      <c r="U447" t="s">
        <v>8662</v>
      </c>
      <c r="V447" t="s">
        <v>8663</v>
      </c>
      <c r="W447" t="s">
        <v>8664</v>
      </c>
      <c r="X447" t="s">
        <v>8665</v>
      </c>
      <c r="Y447" t="s">
        <v>8666</v>
      </c>
      <c r="Z447" t="s">
        <v>8667</v>
      </c>
      <c r="AA447" t="s">
        <v>74</v>
      </c>
      <c r="AB447" t="s">
        <v>74</v>
      </c>
      <c r="AC447" t="s">
        <v>8668</v>
      </c>
      <c r="AD447" t="s">
        <v>8669</v>
      </c>
      <c r="AE447" t="s">
        <v>8670</v>
      </c>
      <c r="AF447" t="s">
        <v>74</v>
      </c>
      <c r="AG447">
        <v>114</v>
      </c>
      <c r="AH447">
        <v>166</v>
      </c>
      <c r="AI447">
        <v>180</v>
      </c>
      <c r="AJ447">
        <v>5</v>
      </c>
      <c r="AK447">
        <v>148</v>
      </c>
      <c r="AL447" t="s">
        <v>3018</v>
      </c>
      <c r="AM447" t="s">
        <v>3019</v>
      </c>
      <c r="AN447" t="s">
        <v>3020</v>
      </c>
      <c r="AO447" t="s">
        <v>74</v>
      </c>
      <c r="AP447" t="s">
        <v>8671</v>
      </c>
      <c r="AQ447" t="s">
        <v>74</v>
      </c>
      <c r="AR447" t="s">
        <v>8672</v>
      </c>
      <c r="AS447" t="s">
        <v>8673</v>
      </c>
      <c r="AT447" t="s">
        <v>7061</v>
      </c>
      <c r="AU447">
        <v>2012</v>
      </c>
      <c r="AV447">
        <v>13</v>
      </c>
      <c r="AW447">
        <v>9</v>
      </c>
      <c r="AX447" t="s">
        <v>74</v>
      </c>
      <c r="AY447" t="s">
        <v>74</v>
      </c>
      <c r="AZ447" t="s">
        <v>74</v>
      </c>
      <c r="BA447" t="s">
        <v>74</v>
      </c>
      <c r="BB447">
        <v>11643</v>
      </c>
      <c r="BC447">
        <v>11665</v>
      </c>
      <c r="BD447" t="s">
        <v>74</v>
      </c>
      <c r="BE447" t="s">
        <v>8674</v>
      </c>
      <c r="BF447" t="str">
        <f>HYPERLINK("http://dx.doi.org/10.3390/ijms130911643","http://dx.doi.org/10.3390/ijms130911643")</f>
        <v>http://dx.doi.org/10.3390/ijms130911643</v>
      </c>
      <c r="BG447" t="s">
        <v>74</v>
      </c>
      <c r="BH447" t="s">
        <v>74</v>
      </c>
      <c r="BI447">
        <v>23</v>
      </c>
      <c r="BJ447" t="s">
        <v>8675</v>
      </c>
      <c r="BK447" t="s">
        <v>98</v>
      </c>
      <c r="BL447" t="s">
        <v>4777</v>
      </c>
      <c r="BM447" t="s">
        <v>8676</v>
      </c>
      <c r="BN447">
        <v>23109875</v>
      </c>
      <c r="BO447" t="s">
        <v>626</v>
      </c>
      <c r="BP447" t="s">
        <v>74</v>
      </c>
      <c r="BQ447" t="s">
        <v>74</v>
      </c>
      <c r="BR447" t="s">
        <v>101</v>
      </c>
      <c r="BS447" t="s">
        <v>8677</v>
      </c>
      <c r="BT447" t="str">
        <f>HYPERLINK("https%3A%2F%2Fwww.webofscience.com%2Fwos%2Fwoscc%2Ffull-record%2FWOS:000309272700061","View Full Record in Web of Science")</f>
        <v>View Full Record in Web of Science</v>
      </c>
    </row>
    <row r="448" spans="1:72" x14ac:dyDescent="0.15">
      <c r="A448" t="s">
        <v>72</v>
      </c>
      <c r="B448" t="s">
        <v>8678</v>
      </c>
      <c r="C448" t="s">
        <v>74</v>
      </c>
      <c r="D448" t="s">
        <v>74</v>
      </c>
      <c r="E448" t="s">
        <v>74</v>
      </c>
      <c r="F448" t="s">
        <v>8679</v>
      </c>
      <c r="G448" t="s">
        <v>74</v>
      </c>
      <c r="H448" t="s">
        <v>74</v>
      </c>
      <c r="I448" t="s">
        <v>8680</v>
      </c>
      <c r="J448" t="s">
        <v>1417</v>
      </c>
      <c r="K448" t="s">
        <v>74</v>
      </c>
      <c r="L448" t="s">
        <v>74</v>
      </c>
      <c r="M448" t="s">
        <v>78</v>
      </c>
      <c r="N448" t="s">
        <v>79</v>
      </c>
      <c r="O448" t="s">
        <v>74</v>
      </c>
      <c r="P448" t="s">
        <v>74</v>
      </c>
      <c r="Q448" t="s">
        <v>74</v>
      </c>
      <c r="R448" t="s">
        <v>74</v>
      </c>
      <c r="S448" t="s">
        <v>74</v>
      </c>
      <c r="T448" t="s">
        <v>74</v>
      </c>
      <c r="U448" t="s">
        <v>8681</v>
      </c>
      <c r="V448" t="s">
        <v>8682</v>
      </c>
      <c r="W448" t="s">
        <v>8683</v>
      </c>
      <c r="X448" t="s">
        <v>8684</v>
      </c>
      <c r="Y448" t="s">
        <v>8685</v>
      </c>
      <c r="Z448" t="s">
        <v>8686</v>
      </c>
      <c r="AA448" t="s">
        <v>8687</v>
      </c>
      <c r="AB448" t="s">
        <v>8688</v>
      </c>
      <c r="AC448" t="s">
        <v>8689</v>
      </c>
      <c r="AD448" t="s">
        <v>8690</v>
      </c>
      <c r="AE448" t="s">
        <v>8691</v>
      </c>
      <c r="AF448" t="s">
        <v>74</v>
      </c>
      <c r="AG448">
        <v>77</v>
      </c>
      <c r="AH448">
        <v>165</v>
      </c>
      <c r="AI448">
        <v>178</v>
      </c>
      <c r="AJ448">
        <v>0</v>
      </c>
      <c r="AK448">
        <v>71</v>
      </c>
      <c r="AL448" t="s">
        <v>1429</v>
      </c>
      <c r="AM448" t="s">
        <v>1430</v>
      </c>
      <c r="AN448" t="s">
        <v>1431</v>
      </c>
      <c r="AO448" t="s">
        <v>1432</v>
      </c>
      <c r="AP448" t="s">
        <v>1433</v>
      </c>
      <c r="AQ448" t="s">
        <v>74</v>
      </c>
      <c r="AR448" t="s">
        <v>1434</v>
      </c>
      <c r="AS448" t="s">
        <v>1435</v>
      </c>
      <c r="AT448" t="s">
        <v>7117</v>
      </c>
      <c r="AU448">
        <v>2012</v>
      </c>
      <c r="AV448">
        <v>25</v>
      </c>
      <c r="AW448">
        <v>17</v>
      </c>
      <c r="AX448" t="s">
        <v>74</v>
      </c>
      <c r="AY448" t="s">
        <v>74</v>
      </c>
      <c r="AZ448" t="s">
        <v>74</v>
      </c>
      <c r="BA448" t="s">
        <v>74</v>
      </c>
      <c r="BB448">
        <v>5830</v>
      </c>
      <c r="BC448">
        <v>5844</v>
      </c>
      <c r="BD448" t="s">
        <v>74</v>
      </c>
      <c r="BE448" t="s">
        <v>8692</v>
      </c>
      <c r="BF448" t="str">
        <f>HYPERLINK("http://dx.doi.org/10.1175/JCLI-D-11-00612.1","http://dx.doi.org/10.1175/JCLI-D-11-00612.1")</f>
        <v>http://dx.doi.org/10.1175/JCLI-D-11-00612.1</v>
      </c>
      <c r="BG448" t="s">
        <v>74</v>
      </c>
      <c r="BH448" t="s">
        <v>74</v>
      </c>
      <c r="BI448">
        <v>15</v>
      </c>
      <c r="BJ448" t="s">
        <v>378</v>
      </c>
      <c r="BK448" t="s">
        <v>98</v>
      </c>
      <c r="BL448" t="s">
        <v>378</v>
      </c>
      <c r="BM448" t="s">
        <v>7605</v>
      </c>
      <c r="BN448" t="s">
        <v>74</v>
      </c>
      <c r="BO448" t="s">
        <v>607</v>
      </c>
      <c r="BP448" t="s">
        <v>74</v>
      </c>
      <c r="BQ448" t="s">
        <v>74</v>
      </c>
      <c r="BR448" t="s">
        <v>101</v>
      </c>
      <c r="BS448" t="s">
        <v>8693</v>
      </c>
      <c r="BT448" t="str">
        <f>HYPERLINK("https%3A%2F%2Fwww.webofscience.com%2Fwos%2Fwoscc%2Ffull-record%2FWOS:000308633500013","View Full Record in Web of Science")</f>
        <v>View Full Record in Web of Science</v>
      </c>
    </row>
    <row r="449" spans="1:72" x14ac:dyDescent="0.15">
      <c r="A449" t="s">
        <v>72</v>
      </c>
      <c r="B449" t="s">
        <v>8694</v>
      </c>
      <c r="C449" t="s">
        <v>74</v>
      </c>
      <c r="D449" t="s">
        <v>74</v>
      </c>
      <c r="E449" t="s">
        <v>74</v>
      </c>
      <c r="F449" t="s">
        <v>8695</v>
      </c>
      <c r="G449" t="s">
        <v>74</v>
      </c>
      <c r="H449" t="s">
        <v>74</v>
      </c>
      <c r="I449" t="s">
        <v>8696</v>
      </c>
      <c r="J449" t="s">
        <v>8697</v>
      </c>
      <c r="K449" t="s">
        <v>74</v>
      </c>
      <c r="L449" t="s">
        <v>74</v>
      </c>
      <c r="M449" t="s">
        <v>78</v>
      </c>
      <c r="N449" t="s">
        <v>79</v>
      </c>
      <c r="O449" t="s">
        <v>74</v>
      </c>
      <c r="P449" t="s">
        <v>74</v>
      </c>
      <c r="Q449" t="s">
        <v>74</v>
      </c>
      <c r="R449" t="s">
        <v>74</v>
      </c>
      <c r="S449" t="s">
        <v>74</v>
      </c>
      <c r="T449" t="s">
        <v>74</v>
      </c>
      <c r="U449" t="s">
        <v>8698</v>
      </c>
      <c r="V449" t="s">
        <v>8699</v>
      </c>
      <c r="W449" t="s">
        <v>8700</v>
      </c>
      <c r="X449" t="s">
        <v>8701</v>
      </c>
      <c r="Y449" t="s">
        <v>8702</v>
      </c>
      <c r="Z449" t="s">
        <v>8703</v>
      </c>
      <c r="AA449" t="s">
        <v>8704</v>
      </c>
      <c r="AB449" t="s">
        <v>8705</v>
      </c>
      <c r="AC449" t="s">
        <v>8706</v>
      </c>
      <c r="AD449" t="s">
        <v>8707</v>
      </c>
      <c r="AE449" t="s">
        <v>8708</v>
      </c>
      <c r="AF449" t="s">
        <v>74</v>
      </c>
      <c r="AG449">
        <v>55</v>
      </c>
      <c r="AH449">
        <v>24</v>
      </c>
      <c r="AI449">
        <v>24</v>
      </c>
      <c r="AJ449">
        <v>2</v>
      </c>
      <c r="AK449">
        <v>15</v>
      </c>
      <c r="AL449" t="s">
        <v>8709</v>
      </c>
      <c r="AM449" t="s">
        <v>8710</v>
      </c>
      <c r="AN449" t="s">
        <v>8711</v>
      </c>
      <c r="AO449" t="s">
        <v>8712</v>
      </c>
      <c r="AP449" t="s">
        <v>8713</v>
      </c>
      <c r="AQ449" t="s">
        <v>74</v>
      </c>
      <c r="AR449" t="s">
        <v>8714</v>
      </c>
      <c r="AS449" t="s">
        <v>8715</v>
      </c>
      <c r="AT449" t="s">
        <v>7061</v>
      </c>
      <c r="AU449">
        <v>2012</v>
      </c>
      <c r="AV449">
        <v>120</v>
      </c>
      <c r="AW449">
        <v>5</v>
      </c>
      <c r="AX449" t="s">
        <v>74</v>
      </c>
      <c r="AY449" t="s">
        <v>74</v>
      </c>
      <c r="AZ449" t="s">
        <v>74</v>
      </c>
      <c r="BA449" t="s">
        <v>74</v>
      </c>
      <c r="BB449">
        <v>507</v>
      </c>
      <c r="BC449">
        <v>530</v>
      </c>
      <c r="BD449" t="s">
        <v>74</v>
      </c>
      <c r="BE449" t="s">
        <v>8716</v>
      </c>
      <c r="BF449" t="str">
        <f>HYPERLINK("http://dx.doi.org/10.1086/666876","http://dx.doi.org/10.1086/666876")</f>
        <v>http://dx.doi.org/10.1086/666876</v>
      </c>
      <c r="BG449" t="s">
        <v>74</v>
      </c>
      <c r="BH449" t="s">
        <v>74</v>
      </c>
      <c r="BI449">
        <v>24</v>
      </c>
      <c r="BJ449" t="s">
        <v>462</v>
      </c>
      <c r="BK449" t="s">
        <v>98</v>
      </c>
      <c r="BL449" t="s">
        <v>462</v>
      </c>
      <c r="BM449" t="s">
        <v>8717</v>
      </c>
      <c r="BN449" t="s">
        <v>74</v>
      </c>
      <c r="BO449" t="s">
        <v>8441</v>
      </c>
      <c r="BP449" t="s">
        <v>74</v>
      </c>
      <c r="BQ449" t="s">
        <v>74</v>
      </c>
      <c r="BR449" t="s">
        <v>101</v>
      </c>
      <c r="BS449" t="s">
        <v>8718</v>
      </c>
      <c r="BT449" t="str">
        <f>HYPERLINK("https%3A%2F%2Fwww.webofscience.com%2Fwos%2Fwoscc%2Ffull-record%2FWOS:000308068300002","View Full Record in Web of Science")</f>
        <v>View Full Record in Web of Science</v>
      </c>
    </row>
    <row r="450" spans="1:72" x14ac:dyDescent="0.15">
      <c r="A450" t="s">
        <v>72</v>
      </c>
      <c r="B450" t="s">
        <v>8719</v>
      </c>
      <c r="C450" t="s">
        <v>74</v>
      </c>
      <c r="D450" t="s">
        <v>74</v>
      </c>
      <c r="E450" t="s">
        <v>74</v>
      </c>
      <c r="F450" t="s">
        <v>8720</v>
      </c>
      <c r="G450" t="s">
        <v>74</v>
      </c>
      <c r="H450" t="s">
        <v>74</v>
      </c>
      <c r="I450" t="s">
        <v>8721</v>
      </c>
      <c r="J450" t="s">
        <v>8722</v>
      </c>
      <c r="K450" t="s">
        <v>74</v>
      </c>
      <c r="L450" t="s">
        <v>74</v>
      </c>
      <c r="M450" t="s">
        <v>78</v>
      </c>
      <c r="N450" t="s">
        <v>79</v>
      </c>
      <c r="O450" t="s">
        <v>74</v>
      </c>
      <c r="P450" t="s">
        <v>74</v>
      </c>
      <c r="Q450" t="s">
        <v>74</v>
      </c>
      <c r="R450" t="s">
        <v>74</v>
      </c>
      <c r="S450" t="s">
        <v>74</v>
      </c>
      <c r="T450" t="s">
        <v>8723</v>
      </c>
      <c r="U450" t="s">
        <v>8724</v>
      </c>
      <c r="V450" t="s">
        <v>8725</v>
      </c>
      <c r="W450" t="s">
        <v>8726</v>
      </c>
      <c r="X450" t="s">
        <v>8727</v>
      </c>
      <c r="Y450" t="s">
        <v>8728</v>
      </c>
      <c r="Z450" t="s">
        <v>8729</v>
      </c>
      <c r="AA450" t="s">
        <v>8730</v>
      </c>
      <c r="AB450" t="s">
        <v>8731</v>
      </c>
      <c r="AC450" t="s">
        <v>8732</v>
      </c>
      <c r="AD450" t="s">
        <v>8733</v>
      </c>
      <c r="AE450" t="s">
        <v>8734</v>
      </c>
      <c r="AF450" t="s">
        <v>74</v>
      </c>
      <c r="AG450">
        <v>77</v>
      </c>
      <c r="AH450">
        <v>72</v>
      </c>
      <c r="AI450">
        <v>87</v>
      </c>
      <c r="AJ450">
        <v>2</v>
      </c>
      <c r="AK450">
        <v>67</v>
      </c>
      <c r="AL450" t="s">
        <v>188</v>
      </c>
      <c r="AM450" t="s">
        <v>189</v>
      </c>
      <c r="AN450" t="s">
        <v>190</v>
      </c>
      <c r="AO450" t="s">
        <v>8735</v>
      </c>
      <c r="AP450" t="s">
        <v>8736</v>
      </c>
      <c r="AQ450" t="s">
        <v>74</v>
      </c>
      <c r="AR450" t="s">
        <v>8737</v>
      </c>
      <c r="AS450" t="s">
        <v>8738</v>
      </c>
      <c r="AT450" t="s">
        <v>7117</v>
      </c>
      <c r="AU450">
        <v>2012</v>
      </c>
      <c r="AV450" t="s">
        <v>8739</v>
      </c>
      <c r="AW450" t="s">
        <v>74</v>
      </c>
      <c r="AX450" t="s">
        <v>74</v>
      </c>
      <c r="AY450" t="s">
        <v>74</v>
      </c>
      <c r="AZ450" t="s">
        <v>74</v>
      </c>
      <c r="BA450" t="s">
        <v>74</v>
      </c>
      <c r="BB450">
        <v>26</v>
      </c>
      <c r="BC450">
        <v>39</v>
      </c>
      <c r="BD450" t="s">
        <v>74</v>
      </c>
      <c r="BE450" t="s">
        <v>8740</v>
      </c>
      <c r="BF450" t="str">
        <f>HYPERLINK("http://dx.doi.org/10.1016/j.jmarsys.2012.03.003","http://dx.doi.org/10.1016/j.jmarsys.2012.03.003")</f>
        <v>http://dx.doi.org/10.1016/j.jmarsys.2012.03.003</v>
      </c>
      <c r="BG450" t="s">
        <v>74</v>
      </c>
      <c r="BH450" t="s">
        <v>74</v>
      </c>
      <c r="BI450">
        <v>14</v>
      </c>
      <c r="BJ450" t="s">
        <v>8741</v>
      </c>
      <c r="BK450" t="s">
        <v>98</v>
      </c>
      <c r="BL450" t="s">
        <v>8742</v>
      </c>
      <c r="BM450" t="s">
        <v>8743</v>
      </c>
      <c r="BN450" t="s">
        <v>74</v>
      </c>
      <c r="BO450" t="s">
        <v>1254</v>
      </c>
      <c r="BP450" t="s">
        <v>74</v>
      </c>
      <c r="BQ450" t="s">
        <v>74</v>
      </c>
      <c r="BR450" t="s">
        <v>101</v>
      </c>
      <c r="BS450" t="s">
        <v>8744</v>
      </c>
      <c r="BT450" t="str">
        <f>HYPERLINK("https%3A%2F%2Fwww.webofscience.com%2Fwos%2Fwoscc%2Ffull-record%2FWOS:000304286300004","View Full Record in Web of Science")</f>
        <v>View Full Record in Web of Science</v>
      </c>
    </row>
    <row r="451" spans="1:72" x14ac:dyDescent="0.15">
      <c r="A451" t="s">
        <v>72</v>
      </c>
      <c r="B451" t="s">
        <v>8745</v>
      </c>
      <c r="C451" t="s">
        <v>74</v>
      </c>
      <c r="D451" t="s">
        <v>74</v>
      </c>
      <c r="E451" t="s">
        <v>74</v>
      </c>
      <c r="F451" t="s">
        <v>8746</v>
      </c>
      <c r="G451" t="s">
        <v>74</v>
      </c>
      <c r="H451" t="s">
        <v>74</v>
      </c>
      <c r="I451" t="s">
        <v>8747</v>
      </c>
      <c r="J451" t="s">
        <v>8722</v>
      </c>
      <c r="K451" t="s">
        <v>74</v>
      </c>
      <c r="L451" t="s">
        <v>74</v>
      </c>
      <c r="M451" t="s">
        <v>78</v>
      </c>
      <c r="N451" t="s">
        <v>79</v>
      </c>
      <c r="O451" t="s">
        <v>74</v>
      </c>
      <c r="P451" t="s">
        <v>74</v>
      </c>
      <c r="Q451" t="s">
        <v>74</v>
      </c>
      <c r="R451" t="s">
        <v>74</v>
      </c>
      <c r="S451" t="s">
        <v>74</v>
      </c>
      <c r="T451" t="s">
        <v>8748</v>
      </c>
      <c r="U451" t="s">
        <v>8749</v>
      </c>
      <c r="V451" t="s">
        <v>8750</v>
      </c>
      <c r="W451" t="s">
        <v>8751</v>
      </c>
      <c r="X451" t="s">
        <v>8752</v>
      </c>
      <c r="Y451" t="s">
        <v>8753</v>
      </c>
      <c r="Z451" t="s">
        <v>8754</v>
      </c>
      <c r="AA451" t="s">
        <v>8755</v>
      </c>
      <c r="AB451" t="s">
        <v>8756</v>
      </c>
      <c r="AC451" t="s">
        <v>8757</v>
      </c>
      <c r="AD451" t="s">
        <v>8758</v>
      </c>
      <c r="AE451" t="s">
        <v>8759</v>
      </c>
      <c r="AF451" t="s">
        <v>74</v>
      </c>
      <c r="AG451">
        <v>84</v>
      </c>
      <c r="AH451">
        <v>9</v>
      </c>
      <c r="AI451">
        <v>10</v>
      </c>
      <c r="AJ451">
        <v>1</v>
      </c>
      <c r="AK451">
        <v>14</v>
      </c>
      <c r="AL451" t="s">
        <v>259</v>
      </c>
      <c r="AM451" t="s">
        <v>189</v>
      </c>
      <c r="AN451" t="s">
        <v>260</v>
      </c>
      <c r="AO451" t="s">
        <v>8735</v>
      </c>
      <c r="AP451" t="s">
        <v>8736</v>
      </c>
      <c r="AQ451" t="s">
        <v>74</v>
      </c>
      <c r="AR451" t="s">
        <v>8737</v>
      </c>
      <c r="AS451" t="s">
        <v>8738</v>
      </c>
      <c r="AT451" t="s">
        <v>7117</v>
      </c>
      <c r="AU451">
        <v>2012</v>
      </c>
      <c r="AV451" t="s">
        <v>8739</v>
      </c>
      <c r="AW451" t="s">
        <v>74</v>
      </c>
      <c r="AX451" t="s">
        <v>74</v>
      </c>
      <c r="AY451" t="s">
        <v>74</v>
      </c>
      <c r="AZ451" t="s">
        <v>74</v>
      </c>
      <c r="BA451" t="s">
        <v>74</v>
      </c>
      <c r="BB451">
        <v>40</v>
      </c>
      <c r="BC451">
        <v>50</v>
      </c>
      <c r="BD451" t="s">
        <v>74</v>
      </c>
      <c r="BE451" t="s">
        <v>8760</v>
      </c>
      <c r="BF451" t="str">
        <f>HYPERLINK("http://dx.doi.org/10.1016/j.jmarsys.2012.03.005","http://dx.doi.org/10.1016/j.jmarsys.2012.03.005")</f>
        <v>http://dx.doi.org/10.1016/j.jmarsys.2012.03.005</v>
      </c>
      <c r="BG451" t="s">
        <v>74</v>
      </c>
      <c r="BH451" t="s">
        <v>74</v>
      </c>
      <c r="BI451">
        <v>11</v>
      </c>
      <c r="BJ451" t="s">
        <v>8741</v>
      </c>
      <c r="BK451" t="s">
        <v>98</v>
      </c>
      <c r="BL451" t="s">
        <v>8742</v>
      </c>
      <c r="BM451" t="s">
        <v>8743</v>
      </c>
      <c r="BN451" t="s">
        <v>74</v>
      </c>
      <c r="BO451" t="s">
        <v>74</v>
      </c>
      <c r="BP451" t="s">
        <v>74</v>
      </c>
      <c r="BQ451" t="s">
        <v>74</v>
      </c>
      <c r="BR451" t="s">
        <v>101</v>
      </c>
      <c r="BS451" t="s">
        <v>8761</v>
      </c>
      <c r="BT451" t="str">
        <f>HYPERLINK("https%3A%2F%2Fwww.webofscience.com%2Fwos%2Fwoscc%2Ffull-record%2FWOS:000304286300005","View Full Record in Web of Science")</f>
        <v>View Full Record in Web of Science</v>
      </c>
    </row>
    <row r="452" spans="1:72" x14ac:dyDescent="0.15">
      <c r="A452" t="s">
        <v>72</v>
      </c>
      <c r="B452" t="s">
        <v>8762</v>
      </c>
      <c r="C452" t="s">
        <v>74</v>
      </c>
      <c r="D452" t="s">
        <v>74</v>
      </c>
      <c r="E452" t="s">
        <v>74</v>
      </c>
      <c r="F452" t="s">
        <v>8763</v>
      </c>
      <c r="G452" t="s">
        <v>74</v>
      </c>
      <c r="H452" t="s">
        <v>74</v>
      </c>
      <c r="I452" t="s">
        <v>8764</v>
      </c>
      <c r="J452" t="s">
        <v>1567</v>
      </c>
      <c r="K452" t="s">
        <v>74</v>
      </c>
      <c r="L452" t="s">
        <v>74</v>
      </c>
      <c r="M452" t="s">
        <v>78</v>
      </c>
      <c r="N452" t="s">
        <v>79</v>
      </c>
      <c r="O452" t="s">
        <v>74</v>
      </c>
      <c r="P452" t="s">
        <v>74</v>
      </c>
      <c r="Q452" t="s">
        <v>74</v>
      </c>
      <c r="R452" t="s">
        <v>74</v>
      </c>
      <c r="S452" t="s">
        <v>74</v>
      </c>
      <c r="T452" t="s">
        <v>74</v>
      </c>
      <c r="U452" t="s">
        <v>8765</v>
      </c>
      <c r="V452" t="s">
        <v>8766</v>
      </c>
      <c r="W452" t="s">
        <v>8767</v>
      </c>
      <c r="X452" t="s">
        <v>8768</v>
      </c>
      <c r="Y452" t="s">
        <v>8769</v>
      </c>
      <c r="Z452" t="s">
        <v>8770</v>
      </c>
      <c r="AA452" t="s">
        <v>8771</v>
      </c>
      <c r="AB452" t="s">
        <v>8772</v>
      </c>
      <c r="AC452" t="s">
        <v>8773</v>
      </c>
      <c r="AD452" t="s">
        <v>8774</v>
      </c>
      <c r="AE452" t="s">
        <v>8775</v>
      </c>
      <c r="AF452" t="s">
        <v>74</v>
      </c>
      <c r="AG452">
        <v>32</v>
      </c>
      <c r="AH452">
        <v>51</v>
      </c>
      <c r="AI452">
        <v>60</v>
      </c>
      <c r="AJ452">
        <v>0</v>
      </c>
      <c r="AK452">
        <v>16</v>
      </c>
      <c r="AL452" t="s">
        <v>1429</v>
      </c>
      <c r="AM452" t="s">
        <v>1430</v>
      </c>
      <c r="AN452" t="s">
        <v>1431</v>
      </c>
      <c r="AO452" t="s">
        <v>1579</v>
      </c>
      <c r="AP452" t="s">
        <v>1580</v>
      </c>
      <c r="AQ452" t="s">
        <v>74</v>
      </c>
      <c r="AR452" t="s">
        <v>1581</v>
      </c>
      <c r="AS452" t="s">
        <v>1582</v>
      </c>
      <c r="AT452" t="s">
        <v>7061</v>
      </c>
      <c r="AU452">
        <v>2012</v>
      </c>
      <c r="AV452">
        <v>42</v>
      </c>
      <c r="AW452">
        <v>9</v>
      </c>
      <c r="AX452" t="s">
        <v>74</v>
      </c>
      <c r="AY452" t="s">
        <v>74</v>
      </c>
      <c r="AZ452" t="s">
        <v>74</v>
      </c>
      <c r="BA452" t="s">
        <v>74</v>
      </c>
      <c r="BB452">
        <v>1461</v>
      </c>
      <c r="BC452">
        <v>1474</v>
      </c>
      <c r="BD452" t="s">
        <v>74</v>
      </c>
      <c r="BE452" t="s">
        <v>8776</v>
      </c>
      <c r="BF452" t="str">
        <f>HYPERLINK("http://dx.doi.org/10.1175/JPO-D-11-041.1","http://dx.doi.org/10.1175/JPO-D-11-041.1")</f>
        <v>http://dx.doi.org/10.1175/JPO-D-11-041.1</v>
      </c>
      <c r="BG452" t="s">
        <v>74</v>
      </c>
      <c r="BH452" t="s">
        <v>74</v>
      </c>
      <c r="BI452">
        <v>14</v>
      </c>
      <c r="BJ452" t="s">
        <v>941</v>
      </c>
      <c r="BK452" t="s">
        <v>98</v>
      </c>
      <c r="BL452" t="s">
        <v>941</v>
      </c>
      <c r="BM452" t="s">
        <v>7622</v>
      </c>
      <c r="BN452" t="s">
        <v>74</v>
      </c>
      <c r="BO452" t="s">
        <v>380</v>
      </c>
      <c r="BP452" t="s">
        <v>74</v>
      </c>
      <c r="BQ452" t="s">
        <v>74</v>
      </c>
      <c r="BR452" t="s">
        <v>101</v>
      </c>
      <c r="BS452" t="s">
        <v>8777</v>
      </c>
      <c r="BT452" t="str">
        <f>HYPERLINK("https%3A%2F%2Fwww.webofscience.com%2Fwos%2Fwoscc%2Ffull-record%2FWOS:000309018500005","View Full Record in Web of Science")</f>
        <v>View Full Record in Web of Science</v>
      </c>
    </row>
    <row r="453" spans="1:72" x14ac:dyDescent="0.15">
      <c r="A453" t="s">
        <v>72</v>
      </c>
      <c r="B453" t="s">
        <v>8778</v>
      </c>
      <c r="C453" t="s">
        <v>74</v>
      </c>
      <c r="D453" t="s">
        <v>74</v>
      </c>
      <c r="E453" t="s">
        <v>74</v>
      </c>
      <c r="F453" t="s">
        <v>8779</v>
      </c>
      <c r="G453" t="s">
        <v>74</v>
      </c>
      <c r="H453" t="s">
        <v>74</v>
      </c>
      <c r="I453" t="s">
        <v>8780</v>
      </c>
      <c r="J453" t="s">
        <v>8781</v>
      </c>
      <c r="K453" t="s">
        <v>74</v>
      </c>
      <c r="L453" t="s">
        <v>74</v>
      </c>
      <c r="M453" t="s">
        <v>78</v>
      </c>
      <c r="N453" t="s">
        <v>79</v>
      </c>
      <c r="O453" t="s">
        <v>74</v>
      </c>
      <c r="P453" t="s">
        <v>74</v>
      </c>
      <c r="Q453" t="s">
        <v>74</v>
      </c>
      <c r="R453" t="s">
        <v>74</v>
      </c>
      <c r="S453" t="s">
        <v>74</v>
      </c>
      <c r="T453" t="s">
        <v>8782</v>
      </c>
      <c r="U453" t="s">
        <v>8783</v>
      </c>
      <c r="V453" t="s">
        <v>8784</v>
      </c>
      <c r="W453" t="s">
        <v>8785</v>
      </c>
      <c r="X453" t="s">
        <v>8786</v>
      </c>
      <c r="Y453" t="s">
        <v>8787</v>
      </c>
      <c r="Z453" t="s">
        <v>8788</v>
      </c>
      <c r="AA453" t="s">
        <v>8789</v>
      </c>
      <c r="AB453" t="s">
        <v>8790</v>
      </c>
      <c r="AC453" t="s">
        <v>8791</v>
      </c>
      <c r="AD453" t="s">
        <v>8792</v>
      </c>
      <c r="AE453" t="s">
        <v>8793</v>
      </c>
      <c r="AF453" t="s">
        <v>74</v>
      </c>
      <c r="AG453">
        <v>66</v>
      </c>
      <c r="AH453">
        <v>42</v>
      </c>
      <c r="AI453">
        <v>43</v>
      </c>
      <c r="AJ453">
        <v>0</v>
      </c>
      <c r="AK453">
        <v>34</v>
      </c>
      <c r="AL453" t="s">
        <v>2780</v>
      </c>
      <c r="AM453" t="s">
        <v>1959</v>
      </c>
      <c r="AN453" t="s">
        <v>7697</v>
      </c>
      <c r="AO453" t="s">
        <v>8794</v>
      </c>
      <c r="AP453" t="s">
        <v>8795</v>
      </c>
      <c r="AQ453" t="s">
        <v>74</v>
      </c>
      <c r="AR453" t="s">
        <v>8781</v>
      </c>
      <c r="AS453" t="s">
        <v>8796</v>
      </c>
      <c r="AT453" t="s">
        <v>7061</v>
      </c>
      <c r="AU453">
        <v>2012</v>
      </c>
      <c r="AV453">
        <v>44</v>
      </c>
      <c r="AW453">
        <v>5</v>
      </c>
      <c r="AX453" t="s">
        <v>74</v>
      </c>
      <c r="AY453" t="s">
        <v>74</v>
      </c>
      <c r="AZ453" t="s">
        <v>74</v>
      </c>
      <c r="BA453" t="s">
        <v>74</v>
      </c>
      <c r="BB453">
        <v>661</v>
      </c>
      <c r="BC453">
        <v>678</v>
      </c>
      <c r="BD453" t="s">
        <v>74</v>
      </c>
      <c r="BE453" t="s">
        <v>8797</v>
      </c>
      <c r="BF453" t="str">
        <f>HYPERLINK("http://dx.doi.org/10.1017/S0024282912000291","http://dx.doi.org/10.1017/S0024282912000291")</f>
        <v>http://dx.doi.org/10.1017/S0024282912000291</v>
      </c>
      <c r="BG453" t="s">
        <v>74</v>
      </c>
      <c r="BH453" t="s">
        <v>74</v>
      </c>
      <c r="BI453">
        <v>18</v>
      </c>
      <c r="BJ453" t="s">
        <v>8798</v>
      </c>
      <c r="BK453" t="s">
        <v>98</v>
      </c>
      <c r="BL453" t="s">
        <v>8798</v>
      </c>
      <c r="BM453" t="s">
        <v>8799</v>
      </c>
      <c r="BN453" t="s">
        <v>74</v>
      </c>
      <c r="BO453" t="s">
        <v>74</v>
      </c>
      <c r="BP453" t="s">
        <v>74</v>
      </c>
      <c r="BQ453" t="s">
        <v>74</v>
      </c>
      <c r="BR453" t="s">
        <v>101</v>
      </c>
      <c r="BS453" t="s">
        <v>8800</v>
      </c>
      <c r="BT453" t="str">
        <f>HYPERLINK("https%3A%2F%2Fwww.webofscience.com%2Fwos%2Fwoscc%2Ffull-record%2FWOS:000309729700010","View Full Record in Web of Science")</f>
        <v>View Full Record in Web of Science</v>
      </c>
    </row>
    <row r="454" spans="1:72" x14ac:dyDescent="0.15">
      <c r="A454" t="s">
        <v>72</v>
      </c>
      <c r="B454" t="s">
        <v>8801</v>
      </c>
      <c r="C454" t="s">
        <v>74</v>
      </c>
      <c r="D454" t="s">
        <v>74</v>
      </c>
      <c r="E454" t="s">
        <v>74</v>
      </c>
      <c r="F454" t="s">
        <v>8802</v>
      </c>
      <c r="G454" t="s">
        <v>74</v>
      </c>
      <c r="H454" t="s">
        <v>74</v>
      </c>
      <c r="I454" t="s">
        <v>8803</v>
      </c>
      <c r="J454" t="s">
        <v>5922</v>
      </c>
      <c r="K454" t="s">
        <v>74</v>
      </c>
      <c r="L454" t="s">
        <v>74</v>
      </c>
      <c r="M454" t="s">
        <v>78</v>
      </c>
      <c r="N454" t="s">
        <v>79</v>
      </c>
      <c r="O454" t="s">
        <v>74</v>
      </c>
      <c r="P454" t="s">
        <v>74</v>
      </c>
      <c r="Q454" t="s">
        <v>74</v>
      </c>
      <c r="R454" t="s">
        <v>74</v>
      </c>
      <c r="S454" t="s">
        <v>74</v>
      </c>
      <c r="T454" t="s">
        <v>74</v>
      </c>
      <c r="U454" t="s">
        <v>8804</v>
      </c>
      <c r="V454" t="s">
        <v>8805</v>
      </c>
      <c r="W454" t="s">
        <v>8806</v>
      </c>
      <c r="X454" t="s">
        <v>8807</v>
      </c>
      <c r="Y454" t="s">
        <v>8808</v>
      </c>
      <c r="Z454" t="s">
        <v>8809</v>
      </c>
      <c r="AA454" t="s">
        <v>8810</v>
      </c>
      <c r="AB454" t="s">
        <v>8811</v>
      </c>
      <c r="AC454" t="s">
        <v>8812</v>
      </c>
      <c r="AD454" t="s">
        <v>8812</v>
      </c>
      <c r="AE454" t="s">
        <v>8813</v>
      </c>
      <c r="AF454" t="s">
        <v>74</v>
      </c>
      <c r="AG454">
        <v>77</v>
      </c>
      <c r="AH454">
        <v>27</v>
      </c>
      <c r="AI454">
        <v>28</v>
      </c>
      <c r="AJ454">
        <v>0</v>
      </c>
      <c r="AK454">
        <v>48</v>
      </c>
      <c r="AL454" t="s">
        <v>4767</v>
      </c>
      <c r="AM454" t="s">
        <v>4768</v>
      </c>
      <c r="AN454" t="s">
        <v>4769</v>
      </c>
      <c r="AO454" t="s">
        <v>5933</v>
      </c>
      <c r="AP454" t="s">
        <v>5934</v>
      </c>
      <c r="AQ454" t="s">
        <v>74</v>
      </c>
      <c r="AR454" t="s">
        <v>5935</v>
      </c>
      <c r="AS454" t="s">
        <v>5936</v>
      </c>
      <c r="AT454" t="s">
        <v>7061</v>
      </c>
      <c r="AU454">
        <v>2012</v>
      </c>
      <c r="AV454">
        <v>159</v>
      </c>
      <c r="AW454">
        <v>9</v>
      </c>
      <c r="AX454" t="s">
        <v>74</v>
      </c>
      <c r="AY454" t="s">
        <v>74</v>
      </c>
      <c r="AZ454" t="s">
        <v>74</v>
      </c>
      <c r="BA454" t="s">
        <v>74</v>
      </c>
      <c r="BB454">
        <v>2035</v>
      </c>
      <c r="BC454">
        <v>2049</v>
      </c>
      <c r="BD454" t="s">
        <v>74</v>
      </c>
      <c r="BE454" t="s">
        <v>8814</v>
      </c>
      <c r="BF454" t="str">
        <f>HYPERLINK("http://dx.doi.org/10.1007/s00227-012-1990-x","http://dx.doi.org/10.1007/s00227-012-1990-x")</f>
        <v>http://dx.doi.org/10.1007/s00227-012-1990-x</v>
      </c>
      <c r="BG454" t="s">
        <v>74</v>
      </c>
      <c r="BH454" t="s">
        <v>74</v>
      </c>
      <c r="BI454">
        <v>15</v>
      </c>
      <c r="BJ454" t="s">
        <v>1753</v>
      </c>
      <c r="BK454" t="s">
        <v>98</v>
      </c>
      <c r="BL454" t="s">
        <v>1753</v>
      </c>
      <c r="BM454" t="s">
        <v>8815</v>
      </c>
      <c r="BN454" t="s">
        <v>74</v>
      </c>
      <c r="BO454" t="s">
        <v>74</v>
      </c>
      <c r="BP454" t="s">
        <v>74</v>
      </c>
      <c r="BQ454" t="s">
        <v>74</v>
      </c>
      <c r="BR454" t="s">
        <v>101</v>
      </c>
      <c r="BS454" t="s">
        <v>8816</v>
      </c>
      <c r="BT454" t="str">
        <f>HYPERLINK("https%3A%2F%2Fwww.webofscience.com%2Fwos%2Fwoscc%2Ffull-record%2FWOS:000308066400015","View Full Record in Web of Science")</f>
        <v>View Full Record in Web of Science</v>
      </c>
    </row>
    <row r="455" spans="1:72" x14ac:dyDescent="0.15">
      <c r="A455" t="s">
        <v>72</v>
      </c>
      <c r="B455" t="s">
        <v>8817</v>
      </c>
      <c r="C455" t="s">
        <v>74</v>
      </c>
      <c r="D455" t="s">
        <v>74</v>
      </c>
      <c r="E455" t="s">
        <v>74</v>
      </c>
      <c r="F455" t="s">
        <v>8818</v>
      </c>
      <c r="G455" t="s">
        <v>74</v>
      </c>
      <c r="H455" t="s">
        <v>74</v>
      </c>
      <c r="I455" t="s">
        <v>8819</v>
      </c>
      <c r="J455" t="s">
        <v>7899</v>
      </c>
      <c r="K455" t="s">
        <v>74</v>
      </c>
      <c r="L455" t="s">
        <v>74</v>
      </c>
      <c r="M455" t="s">
        <v>78</v>
      </c>
      <c r="N455" t="s">
        <v>79</v>
      </c>
      <c r="O455" t="s">
        <v>74</v>
      </c>
      <c r="P455" t="s">
        <v>74</v>
      </c>
      <c r="Q455" t="s">
        <v>74</v>
      </c>
      <c r="R455" t="s">
        <v>74</v>
      </c>
      <c r="S455" t="s">
        <v>74</v>
      </c>
      <c r="T455" t="s">
        <v>8820</v>
      </c>
      <c r="U455" t="s">
        <v>8821</v>
      </c>
      <c r="V455" t="s">
        <v>8822</v>
      </c>
      <c r="W455" t="s">
        <v>8823</v>
      </c>
      <c r="X455" t="s">
        <v>8824</v>
      </c>
      <c r="Y455" t="s">
        <v>8825</v>
      </c>
      <c r="Z455" t="s">
        <v>8826</v>
      </c>
      <c r="AA455" t="s">
        <v>74</v>
      </c>
      <c r="AB455" t="s">
        <v>8827</v>
      </c>
      <c r="AC455" t="s">
        <v>8828</v>
      </c>
      <c r="AD455" t="s">
        <v>5910</v>
      </c>
      <c r="AE455" t="s">
        <v>74</v>
      </c>
      <c r="AF455" t="s">
        <v>74</v>
      </c>
      <c r="AG455">
        <v>70</v>
      </c>
      <c r="AH455">
        <v>13</v>
      </c>
      <c r="AI455">
        <v>18</v>
      </c>
      <c r="AJ455">
        <v>2</v>
      </c>
      <c r="AK455">
        <v>42</v>
      </c>
      <c r="AL455" t="s">
        <v>188</v>
      </c>
      <c r="AM455" t="s">
        <v>189</v>
      </c>
      <c r="AN455" t="s">
        <v>190</v>
      </c>
      <c r="AO455" t="s">
        <v>7910</v>
      </c>
      <c r="AP455" t="s">
        <v>7911</v>
      </c>
      <c r="AQ455" t="s">
        <v>74</v>
      </c>
      <c r="AR455" t="s">
        <v>7912</v>
      </c>
      <c r="AS455" t="s">
        <v>7913</v>
      </c>
      <c r="AT455" t="s">
        <v>7061</v>
      </c>
      <c r="AU455">
        <v>2012</v>
      </c>
      <c r="AV455" t="s">
        <v>7914</v>
      </c>
      <c r="AW455" t="s">
        <v>74</v>
      </c>
      <c r="AX455" t="s">
        <v>74</v>
      </c>
      <c r="AY455" t="s">
        <v>74</v>
      </c>
      <c r="AZ455" t="s">
        <v>74</v>
      </c>
      <c r="BA455" t="s">
        <v>74</v>
      </c>
      <c r="BB455">
        <v>40</v>
      </c>
      <c r="BC455">
        <v>51</v>
      </c>
      <c r="BD455" t="s">
        <v>74</v>
      </c>
      <c r="BE455" t="s">
        <v>8829</v>
      </c>
      <c r="BF455" t="str">
        <f>HYPERLINK("http://dx.doi.org/10.1016/j.marmicro.2012.05.001","http://dx.doi.org/10.1016/j.marmicro.2012.05.001")</f>
        <v>http://dx.doi.org/10.1016/j.marmicro.2012.05.001</v>
      </c>
      <c r="BG455" t="s">
        <v>74</v>
      </c>
      <c r="BH455" t="s">
        <v>74</v>
      </c>
      <c r="BI455">
        <v>12</v>
      </c>
      <c r="BJ455" t="s">
        <v>4200</v>
      </c>
      <c r="BK455" t="s">
        <v>98</v>
      </c>
      <c r="BL455" t="s">
        <v>4200</v>
      </c>
      <c r="BM455" t="s">
        <v>7916</v>
      </c>
      <c r="BN455" t="s">
        <v>74</v>
      </c>
      <c r="BO455" t="s">
        <v>74</v>
      </c>
      <c r="BP455" t="s">
        <v>74</v>
      </c>
      <c r="BQ455" t="s">
        <v>74</v>
      </c>
      <c r="BR455" t="s">
        <v>101</v>
      </c>
      <c r="BS455" t="s">
        <v>8830</v>
      </c>
      <c r="BT455" t="str">
        <f>HYPERLINK("https%3A%2F%2Fwww.webofscience.com%2Fwos%2Fwoscc%2Ffull-record%2FWOS:000308061400004","View Full Record in Web of Science")</f>
        <v>View Full Record in Web of Science</v>
      </c>
    </row>
    <row r="456" spans="1:72" x14ac:dyDescent="0.15">
      <c r="A456" t="s">
        <v>72</v>
      </c>
      <c r="B456" t="s">
        <v>8831</v>
      </c>
      <c r="C456" t="s">
        <v>74</v>
      </c>
      <c r="D456" t="s">
        <v>74</v>
      </c>
      <c r="E456" t="s">
        <v>74</v>
      </c>
      <c r="F456" t="s">
        <v>8832</v>
      </c>
      <c r="G456" t="s">
        <v>74</v>
      </c>
      <c r="H456" t="s">
        <v>74</v>
      </c>
      <c r="I456" t="s">
        <v>8833</v>
      </c>
      <c r="J456" t="s">
        <v>8834</v>
      </c>
      <c r="K456" t="s">
        <v>74</v>
      </c>
      <c r="L456" t="s">
        <v>74</v>
      </c>
      <c r="M456" t="s">
        <v>78</v>
      </c>
      <c r="N456" t="s">
        <v>79</v>
      </c>
      <c r="O456" t="s">
        <v>74</v>
      </c>
      <c r="P456" t="s">
        <v>74</v>
      </c>
      <c r="Q456" t="s">
        <v>74</v>
      </c>
      <c r="R456" t="s">
        <v>74</v>
      </c>
      <c r="S456" t="s">
        <v>74</v>
      </c>
      <c r="T456" t="s">
        <v>8835</v>
      </c>
      <c r="U456" t="s">
        <v>8836</v>
      </c>
      <c r="V456" t="s">
        <v>8837</v>
      </c>
      <c r="W456" t="s">
        <v>8838</v>
      </c>
      <c r="X456" t="s">
        <v>8839</v>
      </c>
      <c r="Y456" t="s">
        <v>8840</v>
      </c>
      <c r="Z456" t="s">
        <v>8841</v>
      </c>
      <c r="AA456" t="s">
        <v>8842</v>
      </c>
      <c r="AB456" t="s">
        <v>8843</v>
      </c>
      <c r="AC456" t="s">
        <v>8844</v>
      </c>
      <c r="AD456" t="s">
        <v>8845</v>
      </c>
      <c r="AE456" t="s">
        <v>8846</v>
      </c>
      <c r="AF456" t="s">
        <v>74</v>
      </c>
      <c r="AG456">
        <v>60</v>
      </c>
      <c r="AH456">
        <v>20</v>
      </c>
      <c r="AI456">
        <v>21</v>
      </c>
      <c r="AJ456">
        <v>0</v>
      </c>
      <c r="AK456">
        <v>35</v>
      </c>
      <c r="AL456" t="s">
        <v>898</v>
      </c>
      <c r="AM456" t="s">
        <v>899</v>
      </c>
      <c r="AN456" t="s">
        <v>900</v>
      </c>
      <c r="AO456" t="s">
        <v>8847</v>
      </c>
      <c r="AP456" t="s">
        <v>8848</v>
      </c>
      <c r="AQ456" t="s">
        <v>74</v>
      </c>
      <c r="AR456" t="s">
        <v>8849</v>
      </c>
      <c r="AS456" t="s">
        <v>8850</v>
      </c>
      <c r="AT456" t="s">
        <v>7061</v>
      </c>
      <c r="AU456">
        <v>2012</v>
      </c>
      <c r="AV456">
        <v>12</v>
      </c>
      <c r="AW456">
        <v>5</v>
      </c>
      <c r="AX456" t="s">
        <v>74</v>
      </c>
      <c r="AY456" t="s">
        <v>74</v>
      </c>
      <c r="AZ456" t="s">
        <v>74</v>
      </c>
      <c r="BA456" t="s">
        <v>74</v>
      </c>
      <c r="BB456">
        <v>861</v>
      </c>
      <c r="BC456">
        <v>872</v>
      </c>
      <c r="BD456" t="s">
        <v>74</v>
      </c>
      <c r="BE456" t="s">
        <v>8851</v>
      </c>
      <c r="BF456" t="str">
        <f>HYPERLINK("http://dx.doi.org/10.1111/j.1755-0998.2012.03158.x","http://dx.doi.org/10.1111/j.1755-0998.2012.03158.x")</f>
        <v>http://dx.doi.org/10.1111/j.1755-0998.2012.03158.x</v>
      </c>
      <c r="BG456" t="s">
        <v>74</v>
      </c>
      <c r="BH456" t="s">
        <v>74</v>
      </c>
      <c r="BI456">
        <v>12</v>
      </c>
      <c r="BJ456" t="s">
        <v>8852</v>
      </c>
      <c r="BK456" t="s">
        <v>98</v>
      </c>
      <c r="BL456" t="s">
        <v>8853</v>
      </c>
      <c r="BM456" t="s">
        <v>8854</v>
      </c>
      <c r="BN456">
        <v>22727236</v>
      </c>
      <c r="BO456" t="s">
        <v>74</v>
      </c>
      <c r="BP456" t="s">
        <v>74</v>
      </c>
      <c r="BQ456" t="s">
        <v>74</v>
      </c>
      <c r="BR456" t="s">
        <v>101</v>
      </c>
      <c r="BS456" t="s">
        <v>8855</v>
      </c>
      <c r="BT456" t="str">
        <f>HYPERLINK("https%3A%2F%2Fwww.webofscience.com%2Fwos%2Fwoscc%2Ffull-record%2FWOS:000307927700010","View Full Record in Web of Science")</f>
        <v>View Full Record in Web of Science</v>
      </c>
    </row>
    <row r="457" spans="1:72" x14ac:dyDescent="0.15">
      <c r="A457" t="s">
        <v>72</v>
      </c>
      <c r="B457" t="s">
        <v>8856</v>
      </c>
      <c r="C457" t="s">
        <v>74</v>
      </c>
      <c r="D457" t="s">
        <v>74</v>
      </c>
      <c r="E457" t="s">
        <v>74</v>
      </c>
      <c r="F457" t="s">
        <v>8857</v>
      </c>
      <c r="G457" t="s">
        <v>74</v>
      </c>
      <c r="H457" t="s">
        <v>74</v>
      </c>
      <c r="I457" t="s">
        <v>8858</v>
      </c>
      <c r="J457" t="s">
        <v>2828</v>
      </c>
      <c r="K457" t="s">
        <v>74</v>
      </c>
      <c r="L457" t="s">
        <v>74</v>
      </c>
      <c r="M457" t="s">
        <v>78</v>
      </c>
      <c r="N457" t="s">
        <v>79</v>
      </c>
      <c r="O457" t="s">
        <v>74</v>
      </c>
      <c r="P457" t="s">
        <v>74</v>
      </c>
      <c r="Q457" t="s">
        <v>74</v>
      </c>
      <c r="R457" t="s">
        <v>74</v>
      </c>
      <c r="S457" t="s">
        <v>74</v>
      </c>
      <c r="T457" t="s">
        <v>74</v>
      </c>
      <c r="U457" t="s">
        <v>8859</v>
      </c>
      <c r="V457" t="s">
        <v>8860</v>
      </c>
      <c r="W457" t="s">
        <v>8861</v>
      </c>
      <c r="X457" t="s">
        <v>8862</v>
      </c>
      <c r="Y457" t="s">
        <v>8863</v>
      </c>
      <c r="Z457" t="s">
        <v>8864</v>
      </c>
      <c r="AA457" t="s">
        <v>8865</v>
      </c>
      <c r="AB457" t="s">
        <v>8866</v>
      </c>
      <c r="AC457" t="s">
        <v>8867</v>
      </c>
      <c r="AD457" t="s">
        <v>8868</v>
      </c>
      <c r="AE457" t="s">
        <v>8869</v>
      </c>
      <c r="AF457" t="s">
        <v>74</v>
      </c>
      <c r="AG457">
        <v>39</v>
      </c>
      <c r="AH457">
        <v>965</v>
      </c>
      <c r="AI457">
        <v>977</v>
      </c>
      <c r="AJ457">
        <v>19</v>
      </c>
      <c r="AK457">
        <v>664</v>
      </c>
      <c r="AL457" t="s">
        <v>433</v>
      </c>
      <c r="AM457" t="s">
        <v>434</v>
      </c>
      <c r="AN457" t="s">
        <v>435</v>
      </c>
      <c r="AO457" t="s">
        <v>2837</v>
      </c>
      <c r="AP457" t="s">
        <v>2838</v>
      </c>
      <c r="AQ457" t="s">
        <v>74</v>
      </c>
      <c r="AR457" t="s">
        <v>2839</v>
      </c>
      <c r="AS457" t="s">
        <v>2840</v>
      </c>
      <c r="AT457" t="s">
        <v>7061</v>
      </c>
      <c r="AU457">
        <v>2012</v>
      </c>
      <c r="AV457">
        <v>2</v>
      </c>
      <c r="AW457">
        <v>9</v>
      </c>
      <c r="AX457" t="s">
        <v>74</v>
      </c>
      <c r="AY457" t="s">
        <v>74</v>
      </c>
      <c r="AZ457" t="s">
        <v>74</v>
      </c>
      <c r="BA457" t="s">
        <v>74</v>
      </c>
      <c r="BB457">
        <v>686</v>
      </c>
      <c r="BC457">
        <v>690</v>
      </c>
      <c r="BD457" t="s">
        <v>74</v>
      </c>
      <c r="BE457" t="s">
        <v>8870</v>
      </c>
      <c r="BF457" t="str">
        <f>HYPERLINK("http://dx.doi.org/10.1038/NCLIMATE1539","http://dx.doi.org/10.1038/NCLIMATE1539")</f>
        <v>http://dx.doi.org/10.1038/NCLIMATE1539</v>
      </c>
      <c r="BG457" t="s">
        <v>74</v>
      </c>
      <c r="BH457" t="s">
        <v>74</v>
      </c>
      <c r="BI457">
        <v>5</v>
      </c>
      <c r="BJ457" t="s">
        <v>2842</v>
      </c>
      <c r="BK457" t="s">
        <v>2843</v>
      </c>
      <c r="BL457" t="s">
        <v>2844</v>
      </c>
      <c r="BM457" t="s">
        <v>8871</v>
      </c>
      <c r="BN457" t="s">
        <v>74</v>
      </c>
      <c r="BO457" t="s">
        <v>74</v>
      </c>
      <c r="BP457" t="s">
        <v>74</v>
      </c>
      <c r="BQ457" t="s">
        <v>74</v>
      </c>
      <c r="BR457" t="s">
        <v>101</v>
      </c>
      <c r="BS457" t="s">
        <v>8872</v>
      </c>
      <c r="BT457" t="str">
        <f>HYPERLINK("https%3A%2F%2Fwww.webofscience.com%2Fwos%2Fwoscc%2Ffull-record%2FWOS:000309029100016","View Full Record in Web of Science")</f>
        <v>View Full Record in Web of Science</v>
      </c>
    </row>
    <row r="458" spans="1:72" x14ac:dyDescent="0.15">
      <c r="A458" t="s">
        <v>72</v>
      </c>
      <c r="B458" t="s">
        <v>8873</v>
      </c>
      <c r="C458" t="s">
        <v>74</v>
      </c>
      <c r="D458" t="s">
        <v>74</v>
      </c>
      <c r="E458" t="s">
        <v>74</v>
      </c>
      <c r="F458" t="s">
        <v>8874</v>
      </c>
      <c r="G458" t="s">
        <v>74</v>
      </c>
      <c r="H458" t="s">
        <v>74</v>
      </c>
      <c r="I458" t="s">
        <v>8875</v>
      </c>
      <c r="J458" t="s">
        <v>2850</v>
      </c>
      <c r="K458" t="s">
        <v>74</v>
      </c>
      <c r="L458" t="s">
        <v>74</v>
      </c>
      <c r="M458" t="s">
        <v>78</v>
      </c>
      <c r="N458" t="s">
        <v>79</v>
      </c>
      <c r="O458" t="s">
        <v>74</v>
      </c>
      <c r="P458" t="s">
        <v>74</v>
      </c>
      <c r="Q458" t="s">
        <v>74</v>
      </c>
      <c r="R458" t="s">
        <v>74</v>
      </c>
      <c r="S458" t="s">
        <v>74</v>
      </c>
      <c r="T458" t="s">
        <v>74</v>
      </c>
      <c r="U458" t="s">
        <v>8876</v>
      </c>
      <c r="V458" t="s">
        <v>8877</v>
      </c>
      <c r="W458" t="s">
        <v>8878</v>
      </c>
      <c r="X458" t="s">
        <v>8879</v>
      </c>
      <c r="Y458" t="s">
        <v>8880</v>
      </c>
      <c r="Z458" t="s">
        <v>8881</v>
      </c>
      <c r="AA458" t="s">
        <v>74</v>
      </c>
      <c r="AB458" t="s">
        <v>8882</v>
      </c>
      <c r="AC458" t="s">
        <v>8883</v>
      </c>
      <c r="AD458" t="s">
        <v>8884</v>
      </c>
      <c r="AE458" t="s">
        <v>8885</v>
      </c>
      <c r="AF458" t="s">
        <v>74</v>
      </c>
      <c r="AG458">
        <v>30</v>
      </c>
      <c r="AH458">
        <v>89</v>
      </c>
      <c r="AI458">
        <v>99</v>
      </c>
      <c r="AJ458">
        <v>1</v>
      </c>
      <c r="AK458">
        <v>62</v>
      </c>
      <c r="AL458" t="s">
        <v>433</v>
      </c>
      <c r="AM458" t="s">
        <v>371</v>
      </c>
      <c r="AN458" t="s">
        <v>2862</v>
      </c>
      <c r="AO458" t="s">
        <v>2863</v>
      </c>
      <c r="AP458" t="s">
        <v>2864</v>
      </c>
      <c r="AQ458" t="s">
        <v>74</v>
      </c>
      <c r="AR458" t="s">
        <v>2865</v>
      </c>
      <c r="AS458" t="s">
        <v>2866</v>
      </c>
      <c r="AT458" t="s">
        <v>7061</v>
      </c>
      <c r="AU458">
        <v>2012</v>
      </c>
      <c r="AV458">
        <v>5</v>
      </c>
      <c r="AW458">
        <v>9</v>
      </c>
      <c r="AX458" t="s">
        <v>74</v>
      </c>
      <c r="AY458" t="s">
        <v>74</v>
      </c>
      <c r="AZ458" t="s">
        <v>74</v>
      </c>
      <c r="BA458" t="s">
        <v>74</v>
      </c>
      <c r="BB458">
        <v>627</v>
      </c>
      <c r="BC458">
        <v>630</v>
      </c>
      <c r="BD458" t="s">
        <v>74</v>
      </c>
      <c r="BE458" t="s">
        <v>8886</v>
      </c>
      <c r="BF458" t="str">
        <f>HYPERLINK("http://dx.doi.org/10.1038/NGEO1548","http://dx.doi.org/10.1038/NGEO1548")</f>
        <v>http://dx.doi.org/10.1038/NGEO1548</v>
      </c>
      <c r="BG458" t="s">
        <v>74</v>
      </c>
      <c r="BH458" t="s">
        <v>74</v>
      </c>
      <c r="BI458">
        <v>4</v>
      </c>
      <c r="BJ458" t="s">
        <v>461</v>
      </c>
      <c r="BK458" t="s">
        <v>98</v>
      </c>
      <c r="BL458" t="s">
        <v>462</v>
      </c>
      <c r="BM458" t="s">
        <v>7953</v>
      </c>
      <c r="BN458" t="s">
        <v>74</v>
      </c>
      <c r="BO458" t="s">
        <v>1499</v>
      </c>
      <c r="BP458" t="s">
        <v>74</v>
      </c>
      <c r="BQ458" t="s">
        <v>74</v>
      </c>
      <c r="BR458" t="s">
        <v>101</v>
      </c>
      <c r="BS458" t="s">
        <v>8887</v>
      </c>
      <c r="BT458" t="str">
        <f>HYPERLINK("https%3A%2F%2Fwww.webofscience.com%2Fwos%2Fwoscc%2Ffull-record%2FWOS:000308211300017","View Full Record in Web of Science")</f>
        <v>View Full Record in Web of Science</v>
      </c>
    </row>
    <row r="459" spans="1:72" x14ac:dyDescent="0.15">
      <c r="A459" t="s">
        <v>72</v>
      </c>
      <c r="B459" t="s">
        <v>8888</v>
      </c>
      <c r="C459" t="s">
        <v>74</v>
      </c>
      <c r="D459" t="s">
        <v>74</v>
      </c>
      <c r="E459" t="s">
        <v>74</v>
      </c>
      <c r="F459" t="s">
        <v>8889</v>
      </c>
      <c r="G459" t="s">
        <v>74</v>
      </c>
      <c r="H459" t="s">
        <v>74</v>
      </c>
      <c r="I459" t="s">
        <v>8890</v>
      </c>
      <c r="J459" t="s">
        <v>7338</v>
      </c>
      <c r="K459" t="s">
        <v>74</v>
      </c>
      <c r="L459" t="s">
        <v>74</v>
      </c>
      <c r="M459" t="s">
        <v>78</v>
      </c>
      <c r="N459" t="s">
        <v>2829</v>
      </c>
      <c r="O459" t="s">
        <v>74</v>
      </c>
      <c r="P459" t="s">
        <v>74</v>
      </c>
      <c r="Q459" t="s">
        <v>74</v>
      </c>
      <c r="R459" t="s">
        <v>74</v>
      </c>
      <c r="S459" t="s">
        <v>74</v>
      </c>
      <c r="T459" t="s">
        <v>74</v>
      </c>
      <c r="U459" t="s">
        <v>74</v>
      </c>
      <c r="V459" t="s">
        <v>74</v>
      </c>
      <c r="W459" t="s">
        <v>8891</v>
      </c>
      <c r="X459" t="s">
        <v>8892</v>
      </c>
      <c r="Y459" t="s">
        <v>8893</v>
      </c>
      <c r="Z459" t="s">
        <v>8894</v>
      </c>
      <c r="AA459" t="s">
        <v>74</v>
      </c>
      <c r="AB459" t="s">
        <v>74</v>
      </c>
      <c r="AC459" t="s">
        <v>74</v>
      </c>
      <c r="AD459" t="s">
        <v>74</v>
      </c>
      <c r="AE459" t="s">
        <v>74</v>
      </c>
      <c r="AF459" t="s">
        <v>74</v>
      </c>
      <c r="AG459">
        <v>10</v>
      </c>
      <c r="AH459">
        <v>1</v>
      </c>
      <c r="AI459">
        <v>1</v>
      </c>
      <c r="AJ459">
        <v>0</v>
      </c>
      <c r="AK459">
        <v>5</v>
      </c>
      <c r="AL459" t="s">
        <v>7350</v>
      </c>
      <c r="AM459" t="s">
        <v>7351</v>
      </c>
      <c r="AN459" t="s">
        <v>7352</v>
      </c>
      <c r="AO459" t="s">
        <v>7353</v>
      </c>
      <c r="AP459" t="s">
        <v>74</v>
      </c>
      <c r="AQ459" t="s">
        <v>74</v>
      </c>
      <c r="AR459" t="s">
        <v>7338</v>
      </c>
      <c r="AS459" t="s">
        <v>941</v>
      </c>
      <c r="AT459" t="s">
        <v>7061</v>
      </c>
      <c r="AU459">
        <v>2012</v>
      </c>
      <c r="AV459">
        <v>25</v>
      </c>
      <c r="AW459">
        <v>3</v>
      </c>
      <c r="AX459" t="s">
        <v>74</v>
      </c>
      <c r="AY459" t="s">
        <v>74</v>
      </c>
      <c r="AZ459" t="s">
        <v>1019</v>
      </c>
      <c r="BA459" t="s">
        <v>74</v>
      </c>
      <c r="BB459">
        <v>14</v>
      </c>
      <c r="BC459">
        <v>17</v>
      </c>
      <c r="BD459" t="s">
        <v>74</v>
      </c>
      <c r="BE459" t="s">
        <v>8895</v>
      </c>
      <c r="BF459" t="str">
        <f>HYPERLINK("http://dx.doi.org/10.5670/oceanog.2012.68","http://dx.doi.org/10.5670/oceanog.2012.68")</f>
        <v>http://dx.doi.org/10.5670/oceanog.2012.68</v>
      </c>
      <c r="BG459" t="s">
        <v>74</v>
      </c>
      <c r="BH459" t="s">
        <v>74</v>
      </c>
      <c r="BI459">
        <v>4</v>
      </c>
      <c r="BJ459" t="s">
        <v>941</v>
      </c>
      <c r="BK459" t="s">
        <v>98</v>
      </c>
      <c r="BL459" t="s">
        <v>941</v>
      </c>
      <c r="BM459" t="s">
        <v>7355</v>
      </c>
      <c r="BN459" t="s">
        <v>74</v>
      </c>
      <c r="BO459" t="s">
        <v>777</v>
      </c>
      <c r="BP459" t="s">
        <v>74</v>
      </c>
      <c r="BQ459" t="s">
        <v>74</v>
      </c>
      <c r="BR459" t="s">
        <v>101</v>
      </c>
      <c r="BS459" t="s">
        <v>8896</v>
      </c>
      <c r="BT459" t="str">
        <f>HYPERLINK("https%3A%2F%2Fwww.webofscience.com%2Fwos%2Fwoscc%2Ffull-record%2FWOS:000308774600004","View Full Record in Web of Science")</f>
        <v>View Full Record in Web of Science</v>
      </c>
    </row>
    <row r="460" spans="1:72" x14ac:dyDescent="0.15">
      <c r="A460" t="s">
        <v>72</v>
      </c>
      <c r="B460" t="s">
        <v>8897</v>
      </c>
      <c r="C460" t="s">
        <v>74</v>
      </c>
      <c r="D460" t="s">
        <v>74</v>
      </c>
      <c r="E460" t="s">
        <v>74</v>
      </c>
      <c r="F460" t="s">
        <v>8898</v>
      </c>
      <c r="G460" t="s">
        <v>74</v>
      </c>
      <c r="H460" t="s">
        <v>74</v>
      </c>
      <c r="I460" t="s">
        <v>8899</v>
      </c>
      <c r="J460" t="s">
        <v>7338</v>
      </c>
      <c r="K460" t="s">
        <v>74</v>
      </c>
      <c r="L460" t="s">
        <v>74</v>
      </c>
      <c r="M460" t="s">
        <v>78</v>
      </c>
      <c r="N460" t="s">
        <v>79</v>
      </c>
      <c r="O460" t="s">
        <v>74</v>
      </c>
      <c r="P460" t="s">
        <v>74</v>
      </c>
      <c r="Q460" t="s">
        <v>74</v>
      </c>
      <c r="R460" t="s">
        <v>74</v>
      </c>
      <c r="S460" t="s">
        <v>74</v>
      </c>
      <c r="T460" t="s">
        <v>74</v>
      </c>
      <c r="U460" t="s">
        <v>8900</v>
      </c>
      <c r="V460" t="s">
        <v>8901</v>
      </c>
      <c r="W460" t="s">
        <v>8902</v>
      </c>
      <c r="X460" t="s">
        <v>8903</v>
      </c>
      <c r="Y460" t="s">
        <v>8904</v>
      </c>
      <c r="Z460" t="s">
        <v>8905</v>
      </c>
      <c r="AA460" t="s">
        <v>8906</v>
      </c>
      <c r="AB460" t="s">
        <v>8907</v>
      </c>
      <c r="AC460" t="s">
        <v>8908</v>
      </c>
      <c r="AD460" t="s">
        <v>8909</v>
      </c>
      <c r="AE460" t="s">
        <v>8910</v>
      </c>
      <c r="AF460" t="s">
        <v>74</v>
      </c>
      <c r="AG460">
        <v>45</v>
      </c>
      <c r="AH460">
        <v>93</v>
      </c>
      <c r="AI460">
        <v>105</v>
      </c>
      <c r="AJ460">
        <v>1</v>
      </c>
      <c r="AK460">
        <v>79</v>
      </c>
      <c r="AL460" t="s">
        <v>7350</v>
      </c>
      <c r="AM460" t="s">
        <v>7351</v>
      </c>
      <c r="AN460" t="s">
        <v>7352</v>
      </c>
      <c r="AO460" t="s">
        <v>7353</v>
      </c>
      <c r="AP460" t="s">
        <v>74</v>
      </c>
      <c r="AQ460" t="s">
        <v>74</v>
      </c>
      <c r="AR460" t="s">
        <v>7338</v>
      </c>
      <c r="AS460" t="s">
        <v>941</v>
      </c>
      <c r="AT460" t="s">
        <v>7061</v>
      </c>
      <c r="AU460">
        <v>2012</v>
      </c>
      <c r="AV460">
        <v>25</v>
      </c>
      <c r="AW460">
        <v>3</v>
      </c>
      <c r="AX460" t="s">
        <v>74</v>
      </c>
      <c r="AY460" t="s">
        <v>74</v>
      </c>
      <c r="AZ460" t="s">
        <v>1019</v>
      </c>
      <c r="BA460" t="s">
        <v>74</v>
      </c>
      <c r="BB460">
        <v>26</v>
      </c>
      <c r="BC460">
        <v>37</v>
      </c>
      <c r="BD460" t="s">
        <v>74</v>
      </c>
      <c r="BE460" t="s">
        <v>8911</v>
      </c>
      <c r="BF460" t="str">
        <f>HYPERLINK("http://dx.doi.org/10.5670/oceanog.2012.71","http://dx.doi.org/10.5670/oceanog.2012.71")</f>
        <v>http://dx.doi.org/10.5670/oceanog.2012.71</v>
      </c>
      <c r="BG460" t="s">
        <v>74</v>
      </c>
      <c r="BH460" t="s">
        <v>74</v>
      </c>
      <c r="BI460">
        <v>12</v>
      </c>
      <c r="BJ460" t="s">
        <v>941</v>
      </c>
      <c r="BK460" t="s">
        <v>98</v>
      </c>
      <c r="BL460" t="s">
        <v>941</v>
      </c>
      <c r="BM460" t="s">
        <v>7355</v>
      </c>
      <c r="BN460" t="s">
        <v>74</v>
      </c>
      <c r="BO460" t="s">
        <v>3409</v>
      </c>
      <c r="BP460" t="s">
        <v>74</v>
      </c>
      <c r="BQ460" t="s">
        <v>74</v>
      </c>
      <c r="BR460" t="s">
        <v>101</v>
      </c>
      <c r="BS460" t="s">
        <v>8912</v>
      </c>
      <c r="BT460" t="str">
        <f>HYPERLINK("https%3A%2F%2Fwww.webofscience.com%2Fwos%2Fwoscc%2Ffull-record%2FWOS:000308774600007","View Full Record in Web of Science")</f>
        <v>View Full Record in Web of Science</v>
      </c>
    </row>
    <row r="461" spans="1:72" x14ac:dyDescent="0.15">
      <c r="A461" t="s">
        <v>72</v>
      </c>
      <c r="B461" t="s">
        <v>8913</v>
      </c>
      <c r="C461" t="s">
        <v>74</v>
      </c>
      <c r="D461" t="s">
        <v>74</v>
      </c>
      <c r="E461" t="s">
        <v>74</v>
      </c>
      <c r="F461" t="s">
        <v>8914</v>
      </c>
      <c r="G461" t="s">
        <v>74</v>
      </c>
      <c r="H461" t="s">
        <v>74</v>
      </c>
      <c r="I461" t="s">
        <v>8915</v>
      </c>
      <c r="J461" t="s">
        <v>7338</v>
      </c>
      <c r="K461" t="s">
        <v>74</v>
      </c>
      <c r="L461" t="s">
        <v>74</v>
      </c>
      <c r="M461" t="s">
        <v>78</v>
      </c>
      <c r="N461" t="s">
        <v>2829</v>
      </c>
      <c r="O461" t="s">
        <v>74</v>
      </c>
      <c r="P461" t="s">
        <v>74</v>
      </c>
      <c r="Q461" t="s">
        <v>74</v>
      </c>
      <c r="R461" t="s">
        <v>74</v>
      </c>
      <c r="S461" t="s">
        <v>74</v>
      </c>
      <c r="T461" t="s">
        <v>74</v>
      </c>
      <c r="U461" t="s">
        <v>74</v>
      </c>
      <c r="V461" t="s">
        <v>74</v>
      </c>
      <c r="W461" t="s">
        <v>8916</v>
      </c>
      <c r="X461" t="s">
        <v>8917</v>
      </c>
      <c r="Y461" t="s">
        <v>8918</v>
      </c>
      <c r="Z461" t="s">
        <v>8919</v>
      </c>
      <c r="AA461" t="s">
        <v>8920</v>
      </c>
      <c r="AB461" t="s">
        <v>8921</v>
      </c>
      <c r="AC461" t="s">
        <v>8922</v>
      </c>
      <c r="AD461" t="s">
        <v>2296</v>
      </c>
      <c r="AE461" t="s">
        <v>74</v>
      </c>
      <c r="AF461" t="s">
        <v>74</v>
      </c>
      <c r="AG461">
        <v>5</v>
      </c>
      <c r="AH461">
        <v>23</v>
      </c>
      <c r="AI461">
        <v>25</v>
      </c>
      <c r="AJ461">
        <v>0</v>
      </c>
      <c r="AK461">
        <v>24</v>
      </c>
      <c r="AL461" t="s">
        <v>7350</v>
      </c>
      <c r="AM461" t="s">
        <v>7351</v>
      </c>
      <c r="AN461" t="s">
        <v>7352</v>
      </c>
      <c r="AO461" t="s">
        <v>7353</v>
      </c>
      <c r="AP461" t="s">
        <v>74</v>
      </c>
      <c r="AQ461" t="s">
        <v>74</v>
      </c>
      <c r="AR461" t="s">
        <v>7338</v>
      </c>
      <c r="AS461" t="s">
        <v>941</v>
      </c>
      <c r="AT461" t="s">
        <v>7061</v>
      </c>
      <c r="AU461">
        <v>2012</v>
      </c>
      <c r="AV461">
        <v>25</v>
      </c>
      <c r="AW461">
        <v>3</v>
      </c>
      <c r="AX461" t="s">
        <v>74</v>
      </c>
      <c r="AY461" t="s">
        <v>74</v>
      </c>
      <c r="AZ461" t="s">
        <v>1019</v>
      </c>
      <c r="BA461" t="s">
        <v>74</v>
      </c>
      <c r="BB461">
        <v>38</v>
      </c>
      <c r="BC461">
        <v>39</v>
      </c>
      <c r="BD461" t="s">
        <v>74</v>
      </c>
      <c r="BE461" t="s">
        <v>8923</v>
      </c>
      <c r="BF461" t="str">
        <f>HYPERLINK("http://dx.doi.org/10.5670/oceanog.2012.72","http://dx.doi.org/10.5670/oceanog.2012.72")</f>
        <v>http://dx.doi.org/10.5670/oceanog.2012.72</v>
      </c>
      <c r="BG461" t="s">
        <v>74</v>
      </c>
      <c r="BH461" t="s">
        <v>74</v>
      </c>
      <c r="BI461">
        <v>2</v>
      </c>
      <c r="BJ461" t="s">
        <v>941</v>
      </c>
      <c r="BK461" t="s">
        <v>98</v>
      </c>
      <c r="BL461" t="s">
        <v>941</v>
      </c>
      <c r="BM461" t="s">
        <v>7355</v>
      </c>
      <c r="BN461" t="s">
        <v>74</v>
      </c>
      <c r="BO461" t="s">
        <v>998</v>
      </c>
      <c r="BP461" t="s">
        <v>74</v>
      </c>
      <c r="BQ461" t="s">
        <v>74</v>
      </c>
      <c r="BR461" t="s">
        <v>101</v>
      </c>
      <c r="BS461" t="s">
        <v>8924</v>
      </c>
      <c r="BT461" t="str">
        <f>HYPERLINK("https%3A%2F%2Fwww.webofscience.com%2Fwos%2Fwoscc%2Ffull-record%2FWOS:000308774600008","View Full Record in Web of Science")</f>
        <v>View Full Record in Web of Science</v>
      </c>
    </row>
    <row r="462" spans="1:72" x14ac:dyDescent="0.15">
      <c r="A462" t="s">
        <v>72</v>
      </c>
      <c r="B462" t="s">
        <v>8925</v>
      </c>
      <c r="C462" t="s">
        <v>74</v>
      </c>
      <c r="D462" t="s">
        <v>74</v>
      </c>
      <c r="E462" t="s">
        <v>74</v>
      </c>
      <c r="F462" t="s">
        <v>8926</v>
      </c>
      <c r="G462" t="s">
        <v>74</v>
      </c>
      <c r="H462" t="s">
        <v>74</v>
      </c>
      <c r="I462" t="s">
        <v>8927</v>
      </c>
      <c r="J462" t="s">
        <v>7338</v>
      </c>
      <c r="K462" t="s">
        <v>74</v>
      </c>
      <c r="L462" t="s">
        <v>74</v>
      </c>
      <c r="M462" t="s">
        <v>78</v>
      </c>
      <c r="N462" t="s">
        <v>79</v>
      </c>
      <c r="O462" t="s">
        <v>74</v>
      </c>
      <c r="P462" t="s">
        <v>74</v>
      </c>
      <c r="Q462" t="s">
        <v>74</v>
      </c>
      <c r="R462" t="s">
        <v>74</v>
      </c>
      <c r="S462" t="s">
        <v>74</v>
      </c>
      <c r="T462" t="s">
        <v>74</v>
      </c>
      <c r="U462" t="s">
        <v>8928</v>
      </c>
      <c r="V462" t="s">
        <v>8929</v>
      </c>
      <c r="W462" t="s">
        <v>8930</v>
      </c>
      <c r="X462" t="s">
        <v>8931</v>
      </c>
      <c r="Y462" t="s">
        <v>8932</v>
      </c>
      <c r="Z462" t="s">
        <v>8933</v>
      </c>
      <c r="AA462" t="s">
        <v>8934</v>
      </c>
      <c r="AB462" t="s">
        <v>8935</v>
      </c>
      <c r="AC462" t="s">
        <v>8936</v>
      </c>
      <c r="AD462" t="s">
        <v>8937</v>
      </c>
      <c r="AE462" t="s">
        <v>8938</v>
      </c>
      <c r="AF462" t="s">
        <v>74</v>
      </c>
      <c r="AG462">
        <v>69</v>
      </c>
      <c r="AH462">
        <v>81</v>
      </c>
      <c r="AI462">
        <v>87</v>
      </c>
      <c r="AJ462">
        <v>0</v>
      </c>
      <c r="AK462">
        <v>33</v>
      </c>
      <c r="AL462" t="s">
        <v>7350</v>
      </c>
      <c r="AM462" t="s">
        <v>7351</v>
      </c>
      <c r="AN462" t="s">
        <v>7352</v>
      </c>
      <c r="AO462" t="s">
        <v>7353</v>
      </c>
      <c r="AP462" t="s">
        <v>74</v>
      </c>
      <c r="AQ462" t="s">
        <v>74</v>
      </c>
      <c r="AR462" t="s">
        <v>7338</v>
      </c>
      <c r="AS462" t="s">
        <v>941</v>
      </c>
      <c r="AT462" t="s">
        <v>7061</v>
      </c>
      <c r="AU462">
        <v>2012</v>
      </c>
      <c r="AV462">
        <v>25</v>
      </c>
      <c r="AW462">
        <v>3</v>
      </c>
      <c r="AX462" t="s">
        <v>74</v>
      </c>
      <c r="AY462" t="s">
        <v>74</v>
      </c>
      <c r="AZ462" t="s">
        <v>1019</v>
      </c>
      <c r="BA462" t="s">
        <v>74</v>
      </c>
      <c r="BB462">
        <v>40</v>
      </c>
      <c r="BC462">
        <v>53</v>
      </c>
      <c r="BD462" t="s">
        <v>74</v>
      </c>
      <c r="BE462" t="s">
        <v>8939</v>
      </c>
      <c r="BF462" t="str">
        <f>HYPERLINK("http://dx.doi.org/10.5670/oceanog.2012.73","http://dx.doi.org/10.5670/oceanog.2012.73")</f>
        <v>http://dx.doi.org/10.5670/oceanog.2012.73</v>
      </c>
      <c r="BG462" t="s">
        <v>74</v>
      </c>
      <c r="BH462" t="s">
        <v>74</v>
      </c>
      <c r="BI462">
        <v>14</v>
      </c>
      <c r="BJ462" t="s">
        <v>941</v>
      </c>
      <c r="BK462" t="s">
        <v>98</v>
      </c>
      <c r="BL462" t="s">
        <v>941</v>
      </c>
      <c r="BM462" t="s">
        <v>7355</v>
      </c>
      <c r="BN462" t="s">
        <v>74</v>
      </c>
      <c r="BO462" t="s">
        <v>8940</v>
      </c>
      <c r="BP462" t="s">
        <v>74</v>
      </c>
      <c r="BQ462" t="s">
        <v>74</v>
      </c>
      <c r="BR462" t="s">
        <v>101</v>
      </c>
      <c r="BS462" t="s">
        <v>8941</v>
      </c>
      <c r="BT462" t="str">
        <f>HYPERLINK("https%3A%2F%2Fwww.webofscience.com%2Fwos%2Fwoscc%2Ffull-record%2FWOS:000308774600009","View Full Record in Web of Science")</f>
        <v>View Full Record in Web of Science</v>
      </c>
    </row>
    <row r="463" spans="1:72" x14ac:dyDescent="0.15">
      <c r="A463" t="s">
        <v>72</v>
      </c>
      <c r="B463" t="s">
        <v>8942</v>
      </c>
      <c r="C463" t="s">
        <v>74</v>
      </c>
      <c r="D463" t="s">
        <v>74</v>
      </c>
      <c r="E463" t="s">
        <v>74</v>
      </c>
      <c r="F463" t="s">
        <v>8943</v>
      </c>
      <c r="G463" t="s">
        <v>74</v>
      </c>
      <c r="H463" t="s">
        <v>74</v>
      </c>
      <c r="I463" t="s">
        <v>8944</v>
      </c>
      <c r="J463" t="s">
        <v>7338</v>
      </c>
      <c r="K463" t="s">
        <v>74</v>
      </c>
      <c r="L463" t="s">
        <v>74</v>
      </c>
      <c r="M463" t="s">
        <v>78</v>
      </c>
      <c r="N463" t="s">
        <v>2829</v>
      </c>
      <c r="O463" t="s">
        <v>74</v>
      </c>
      <c r="P463" t="s">
        <v>74</v>
      </c>
      <c r="Q463" t="s">
        <v>74</v>
      </c>
      <c r="R463" t="s">
        <v>74</v>
      </c>
      <c r="S463" t="s">
        <v>74</v>
      </c>
      <c r="T463" t="s">
        <v>74</v>
      </c>
      <c r="U463" t="s">
        <v>8945</v>
      </c>
      <c r="V463" t="s">
        <v>74</v>
      </c>
      <c r="W463" t="s">
        <v>8946</v>
      </c>
      <c r="X463" t="s">
        <v>8947</v>
      </c>
      <c r="Y463" t="s">
        <v>8948</v>
      </c>
      <c r="Z463" t="s">
        <v>8949</v>
      </c>
      <c r="AA463" t="s">
        <v>8950</v>
      </c>
      <c r="AB463" t="s">
        <v>8951</v>
      </c>
      <c r="AC463" t="s">
        <v>8952</v>
      </c>
      <c r="AD463" t="s">
        <v>5910</v>
      </c>
      <c r="AE463" t="s">
        <v>74</v>
      </c>
      <c r="AF463" t="s">
        <v>74</v>
      </c>
      <c r="AG463">
        <v>7</v>
      </c>
      <c r="AH463">
        <v>10</v>
      </c>
      <c r="AI463">
        <v>11</v>
      </c>
      <c r="AJ463">
        <v>0</v>
      </c>
      <c r="AK463">
        <v>9</v>
      </c>
      <c r="AL463" t="s">
        <v>7350</v>
      </c>
      <c r="AM463" t="s">
        <v>7351</v>
      </c>
      <c r="AN463" t="s">
        <v>7352</v>
      </c>
      <c r="AO463" t="s">
        <v>7353</v>
      </c>
      <c r="AP463" t="s">
        <v>74</v>
      </c>
      <c r="AQ463" t="s">
        <v>74</v>
      </c>
      <c r="AR463" t="s">
        <v>7338</v>
      </c>
      <c r="AS463" t="s">
        <v>941</v>
      </c>
      <c r="AT463" t="s">
        <v>7061</v>
      </c>
      <c r="AU463">
        <v>2012</v>
      </c>
      <c r="AV463">
        <v>25</v>
      </c>
      <c r="AW463">
        <v>3</v>
      </c>
      <c r="AX463" t="s">
        <v>74</v>
      </c>
      <c r="AY463" t="s">
        <v>74</v>
      </c>
      <c r="AZ463" t="s">
        <v>1019</v>
      </c>
      <c r="BA463" t="s">
        <v>74</v>
      </c>
      <c r="BB463">
        <v>68</v>
      </c>
      <c r="BC463">
        <v>69</v>
      </c>
      <c r="BD463" t="s">
        <v>74</v>
      </c>
      <c r="BE463" t="s">
        <v>8953</v>
      </c>
      <c r="BF463" t="str">
        <f>HYPERLINK("http://dx.doi.org/10.5670/oceanog.2012.76","http://dx.doi.org/10.5670/oceanog.2012.76")</f>
        <v>http://dx.doi.org/10.5670/oceanog.2012.76</v>
      </c>
      <c r="BG463" t="s">
        <v>74</v>
      </c>
      <c r="BH463" t="s">
        <v>74</v>
      </c>
      <c r="BI463">
        <v>2</v>
      </c>
      <c r="BJ463" t="s">
        <v>941</v>
      </c>
      <c r="BK463" t="s">
        <v>98</v>
      </c>
      <c r="BL463" t="s">
        <v>941</v>
      </c>
      <c r="BM463" t="s">
        <v>7355</v>
      </c>
      <c r="BN463" t="s">
        <v>74</v>
      </c>
      <c r="BO463" t="s">
        <v>8954</v>
      </c>
      <c r="BP463" t="s">
        <v>74</v>
      </c>
      <c r="BQ463" t="s">
        <v>74</v>
      </c>
      <c r="BR463" t="s">
        <v>101</v>
      </c>
      <c r="BS463" t="s">
        <v>8955</v>
      </c>
      <c r="BT463" t="str">
        <f>HYPERLINK("https%3A%2F%2Fwww.webofscience.com%2Fwos%2Fwoscc%2Ffull-record%2FWOS:000308774600012","View Full Record in Web of Science")</f>
        <v>View Full Record in Web of Science</v>
      </c>
    </row>
    <row r="464" spans="1:72" x14ac:dyDescent="0.15">
      <c r="A464" t="s">
        <v>72</v>
      </c>
      <c r="B464" t="s">
        <v>8956</v>
      </c>
      <c r="C464" t="s">
        <v>74</v>
      </c>
      <c r="D464" t="s">
        <v>74</v>
      </c>
      <c r="E464" t="s">
        <v>74</v>
      </c>
      <c r="F464" t="s">
        <v>8957</v>
      </c>
      <c r="G464" t="s">
        <v>74</v>
      </c>
      <c r="H464" t="s">
        <v>74</v>
      </c>
      <c r="I464" t="s">
        <v>8958</v>
      </c>
      <c r="J464" t="s">
        <v>7338</v>
      </c>
      <c r="K464" t="s">
        <v>74</v>
      </c>
      <c r="L464" t="s">
        <v>74</v>
      </c>
      <c r="M464" t="s">
        <v>78</v>
      </c>
      <c r="N464" t="s">
        <v>79</v>
      </c>
      <c r="O464" t="s">
        <v>74</v>
      </c>
      <c r="P464" t="s">
        <v>74</v>
      </c>
      <c r="Q464" t="s">
        <v>74</v>
      </c>
      <c r="R464" t="s">
        <v>74</v>
      </c>
      <c r="S464" t="s">
        <v>74</v>
      </c>
      <c r="T464" t="s">
        <v>74</v>
      </c>
      <c r="U464" t="s">
        <v>8959</v>
      </c>
      <c r="V464" t="s">
        <v>8960</v>
      </c>
      <c r="W464" t="s">
        <v>8961</v>
      </c>
      <c r="X464" t="s">
        <v>8962</v>
      </c>
      <c r="Y464" t="s">
        <v>8963</v>
      </c>
      <c r="Z464" t="s">
        <v>8964</v>
      </c>
      <c r="AA464" t="s">
        <v>8965</v>
      </c>
      <c r="AB464" t="s">
        <v>8966</v>
      </c>
      <c r="AC464" t="s">
        <v>8967</v>
      </c>
      <c r="AD464" t="s">
        <v>8968</v>
      </c>
      <c r="AE464" t="s">
        <v>8969</v>
      </c>
      <c r="AF464" t="s">
        <v>74</v>
      </c>
      <c r="AG464">
        <v>67</v>
      </c>
      <c r="AH464">
        <v>13</v>
      </c>
      <c r="AI464">
        <v>14</v>
      </c>
      <c r="AJ464">
        <v>0</v>
      </c>
      <c r="AK464">
        <v>28</v>
      </c>
      <c r="AL464" t="s">
        <v>7350</v>
      </c>
      <c r="AM464" t="s">
        <v>7351</v>
      </c>
      <c r="AN464" t="s">
        <v>7352</v>
      </c>
      <c r="AO464" t="s">
        <v>7353</v>
      </c>
      <c r="AP464" t="s">
        <v>74</v>
      </c>
      <c r="AQ464" t="s">
        <v>74</v>
      </c>
      <c r="AR464" t="s">
        <v>7338</v>
      </c>
      <c r="AS464" t="s">
        <v>941</v>
      </c>
      <c r="AT464" t="s">
        <v>7061</v>
      </c>
      <c r="AU464">
        <v>2012</v>
      </c>
      <c r="AV464">
        <v>25</v>
      </c>
      <c r="AW464">
        <v>3</v>
      </c>
      <c r="AX464" t="s">
        <v>74</v>
      </c>
      <c r="AY464" t="s">
        <v>74</v>
      </c>
      <c r="AZ464" t="s">
        <v>1019</v>
      </c>
      <c r="BA464" t="s">
        <v>74</v>
      </c>
      <c r="BB464">
        <v>122</v>
      </c>
      <c r="BC464">
        <v>133</v>
      </c>
      <c r="BD464" t="s">
        <v>74</v>
      </c>
      <c r="BE464" t="s">
        <v>8970</v>
      </c>
      <c r="BF464" t="str">
        <f>HYPERLINK("http://dx.doi.org/10.5670/oceanog.2012.85","http://dx.doi.org/10.5670/oceanog.2012.85")</f>
        <v>http://dx.doi.org/10.5670/oceanog.2012.85</v>
      </c>
      <c r="BG464" t="s">
        <v>74</v>
      </c>
      <c r="BH464" t="s">
        <v>74</v>
      </c>
      <c r="BI464">
        <v>12</v>
      </c>
      <c r="BJ464" t="s">
        <v>941</v>
      </c>
      <c r="BK464" t="s">
        <v>98</v>
      </c>
      <c r="BL464" t="s">
        <v>941</v>
      </c>
      <c r="BM464" t="s">
        <v>7355</v>
      </c>
      <c r="BN464" t="s">
        <v>74</v>
      </c>
      <c r="BO464" t="s">
        <v>998</v>
      </c>
      <c r="BP464" t="s">
        <v>74</v>
      </c>
      <c r="BQ464" t="s">
        <v>74</v>
      </c>
      <c r="BR464" t="s">
        <v>101</v>
      </c>
      <c r="BS464" t="s">
        <v>8971</v>
      </c>
      <c r="BT464" t="str">
        <f>HYPERLINK("https%3A%2F%2Fwww.webofscience.com%2Fwos%2Fwoscc%2Ffull-record%2FWOS:000308774600021","View Full Record in Web of Science")</f>
        <v>View Full Record in Web of Science</v>
      </c>
    </row>
    <row r="465" spans="1:72" x14ac:dyDescent="0.15">
      <c r="A465" t="s">
        <v>72</v>
      </c>
      <c r="B465" t="s">
        <v>8972</v>
      </c>
      <c r="C465" t="s">
        <v>74</v>
      </c>
      <c r="D465" t="s">
        <v>74</v>
      </c>
      <c r="E465" t="s">
        <v>74</v>
      </c>
      <c r="F465" t="s">
        <v>8973</v>
      </c>
      <c r="G465" t="s">
        <v>74</v>
      </c>
      <c r="H465" t="s">
        <v>74</v>
      </c>
      <c r="I465" t="s">
        <v>8974</v>
      </c>
      <c r="J465" t="s">
        <v>7338</v>
      </c>
      <c r="K465" t="s">
        <v>74</v>
      </c>
      <c r="L465" t="s">
        <v>74</v>
      </c>
      <c r="M465" t="s">
        <v>78</v>
      </c>
      <c r="N465" t="s">
        <v>2829</v>
      </c>
      <c r="O465" t="s">
        <v>74</v>
      </c>
      <c r="P465" t="s">
        <v>74</v>
      </c>
      <c r="Q465" t="s">
        <v>74</v>
      </c>
      <c r="R465" t="s">
        <v>74</v>
      </c>
      <c r="S465" t="s">
        <v>74</v>
      </c>
      <c r="T465" t="s">
        <v>74</v>
      </c>
      <c r="U465" t="s">
        <v>74</v>
      </c>
      <c r="V465" t="s">
        <v>74</v>
      </c>
      <c r="W465" t="s">
        <v>8975</v>
      </c>
      <c r="X465" t="s">
        <v>8976</v>
      </c>
      <c r="Y465" t="s">
        <v>8977</v>
      </c>
      <c r="Z465" t="s">
        <v>8978</v>
      </c>
      <c r="AA465" t="s">
        <v>74</v>
      </c>
      <c r="AB465" t="s">
        <v>8979</v>
      </c>
      <c r="AC465" t="s">
        <v>74</v>
      </c>
      <c r="AD465" t="s">
        <v>74</v>
      </c>
      <c r="AE465" t="s">
        <v>74</v>
      </c>
      <c r="AF465" t="s">
        <v>74</v>
      </c>
      <c r="AG465">
        <v>7</v>
      </c>
      <c r="AH465">
        <v>21</v>
      </c>
      <c r="AI465">
        <v>25</v>
      </c>
      <c r="AJ465">
        <v>0</v>
      </c>
      <c r="AK465">
        <v>14</v>
      </c>
      <c r="AL465" t="s">
        <v>7350</v>
      </c>
      <c r="AM465" t="s">
        <v>7351</v>
      </c>
      <c r="AN465" t="s">
        <v>7352</v>
      </c>
      <c r="AO465" t="s">
        <v>7353</v>
      </c>
      <c r="AP465" t="s">
        <v>74</v>
      </c>
      <c r="AQ465" t="s">
        <v>74</v>
      </c>
      <c r="AR465" t="s">
        <v>7338</v>
      </c>
      <c r="AS465" t="s">
        <v>941</v>
      </c>
      <c r="AT465" t="s">
        <v>7061</v>
      </c>
      <c r="AU465">
        <v>2012</v>
      </c>
      <c r="AV465">
        <v>25</v>
      </c>
      <c r="AW465">
        <v>3</v>
      </c>
      <c r="AX465" t="s">
        <v>74</v>
      </c>
      <c r="AY465" t="s">
        <v>74</v>
      </c>
      <c r="AZ465" t="s">
        <v>1019</v>
      </c>
      <c r="BA465" t="s">
        <v>74</v>
      </c>
      <c r="BB465">
        <v>134</v>
      </c>
      <c r="BC465">
        <v>135</v>
      </c>
      <c r="BD465" t="s">
        <v>74</v>
      </c>
      <c r="BE465" t="s">
        <v>8980</v>
      </c>
      <c r="BF465" t="str">
        <f>HYPERLINK("http://dx.doi.org/10.5670/oceanog.2012.86","http://dx.doi.org/10.5670/oceanog.2012.86")</f>
        <v>http://dx.doi.org/10.5670/oceanog.2012.86</v>
      </c>
      <c r="BG465" t="s">
        <v>74</v>
      </c>
      <c r="BH465" t="s">
        <v>74</v>
      </c>
      <c r="BI465">
        <v>2</v>
      </c>
      <c r="BJ465" t="s">
        <v>941</v>
      </c>
      <c r="BK465" t="s">
        <v>98</v>
      </c>
      <c r="BL465" t="s">
        <v>941</v>
      </c>
      <c r="BM465" t="s">
        <v>7355</v>
      </c>
      <c r="BN465" t="s">
        <v>74</v>
      </c>
      <c r="BO465" t="s">
        <v>3028</v>
      </c>
      <c r="BP465" t="s">
        <v>74</v>
      </c>
      <c r="BQ465" t="s">
        <v>74</v>
      </c>
      <c r="BR465" t="s">
        <v>101</v>
      </c>
      <c r="BS465" t="s">
        <v>8981</v>
      </c>
      <c r="BT465" t="str">
        <f>HYPERLINK("https%3A%2F%2Fwww.webofscience.com%2Fwos%2Fwoscc%2Ffull-record%2FWOS:000308774600022","View Full Record in Web of Science")</f>
        <v>View Full Record in Web of Science</v>
      </c>
    </row>
    <row r="466" spans="1:72" x14ac:dyDescent="0.15">
      <c r="A466" t="s">
        <v>72</v>
      </c>
      <c r="B466" t="s">
        <v>8982</v>
      </c>
      <c r="C466" t="s">
        <v>74</v>
      </c>
      <c r="D466" t="s">
        <v>74</v>
      </c>
      <c r="E466" t="s">
        <v>74</v>
      </c>
      <c r="F466" t="s">
        <v>8983</v>
      </c>
      <c r="G466" t="s">
        <v>74</v>
      </c>
      <c r="H466" t="s">
        <v>74</v>
      </c>
      <c r="I466" t="s">
        <v>8984</v>
      </c>
      <c r="J466" t="s">
        <v>7338</v>
      </c>
      <c r="K466" t="s">
        <v>74</v>
      </c>
      <c r="L466" t="s">
        <v>74</v>
      </c>
      <c r="M466" t="s">
        <v>78</v>
      </c>
      <c r="N466" t="s">
        <v>79</v>
      </c>
      <c r="O466" t="s">
        <v>74</v>
      </c>
      <c r="P466" t="s">
        <v>74</v>
      </c>
      <c r="Q466" t="s">
        <v>74</v>
      </c>
      <c r="R466" t="s">
        <v>74</v>
      </c>
      <c r="S466" t="s">
        <v>74</v>
      </c>
      <c r="T466" t="s">
        <v>74</v>
      </c>
      <c r="U466" t="s">
        <v>8985</v>
      </c>
      <c r="V466" t="s">
        <v>8986</v>
      </c>
      <c r="W466" t="s">
        <v>8987</v>
      </c>
      <c r="X466" t="s">
        <v>8988</v>
      </c>
      <c r="Y466" t="s">
        <v>8989</v>
      </c>
      <c r="Z466" t="s">
        <v>8990</v>
      </c>
      <c r="AA466" t="s">
        <v>8991</v>
      </c>
      <c r="AB466" t="s">
        <v>8992</v>
      </c>
      <c r="AC466" t="s">
        <v>8993</v>
      </c>
      <c r="AD466" t="s">
        <v>8994</v>
      </c>
      <c r="AE466" t="s">
        <v>8995</v>
      </c>
      <c r="AF466" t="s">
        <v>74</v>
      </c>
      <c r="AG466">
        <v>70</v>
      </c>
      <c r="AH466">
        <v>102</v>
      </c>
      <c r="AI466">
        <v>111</v>
      </c>
      <c r="AJ466">
        <v>0</v>
      </c>
      <c r="AK466">
        <v>48</v>
      </c>
      <c r="AL466" t="s">
        <v>7350</v>
      </c>
      <c r="AM466" t="s">
        <v>7351</v>
      </c>
      <c r="AN466" t="s">
        <v>7352</v>
      </c>
      <c r="AO466" t="s">
        <v>7353</v>
      </c>
      <c r="AP466" t="s">
        <v>74</v>
      </c>
      <c r="AQ466" t="s">
        <v>74</v>
      </c>
      <c r="AR466" t="s">
        <v>7338</v>
      </c>
      <c r="AS466" t="s">
        <v>941</v>
      </c>
      <c r="AT466" t="s">
        <v>7061</v>
      </c>
      <c r="AU466">
        <v>2012</v>
      </c>
      <c r="AV466">
        <v>25</v>
      </c>
      <c r="AW466">
        <v>3</v>
      </c>
      <c r="AX466" t="s">
        <v>74</v>
      </c>
      <c r="AY466" t="s">
        <v>74</v>
      </c>
      <c r="AZ466" t="s">
        <v>1019</v>
      </c>
      <c r="BA466" t="s">
        <v>74</v>
      </c>
      <c r="BB466">
        <v>154</v>
      </c>
      <c r="BC466">
        <v>163</v>
      </c>
      <c r="BD466" t="s">
        <v>74</v>
      </c>
      <c r="BE466" t="s">
        <v>8996</v>
      </c>
      <c r="BF466" t="str">
        <f>HYPERLINK("http://dx.doi.org/10.5670/oceanog.2012.90","http://dx.doi.org/10.5670/oceanog.2012.90")</f>
        <v>http://dx.doi.org/10.5670/oceanog.2012.90</v>
      </c>
      <c r="BG466" t="s">
        <v>74</v>
      </c>
      <c r="BH466" t="s">
        <v>74</v>
      </c>
      <c r="BI466">
        <v>10</v>
      </c>
      <c r="BJ466" t="s">
        <v>941</v>
      </c>
      <c r="BK466" t="s">
        <v>98</v>
      </c>
      <c r="BL466" t="s">
        <v>941</v>
      </c>
      <c r="BM466" t="s">
        <v>7355</v>
      </c>
      <c r="BN466" t="s">
        <v>74</v>
      </c>
      <c r="BO466" t="s">
        <v>2365</v>
      </c>
      <c r="BP466" t="s">
        <v>74</v>
      </c>
      <c r="BQ466" t="s">
        <v>74</v>
      </c>
      <c r="BR466" t="s">
        <v>101</v>
      </c>
      <c r="BS466" t="s">
        <v>8997</v>
      </c>
      <c r="BT466" t="str">
        <f>HYPERLINK("https%3A%2F%2Fwww.webofscience.com%2Fwos%2Fwoscc%2Ffull-record%2FWOS:000308774600026","View Full Record in Web of Science")</f>
        <v>View Full Record in Web of Science</v>
      </c>
    </row>
    <row r="467" spans="1:72" x14ac:dyDescent="0.15">
      <c r="A467" t="s">
        <v>72</v>
      </c>
      <c r="B467" t="s">
        <v>8998</v>
      </c>
      <c r="C467" t="s">
        <v>74</v>
      </c>
      <c r="D467" t="s">
        <v>74</v>
      </c>
      <c r="E467" t="s">
        <v>74</v>
      </c>
      <c r="F467" t="s">
        <v>8999</v>
      </c>
      <c r="G467" t="s">
        <v>74</v>
      </c>
      <c r="H467" t="s">
        <v>74</v>
      </c>
      <c r="I467" t="s">
        <v>9000</v>
      </c>
      <c r="J467" t="s">
        <v>7338</v>
      </c>
      <c r="K467" t="s">
        <v>74</v>
      </c>
      <c r="L467" t="s">
        <v>74</v>
      </c>
      <c r="M467" t="s">
        <v>78</v>
      </c>
      <c r="N467" t="s">
        <v>2829</v>
      </c>
      <c r="O467" t="s">
        <v>74</v>
      </c>
      <c r="P467" t="s">
        <v>74</v>
      </c>
      <c r="Q467" t="s">
        <v>74</v>
      </c>
      <c r="R467" t="s">
        <v>74</v>
      </c>
      <c r="S467" t="s">
        <v>74</v>
      </c>
      <c r="T467" t="s">
        <v>74</v>
      </c>
      <c r="U467" t="s">
        <v>9001</v>
      </c>
      <c r="V467" t="s">
        <v>74</v>
      </c>
      <c r="W467" t="s">
        <v>9002</v>
      </c>
      <c r="X467" t="s">
        <v>9003</v>
      </c>
      <c r="Y467" t="s">
        <v>9004</v>
      </c>
      <c r="Z467" t="s">
        <v>9005</v>
      </c>
      <c r="AA467" t="s">
        <v>9006</v>
      </c>
      <c r="AB467" t="s">
        <v>9007</v>
      </c>
      <c r="AC467" t="s">
        <v>9008</v>
      </c>
      <c r="AD467" t="s">
        <v>5910</v>
      </c>
      <c r="AE467" t="s">
        <v>74</v>
      </c>
      <c r="AF467" t="s">
        <v>74</v>
      </c>
      <c r="AG467">
        <v>11</v>
      </c>
      <c r="AH467">
        <v>5</v>
      </c>
      <c r="AI467">
        <v>7</v>
      </c>
      <c r="AJ467">
        <v>0</v>
      </c>
      <c r="AK467">
        <v>1</v>
      </c>
      <c r="AL467" t="s">
        <v>7350</v>
      </c>
      <c r="AM467" t="s">
        <v>7351</v>
      </c>
      <c r="AN467" t="s">
        <v>7352</v>
      </c>
      <c r="AO467" t="s">
        <v>7353</v>
      </c>
      <c r="AP467" t="s">
        <v>74</v>
      </c>
      <c r="AQ467" t="s">
        <v>74</v>
      </c>
      <c r="AR467" t="s">
        <v>7338</v>
      </c>
      <c r="AS467" t="s">
        <v>941</v>
      </c>
      <c r="AT467" t="s">
        <v>7061</v>
      </c>
      <c r="AU467">
        <v>2012</v>
      </c>
      <c r="AV467">
        <v>25</v>
      </c>
      <c r="AW467">
        <v>3</v>
      </c>
      <c r="AX467" t="s">
        <v>74</v>
      </c>
      <c r="AY467" t="s">
        <v>74</v>
      </c>
      <c r="AZ467" t="s">
        <v>1019</v>
      </c>
      <c r="BA467" t="s">
        <v>74</v>
      </c>
      <c r="BB467">
        <v>202</v>
      </c>
      <c r="BC467">
        <v>203</v>
      </c>
      <c r="BD467" t="s">
        <v>74</v>
      </c>
      <c r="BE467" t="s">
        <v>9009</v>
      </c>
      <c r="BF467" t="str">
        <f>HYPERLINK("http://dx.doi.org/10.5670/oceanog.2012.95","http://dx.doi.org/10.5670/oceanog.2012.95")</f>
        <v>http://dx.doi.org/10.5670/oceanog.2012.95</v>
      </c>
      <c r="BG467" t="s">
        <v>74</v>
      </c>
      <c r="BH467" t="s">
        <v>74</v>
      </c>
      <c r="BI467">
        <v>2</v>
      </c>
      <c r="BJ467" t="s">
        <v>941</v>
      </c>
      <c r="BK467" t="s">
        <v>98</v>
      </c>
      <c r="BL467" t="s">
        <v>941</v>
      </c>
      <c r="BM467" t="s">
        <v>7355</v>
      </c>
      <c r="BN467" t="s">
        <v>74</v>
      </c>
      <c r="BO467" t="s">
        <v>9010</v>
      </c>
      <c r="BP467" t="s">
        <v>74</v>
      </c>
      <c r="BQ467" t="s">
        <v>74</v>
      </c>
      <c r="BR467" t="s">
        <v>101</v>
      </c>
      <c r="BS467" t="s">
        <v>9011</v>
      </c>
      <c r="BT467" t="str">
        <f>HYPERLINK("https%3A%2F%2Fwww.webofscience.com%2Fwos%2Fwoscc%2Ffull-record%2FWOS:000308774600031","View Full Record in Web of Science")</f>
        <v>View Full Record in Web of Science</v>
      </c>
    </row>
    <row r="468" spans="1:72" x14ac:dyDescent="0.15">
      <c r="A468" t="s">
        <v>72</v>
      </c>
      <c r="B468" t="s">
        <v>9012</v>
      </c>
      <c r="C468" t="s">
        <v>74</v>
      </c>
      <c r="D468" t="s">
        <v>74</v>
      </c>
      <c r="E468" t="s">
        <v>74</v>
      </c>
      <c r="F468" t="s">
        <v>9013</v>
      </c>
      <c r="G468" t="s">
        <v>74</v>
      </c>
      <c r="H468" t="s">
        <v>74</v>
      </c>
      <c r="I468" t="s">
        <v>9014</v>
      </c>
      <c r="J468" t="s">
        <v>1860</v>
      </c>
      <c r="K468" t="s">
        <v>74</v>
      </c>
      <c r="L468" t="s">
        <v>74</v>
      </c>
      <c r="M468" t="s">
        <v>78</v>
      </c>
      <c r="N468" t="s">
        <v>79</v>
      </c>
      <c r="O468" t="s">
        <v>74</v>
      </c>
      <c r="P468" t="s">
        <v>74</v>
      </c>
      <c r="Q468" t="s">
        <v>74</v>
      </c>
      <c r="R468" t="s">
        <v>74</v>
      </c>
      <c r="S468" t="s">
        <v>74</v>
      </c>
      <c r="T468" t="s">
        <v>9015</v>
      </c>
      <c r="U468" t="s">
        <v>9016</v>
      </c>
      <c r="V468" t="s">
        <v>9017</v>
      </c>
      <c r="W468" t="s">
        <v>9018</v>
      </c>
      <c r="X468" t="s">
        <v>9019</v>
      </c>
      <c r="Y468" t="s">
        <v>9020</v>
      </c>
      <c r="Z468" t="s">
        <v>9021</v>
      </c>
      <c r="AA468" t="s">
        <v>9022</v>
      </c>
      <c r="AB468" t="s">
        <v>9023</v>
      </c>
      <c r="AC468" t="s">
        <v>9024</v>
      </c>
      <c r="AD468" t="s">
        <v>9025</v>
      </c>
      <c r="AE468" t="s">
        <v>9026</v>
      </c>
      <c r="AF468" t="s">
        <v>74</v>
      </c>
      <c r="AG468">
        <v>73</v>
      </c>
      <c r="AH468">
        <v>16</v>
      </c>
      <c r="AI468">
        <v>23</v>
      </c>
      <c r="AJ468">
        <v>3</v>
      </c>
      <c r="AK468">
        <v>55</v>
      </c>
      <c r="AL468" t="s">
        <v>935</v>
      </c>
      <c r="AM468" t="s">
        <v>371</v>
      </c>
      <c r="AN468" t="s">
        <v>1873</v>
      </c>
      <c r="AO468" t="s">
        <v>1874</v>
      </c>
      <c r="AP468" t="s">
        <v>1875</v>
      </c>
      <c r="AQ468" t="s">
        <v>74</v>
      </c>
      <c r="AR468" t="s">
        <v>1876</v>
      </c>
      <c r="AS468" t="s">
        <v>1877</v>
      </c>
      <c r="AT468" t="s">
        <v>7061</v>
      </c>
      <c r="AU468">
        <v>2012</v>
      </c>
      <c r="AV468">
        <v>35</v>
      </c>
      <c r="AW468">
        <v>9</v>
      </c>
      <c r="AX468" t="s">
        <v>74</v>
      </c>
      <c r="AY468" t="s">
        <v>74</v>
      </c>
      <c r="AZ468" t="s">
        <v>74</v>
      </c>
      <c r="BA468" t="s">
        <v>74</v>
      </c>
      <c r="BB468">
        <v>1297</v>
      </c>
      <c r="BC468">
        <v>1310</v>
      </c>
      <c r="BD468" t="s">
        <v>74</v>
      </c>
      <c r="BE468" t="s">
        <v>9027</v>
      </c>
      <c r="BF468" t="str">
        <f>HYPERLINK("http://dx.doi.org/10.1007/s00300-012-1173-8","http://dx.doi.org/10.1007/s00300-012-1173-8")</f>
        <v>http://dx.doi.org/10.1007/s00300-012-1173-8</v>
      </c>
      <c r="BG468" t="s">
        <v>74</v>
      </c>
      <c r="BH468" t="s">
        <v>74</v>
      </c>
      <c r="BI468">
        <v>14</v>
      </c>
      <c r="BJ468" t="s">
        <v>1879</v>
      </c>
      <c r="BK468" t="s">
        <v>98</v>
      </c>
      <c r="BL468" t="s">
        <v>1880</v>
      </c>
      <c r="BM468" t="s">
        <v>8193</v>
      </c>
      <c r="BN468" t="s">
        <v>74</v>
      </c>
      <c r="BO468" t="s">
        <v>74</v>
      </c>
      <c r="BP468" t="s">
        <v>74</v>
      </c>
      <c r="BQ468" t="s">
        <v>74</v>
      </c>
      <c r="BR468" t="s">
        <v>101</v>
      </c>
      <c r="BS468" t="s">
        <v>9028</v>
      </c>
      <c r="BT468" t="str">
        <f>HYPERLINK("https%3A%2F%2Fwww.webofscience.com%2Fwos%2Fwoscc%2Ffull-record%2FWOS:000306848300002","View Full Record in Web of Science")</f>
        <v>View Full Record in Web of Science</v>
      </c>
    </row>
    <row r="469" spans="1:72" x14ac:dyDescent="0.15">
      <c r="A469" t="s">
        <v>72</v>
      </c>
      <c r="B469" t="s">
        <v>9029</v>
      </c>
      <c r="C469" t="s">
        <v>74</v>
      </c>
      <c r="D469" t="s">
        <v>74</v>
      </c>
      <c r="E469" t="s">
        <v>74</v>
      </c>
      <c r="F469" t="s">
        <v>9030</v>
      </c>
      <c r="G469" t="s">
        <v>74</v>
      </c>
      <c r="H469" t="s">
        <v>74</v>
      </c>
      <c r="I469" t="s">
        <v>9031</v>
      </c>
      <c r="J469" t="s">
        <v>1860</v>
      </c>
      <c r="K469" t="s">
        <v>74</v>
      </c>
      <c r="L469" t="s">
        <v>74</v>
      </c>
      <c r="M469" t="s">
        <v>78</v>
      </c>
      <c r="N469" t="s">
        <v>79</v>
      </c>
      <c r="O469" t="s">
        <v>74</v>
      </c>
      <c r="P469" t="s">
        <v>74</v>
      </c>
      <c r="Q469" t="s">
        <v>74</v>
      </c>
      <c r="R469" t="s">
        <v>74</v>
      </c>
      <c r="S469" t="s">
        <v>74</v>
      </c>
      <c r="T469" t="s">
        <v>9032</v>
      </c>
      <c r="U469" t="s">
        <v>9033</v>
      </c>
      <c r="V469" t="s">
        <v>9034</v>
      </c>
      <c r="W469" t="s">
        <v>9035</v>
      </c>
      <c r="X469" t="s">
        <v>9036</v>
      </c>
      <c r="Y469" t="s">
        <v>9037</v>
      </c>
      <c r="Z469" t="s">
        <v>9038</v>
      </c>
      <c r="AA469" t="s">
        <v>9039</v>
      </c>
      <c r="AB469" t="s">
        <v>9040</v>
      </c>
      <c r="AC469" t="s">
        <v>9041</v>
      </c>
      <c r="AD469" t="s">
        <v>9042</v>
      </c>
      <c r="AE469" t="s">
        <v>9043</v>
      </c>
      <c r="AF469" t="s">
        <v>74</v>
      </c>
      <c r="AG469">
        <v>55</v>
      </c>
      <c r="AH469">
        <v>12</v>
      </c>
      <c r="AI469">
        <v>13</v>
      </c>
      <c r="AJ469">
        <v>0</v>
      </c>
      <c r="AK469">
        <v>22</v>
      </c>
      <c r="AL469" t="s">
        <v>935</v>
      </c>
      <c r="AM469" t="s">
        <v>371</v>
      </c>
      <c r="AN469" t="s">
        <v>936</v>
      </c>
      <c r="AO469" t="s">
        <v>1874</v>
      </c>
      <c r="AP469" t="s">
        <v>1875</v>
      </c>
      <c r="AQ469" t="s">
        <v>74</v>
      </c>
      <c r="AR469" t="s">
        <v>1876</v>
      </c>
      <c r="AS469" t="s">
        <v>1877</v>
      </c>
      <c r="AT469" t="s">
        <v>7061</v>
      </c>
      <c r="AU469">
        <v>2012</v>
      </c>
      <c r="AV469">
        <v>35</v>
      </c>
      <c r="AW469">
        <v>9</v>
      </c>
      <c r="AX469" t="s">
        <v>74</v>
      </c>
      <c r="AY469" t="s">
        <v>74</v>
      </c>
      <c r="AZ469" t="s">
        <v>74</v>
      </c>
      <c r="BA469" t="s">
        <v>74</v>
      </c>
      <c r="BB469">
        <v>1343</v>
      </c>
      <c r="BC469">
        <v>1357</v>
      </c>
      <c r="BD469" t="s">
        <v>74</v>
      </c>
      <c r="BE469" t="s">
        <v>9044</v>
      </c>
      <c r="BF469" t="str">
        <f>HYPERLINK("http://dx.doi.org/10.1007/s00300-012-1176-5","http://dx.doi.org/10.1007/s00300-012-1176-5")</f>
        <v>http://dx.doi.org/10.1007/s00300-012-1176-5</v>
      </c>
      <c r="BG469" t="s">
        <v>74</v>
      </c>
      <c r="BH469" t="s">
        <v>74</v>
      </c>
      <c r="BI469">
        <v>15</v>
      </c>
      <c r="BJ469" t="s">
        <v>1879</v>
      </c>
      <c r="BK469" t="s">
        <v>98</v>
      </c>
      <c r="BL469" t="s">
        <v>1880</v>
      </c>
      <c r="BM469" t="s">
        <v>8193</v>
      </c>
      <c r="BN469" t="s">
        <v>74</v>
      </c>
      <c r="BO469" t="s">
        <v>1254</v>
      </c>
      <c r="BP469" t="s">
        <v>74</v>
      </c>
      <c r="BQ469" t="s">
        <v>74</v>
      </c>
      <c r="BR469" t="s">
        <v>101</v>
      </c>
      <c r="BS469" t="s">
        <v>9045</v>
      </c>
      <c r="BT469" t="str">
        <f>HYPERLINK("https%3A%2F%2Fwww.webofscience.com%2Fwos%2Fwoscc%2Ffull-record%2FWOS:000306848300005","View Full Record in Web of Science")</f>
        <v>View Full Record in Web of Science</v>
      </c>
    </row>
    <row r="470" spans="1:72" x14ac:dyDescent="0.15">
      <c r="A470" t="s">
        <v>72</v>
      </c>
      <c r="B470" t="s">
        <v>9046</v>
      </c>
      <c r="C470" t="s">
        <v>74</v>
      </c>
      <c r="D470" t="s">
        <v>74</v>
      </c>
      <c r="E470" t="s">
        <v>74</v>
      </c>
      <c r="F470" t="s">
        <v>9047</v>
      </c>
      <c r="G470" t="s">
        <v>74</v>
      </c>
      <c r="H470" t="s">
        <v>74</v>
      </c>
      <c r="I470" t="s">
        <v>9048</v>
      </c>
      <c r="J470" t="s">
        <v>1860</v>
      </c>
      <c r="K470" t="s">
        <v>74</v>
      </c>
      <c r="L470" t="s">
        <v>74</v>
      </c>
      <c r="M470" t="s">
        <v>78</v>
      </c>
      <c r="N470" t="s">
        <v>79</v>
      </c>
      <c r="O470" t="s">
        <v>74</v>
      </c>
      <c r="P470" t="s">
        <v>74</v>
      </c>
      <c r="Q470" t="s">
        <v>74</v>
      </c>
      <c r="R470" t="s">
        <v>74</v>
      </c>
      <c r="S470" t="s">
        <v>74</v>
      </c>
      <c r="T470" t="s">
        <v>9049</v>
      </c>
      <c r="U470" t="s">
        <v>9050</v>
      </c>
      <c r="V470" t="s">
        <v>9051</v>
      </c>
      <c r="W470" t="s">
        <v>9052</v>
      </c>
      <c r="X470" t="s">
        <v>9053</v>
      </c>
      <c r="Y470" t="s">
        <v>9054</v>
      </c>
      <c r="Z470" t="s">
        <v>9055</v>
      </c>
      <c r="AA470" t="s">
        <v>9056</v>
      </c>
      <c r="AB470" t="s">
        <v>9057</v>
      </c>
      <c r="AC470" t="s">
        <v>9058</v>
      </c>
      <c r="AD470" t="s">
        <v>9059</v>
      </c>
      <c r="AE470" t="s">
        <v>9060</v>
      </c>
      <c r="AF470" t="s">
        <v>74</v>
      </c>
      <c r="AG470">
        <v>72</v>
      </c>
      <c r="AH470">
        <v>9</v>
      </c>
      <c r="AI470">
        <v>10</v>
      </c>
      <c r="AJ470">
        <v>0</v>
      </c>
      <c r="AK470">
        <v>31</v>
      </c>
      <c r="AL470" t="s">
        <v>935</v>
      </c>
      <c r="AM470" t="s">
        <v>371</v>
      </c>
      <c r="AN470" t="s">
        <v>936</v>
      </c>
      <c r="AO470" t="s">
        <v>1874</v>
      </c>
      <c r="AP470" t="s">
        <v>1875</v>
      </c>
      <c r="AQ470" t="s">
        <v>74</v>
      </c>
      <c r="AR470" t="s">
        <v>1876</v>
      </c>
      <c r="AS470" t="s">
        <v>1877</v>
      </c>
      <c r="AT470" t="s">
        <v>7061</v>
      </c>
      <c r="AU470">
        <v>2012</v>
      </c>
      <c r="AV470">
        <v>35</v>
      </c>
      <c r="AW470">
        <v>9</v>
      </c>
      <c r="AX470" t="s">
        <v>74</v>
      </c>
      <c r="AY470" t="s">
        <v>74</v>
      </c>
      <c r="AZ470" t="s">
        <v>74</v>
      </c>
      <c r="BA470" t="s">
        <v>74</v>
      </c>
      <c r="BB470">
        <v>1359</v>
      </c>
      <c r="BC470">
        <v>1373</v>
      </c>
      <c r="BD470" t="s">
        <v>74</v>
      </c>
      <c r="BE470" t="s">
        <v>9061</v>
      </c>
      <c r="BF470" t="str">
        <f>HYPERLINK("http://dx.doi.org/10.1007/s00300-012-1177-4","http://dx.doi.org/10.1007/s00300-012-1177-4")</f>
        <v>http://dx.doi.org/10.1007/s00300-012-1177-4</v>
      </c>
      <c r="BG470" t="s">
        <v>74</v>
      </c>
      <c r="BH470" t="s">
        <v>74</v>
      </c>
      <c r="BI470">
        <v>15</v>
      </c>
      <c r="BJ470" t="s">
        <v>1879</v>
      </c>
      <c r="BK470" t="s">
        <v>98</v>
      </c>
      <c r="BL470" t="s">
        <v>1880</v>
      </c>
      <c r="BM470" t="s">
        <v>8193</v>
      </c>
      <c r="BN470" t="s">
        <v>74</v>
      </c>
      <c r="BO470" t="s">
        <v>1254</v>
      </c>
      <c r="BP470" t="s">
        <v>74</v>
      </c>
      <c r="BQ470" t="s">
        <v>74</v>
      </c>
      <c r="BR470" t="s">
        <v>101</v>
      </c>
      <c r="BS470" t="s">
        <v>9062</v>
      </c>
      <c r="BT470" t="str">
        <f>HYPERLINK("https%3A%2F%2Fwww.webofscience.com%2Fwos%2Fwoscc%2Ffull-record%2FWOS:000306848300006","View Full Record in Web of Science")</f>
        <v>View Full Record in Web of Science</v>
      </c>
    </row>
    <row r="471" spans="1:72" x14ac:dyDescent="0.15">
      <c r="A471" t="s">
        <v>72</v>
      </c>
      <c r="B471" t="s">
        <v>9063</v>
      </c>
      <c r="C471" t="s">
        <v>74</v>
      </c>
      <c r="D471" t="s">
        <v>74</v>
      </c>
      <c r="E471" t="s">
        <v>74</v>
      </c>
      <c r="F471" t="s">
        <v>9064</v>
      </c>
      <c r="G471" t="s">
        <v>74</v>
      </c>
      <c r="H471" t="s">
        <v>74</v>
      </c>
      <c r="I471" t="s">
        <v>9065</v>
      </c>
      <c r="J471" t="s">
        <v>1860</v>
      </c>
      <c r="K471" t="s">
        <v>74</v>
      </c>
      <c r="L471" t="s">
        <v>74</v>
      </c>
      <c r="M471" t="s">
        <v>78</v>
      </c>
      <c r="N471" t="s">
        <v>79</v>
      </c>
      <c r="O471" t="s">
        <v>74</v>
      </c>
      <c r="P471" t="s">
        <v>74</v>
      </c>
      <c r="Q471" t="s">
        <v>74</v>
      </c>
      <c r="R471" t="s">
        <v>74</v>
      </c>
      <c r="S471" t="s">
        <v>74</v>
      </c>
      <c r="T471" t="s">
        <v>9066</v>
      </c>
      <c r="U471" t="s">
        <v>9067</v>
      </c>
      <c r="V471" t="s">
        <v>9068</v>
      </c>
      <c r="W471" t="s">
        <v>9069</v>
      </c>
      <c r="X471" t="s">
        <v>9070</v>
      </c>
      <c r="Y471" t="s">
        <v>9071</v>
      </c>
      <c r="Z471" t="s">
        <v>9072</v>
      </c>
      <c r="AA471" t="s">
        <v>9073</v>
      </c>
      <c r="AB471" t="s">
        <v>9074</v>
      </c>
      <c r="AC471" t="s">
        <v>9075</v>
      </c>
      <c r="AD471" t="s">
        <v>349</v>
      </c>
      <c r="AE471" t="s">
        <v>9076</v>
      </c>
      <c r="AF471" t="s">
        <v>74</v>
      </c>
      <c r="AG471">
        <v>26</v>
      </c>
      <c r="AH471">
        <v>44</v>
      </c>
      <c r="AI471">
        <v>50</v>
      </c>
      <c r="AJ471">
        <v>1</v>
      </c>
      <c r="AK471">
        <v>47</v>
      </c>
      <c r="AL471" t="s">
        <v>935</v>
      </c>
      <c r="AM471" t="s">
        <v>371</v>
      </c>
      <c r="AN471" t="s">
        <v>936</v>
      </c>
      <c r="AO471" t="s">
        <v>1874</v>
      </c>
      <c r="AP471" t="s">
        <v>74</v>
      </c>
      <c r="AQ471" t="s">
        <v>74</v>
      </c>
      <c r="AR471" t="s">
        <v>1876</v>
      </c>
      <c r="AS471" t="s">
        <v>1877</v>
      </c>
      <c r="AT471" t="s">
        <v>7061</v>
      </c>
      <c r="AU471">
        <v>2012</v>
      </c>
      <c r="AV471">
        <v>35</v>
      </c>
      <c r="AW471">
        <v>9</v>
      </c>
      <c r="AX471" t="s">
        <v>74</v>
      </c>
      <c r="AY471" t="s">
        <v>74</v>
      </c>
      <c r="AZ471" t="s">
        <v>74</v>
      </c>
      <c r="BA471" t="s">
        <v>74</v>
      </c>
      <c r="BB471">
        <v>1447</v>
      </c>
      <c r="BC471">
        <v>1451</v>
      </c>
      <c r="BD471" t="s">
        <v>74</v>
      </c>
      <c r="BE471" t="s">
        <v>9077</v>
      </c>
      <c r="BF471" t="str">
        <f>HYPERLINK("http://dx.doi.org/10.1007/s00300-012-1189-0","http://dx.doi.org/10.1007/s00300-012-1189-0")</f>
        <v>http://dx.doi.org/10.1007/s00300-012-1189-0</v>
      </c>
      <c r="BG471" t="s">
        <v>74</v>
      </c>
      <c r="BH471" t="s">
        <v>74</v>
      </c>
      <c r="BI471">
        <v>5</v>
      </c>
      <c r="BJ471" t="s">
        <v>1879</v>
      </c>
      <c r="BK471" t="s">
        <v>98</v>
      </c>
      <c r="BL471" t="s">
        <v>1880</v>
      </c>
      <c r="BM471" t="s">
        <v>8193</v>
      </c>
      <c r="BN471" t="s">
        <v>74</v>
      </c>
      <c r="BO471" t="s">
        <v>74</v>
      </c>
      <c r="BP471" t="s">
        <v>74</v>
      </c>
      <c r="BQ471" t="s">
        <v>74</v>
      </c>
      <c r="BR471" t="s">
        <v>101</v>
      </c>
      <c r="BS471" t="s">
        <v>9078</v>
      </c>
      <c r="BT471" t="str">
        <f>HYPERLINK("https%3A%2F%2Fwww.webofscience.com%2Fwos%2Fwoscc%2Ffull-record%2FWOS:000306848300013","View Full Record in Web of Science")</f>
        <v>View Full Record in Web of Science</v>
      </c>
    </row>
    <row r="472" spans="1:72" x14ac:dyDescent="0.15">
      <c r="A472" t="s">
        <v>72</v>
      </c>
      <c r="B472" t="s">
        <v>9079</v>
      </c>
      <c r="C472" t="s">
        <v>74</v>
      </c>
      <c r="D472" t="s">
        <v>74</v>
      </c>
      <c r="E472" t="s">
        <v>74</v>
      </c>
      <c r="F472" t="s">
        <v>9080</v>
      </c>
      <c r="G472" t="s">
        <v>74</v>
      </c>
      <c r="H472" t="s">
        <v>74</v>
      </c>
      <c r="I472" t="s">
        <v>9081</v>
      </c>
      <c r="J472" t="s">
        <v>1860</v>
      </c>
      <c r="K472" t="s">
        <v>74</v>
      </c>
      <c r="L472" t="s">
        <v>74</v>
      </c>
      <c r="M472" t="s">
        <v>78</v>
      </c>
      <c r="N472" t="s">
        <v>79</v>
      </c>
      <c r="O472" t="s">
        <v>74</v>
      </c>
      <c r="P472" t="s">
        <v>74</v>
      </c>
      <c r="Q472" t="s">
        <v>74</v>
      </c>
      <c r="R472" t="s">
        <v>74</v>
      </c>
      <c r="S472" t="s">
        <v>74</v>
      </c>
      <c r="T472" t="s">
        <v>9082</v>
      </c>
      <c r="U472" t="s">
        <v>9083</v>
      </c>
      <c r="V472" t="s">
        <v>9084</v>
      </c>
      <c r="W472" t="s">
        <v>9085</v>
      </c>
      <c r="X472" t="s">
        <v>9086</v>
      </c>
      <c r="Y472" t="s">
        <v>9087</v>
      </c>
      <c r="Z472" t="s">
        <v>9088</v>
      </c>
      <c r="AA472" t="s">
        <v>9089</v>
      </c>
      <c r="AB472" t="s">
        <v>9090</v>
      </c>
      <c r="AC472" t="s">
        <v>9091</v>
      </c>
      <c r="AD472" t="s">
        <v>9092</v>
      </c>
      <c r="AE472" t="s">
        <v>9093</v>
      </c>
      <c r="AF472" t="s">
        <v>74</v>
      </c>
      <c r="AG472">
        <v>24</v>
      </c>
      <c r="AH472">
        <v>30</v>
      </c>
      <c r="AI472">
        <v>31</v>
      </c>
      <c r="AJ472">
        <v>2</v>
      </c>
      <c r="AK472">
        <v>71</v>
      </c>
      <c r="AL472" t="s">
        <v>935</v>
      </c>
      <c r="AM472" t="s">
        <v>371</v>
      </c>
      <c r="AN472" t="s">
        <v>936</v>
      </c>
      <c r="AO472" t="s">
        <v>1874</v>
      </c>
      <c r="AP472" t="s">
        <v>74</v>
      </c>
      <c r="AQ472" t="s">
        <v>74</v>
      </c>
      <c r="AR472" t="s">
        <v>1876</v>
      </c>
      <c r="AS472" t="s">
        <v>1877</v>
      </c>
      <c r="AT472" t="s">
        <v>7061</v>
      </c>
      <c r="AU472">
        <v>2012</v>
      </c>
      <c r="AV472">
        <v>35</v>
      </c>
      <c r="AW472">
        <v>9</v>
      </c>
      <c r="AX472" t="s">
        <v>74</v>
      </c>
      <c r="AY472" t="s">
        <v>74</v>
      </c>
      <c r="AZ472" t="s">
        <v>74</v>
      </c>
      <c r="BA472" t="s">
        <v>74</v>
      </c>
      <c r="BB472">
        <v>1453</v>
      </c>
      <c r="BC472">
        <v>1457</v>
      </c>
      <c r="BD472" t="s">
        <v>74</v>
      </c>
      <c r="BE472" t="s">
        <v>9094</v>
      </c>
      <c r="BF472" t="str">
        <f>HYPERLINK("http://dx.doi.org/10.1007/s00300-012-1196-1","http://dx.doi.org/10.1007/s00300-012-1196-1")</f>
        <v>http://dx.doi.org/10.1007/s00300-012-1196-1</v>
      </c>
      <c r="BG472" t="s">
        <v>74</v>
      </c>
      <c r="BH472" t="s">
        <v>74</v>
      </c>
      <c r="BI472">
        <v>5</v>
      </c>
      <c r="BJ472" t="s">
        <v>1879</v>
      </c>
      <c r="BK472" t="s">
        <v>98</v>
      </c>
      <c r="BL472" t="s">
        <v>1880</v>
      </c>
      <c r="BM472" t="s">
        <v>8193</v>
      </c>
      <c r="BN472" t="s">
        <v>74</v>
      </c>
      <c r="BO472" t="s">
        <v>74</v>
      </c>
      <c r="BP472" t="s">
        <v>74</v>
      </c>
      <c r="BQ472" t="s">
        <v>74</v>
      </c>
      <c r="BR472" t="s">
        <v>101</v>
      </c>
      <c r="BS472" t="s">
        <v>9095</v>
      </c>
      <c r="BT472" t="str">
        <f>HYPERLINK("https%3A%2F%2Fwww.webofscience.com%2Fwos%2Fwoscc%2Ffull-record%2FWOS:000306848300014","View Full Record in Web of Science")</f>
        <v>View Full Record in Web of Science</v>
      </c>
    </row>
    <row r="473" spans="1:72" x14ac:dyDescent="0.15">
      <c r="A473" t="s">
        <v>72</v>
      </c>
      <c r="B473" t="s">
        <v>9096</v>
      </c>
      <c r="C473" t="s">
        <v>74</v>
      </c>
      <c r="D473" t="s">
        <v>74</v>
      </c>
      <c r="E473" t="s">
        <v>74</v>
      </c>
      <c r="F473" t="s">
        <v>9097</v>
      </c>
      <c r="G473" t="s">
        <v>74</v>
      </c>
      <c r="H473" t="s">
        <v>74</v>
      </c>
      <c r="I473" t="s">
        <v>9098</v>
      </c>
      <c r="J473" t="s">
        <v>4612</v>
      </c>
      <c r="K473" t="s">
        <v>74</v>
      </c>
      <c r="L473" t="s">
        <v>74</v>
      </c>
      <c r="M473" t="s">
        <v>78</v>
      </c>
      <c r="N473" t="s">
        <v>974</v>
      </c>
      <c r="O473" t="s">
        <v>74</v>
      </c>
      <c r="P473" t="s">
        <v>74</v>
      </c>
      <c r="Q473" t="s">
        <v>74</v>
      </c>
      <c r="R473" t="s">
        <v>74</v>
      </c>
      <c r="S473" t="s">
        <v>74</v>
      </c>
      <c r="T473" t="s">
        <v>74</v>
      </c>
      <c r="U473" t="s">
        <v>9099</v>
      </c>
      <c r="V473" t="s">
        <v>9100</v>
      </c>
      <c r="W473" t="s">
        <v>9101</v>
      </c>
      <c r="X473" t="s">
        <v>9102</v>
      </c>
      <c r="Y473" t="s">
        <v>9103</v>
      </c>
      <c r="Z473" t="s">
        <v>9104</v>
      </c>
      <c r="AA473" t="s">
        <v>9105</v>
      </c>
      <c r="AB473" t="s">
        <v>9106</v>
      </c>
      <c r="AC473" t="s">
        <v>9107</v>
      </c>
      <c r="AD473" t="s">
        <v>9108</v>
      </c>
      <c r="AE473" t="s">
        <v>9109</v>
      </c>
      <c r="AF473" t="s">
        <v>74</v>
      </c>
      <c r="AG473">
        <v>81</v>
      </c>
      <c r="AH473">
        <v>34</v>
      </c>
      <c r="AI473">
        <v>34</v>
      </c>
      <c r="AJ473">
        <v>1</v>
      </c>
      <c r="AK473">
        <v>53</v>
      </c>
      <c r="AL473" t="s">
        <v>89</v>
      </c>
      <c r="AM473" t="s">
        <v>90</v>
      </c>
      <c r="AN473" t="s">
        <v>91</v>
      </c>
      <c r="AO473" t="s">
        <v>4622</v>
      </c>
      <c r="AP473" t="s">
        <v>4623</v>
      </c>
      <c r="AQ473" t="s">
        <v>74</v>
      </c>
      <c r="AR473" t="s">
        <v>4624</v>
      </c>
      <c r="AS473" t="s">
        <v>4625</v>
      </c>
      <c r="AT473" t="s">
        <v>7061</v>
      </c>
      <c r="AU473">
        <v>2012</v>
      </c>
      <c r="AV473">
        <v>103</v>
      </c>
      <c r="AW473" t="s">
        <v>74</v>
      </c>
      <c r="AX473" t="s">
        <v>74</v>
      </c>
      <c r="AY473" t="s">
        <v>74</v>
      </c>
      <c r="AZ473" t="s">
        <v>74</v>
      </c>
      <c r="BA473" t="s">
        <v>74</v>
      </c>
      <c r="BB473">
        <v>92</v>
      </c>
      <c r="BC473">
        <v>105</v>
      </c>
      <c r="BD473" t="s">
        <v>74</v>
      </c>
      <c r="BE473" t="s">
        <v>9110</v>
      </c>
      <c r="BF473" t="str">
        <f>HYPERLINK("http://dx.doi.org/10.1016/j.pocean.2012.06.002","http://dx.doi.org/10.1016/j.pocean.2012.06.002")</f>
        <v>http://dx.doi.org/10.1016/j.pocean.2012.06.002</v>
      </c>
      <c r="BG473" t="s">
        <v>74</v>
      </c>
      <c r="BH473" t="s">
        <v>74</v>
      </c>
      <c r="BI473">
        <v>14</v>
      </c>
      <c r="BJ473" t="s">
        <v>941</v>
      </c>
      <c r="BK473" t="s">
        <v>98</v>
      </c>
      <c r="BL473" t="s">
        <v>941</v>
      </c>
      <c r="BM473" t="s">
        <v>7664</v>
      </c>
      <c r="BN473" t="s">
        <v>74</v>
      </c>
      <c r="BO473" t="s">
        <v>1254</v>
      </c>
      <c r="BP473" t="s">
        <v>74</v>
      </c>
      <c r="BQ473" t="s">
        <v>74</v>
      </c>
      <c r="BR473" t="s">
        <v>101</v>
      </c>
      <c r="BS473" t="s">
        <v>9111</v>
      </c>
      <c r="BT473" t="str">
        <f>HYPERLINK("https%3A%2F%2Fwww.webofscience.com%2Fwos%2Fwoscc%2Ffull-record%2FWOS:000308453300006","View Full Record in Web of Science")</f>
        <v>View Full Record in Web of Science</v>
      </c>
    </row>
    <row r="474" spans="1:72" x14ac:dyDescent="0.15">
      <c r="A474" t="s">
        <v>72</v>
      </c>
      <c r="B474" t="s">
        <v>9112</v>
      </c>
      <c r="C474" t="s">
        <v>74</v>
      </c>
      <c r="D474" t="s">
        <v>74</v>
      </c>
      <c r="E474" t="s">
        <v>74</v>
      </c>
      <c r="F474" t="s">
        <v>9113</v>
      </c>
      <c r="G474" t="s">
        <v>74</v>
      </c>
      <c r="H474" t="s">
        <v>74</v>
      </c>
      <c r="I474" t="s">
        <v>9114</v>
      </c>
      <c r="J474" t="s">
        <v>4612</v>
      </c>
      <c r="K474" t="s">
        <v>74</v>
      </c>
      <c r="L474" t="s">
        <v>74</v>
      </c>
      <c r="M474" t="s">
        <v>78</v>
      </c>
      <c r="N474" t="s">
        <v>974</v>
      </c>
      <c r="O474" t="s">
        <v>74</v>
      </c>
      <c r="P474" t="s">
        <v>74</v>
      </c>
      <c r="Q474" t="s">
        <v>74</v>
      </c>
      <c r="R474" t="s">
        <v>74</v>
      </c>
      <c r="S474" t="s">
        <v>74</v>
      </c>
      <c r="T474" t="s">
        <v>74</v>
      </c>
      <c r="U474" t="s">
        <v>9115</v>
      </c>
      <c r="V474" t="s">
        <v>9116</v>
      </c>
      <c r="W474" t="s">
        <v>9117</v>
      </c>
      <c r="X474" t="s">
        <v>9118</v>
      </c>
      <c r="Y474" t="s">
        <v>9119</v>
      </c>
      <c r="Z474" t="s">
        <v>9120</v>
      </c>
      <c r="AA474" t="s">
        <v>9121</v>
      </c>
      <c r="AB474" t="s">
        <v>9122</v>
      </c>
      <c r="AC474" t="s">
        <v>9123</v>
      </c>
      <c r="AD474" t="s">
        <v>9124</v>
      </c>
      <c r="AE474" t="s">
        <v>9125</v>
      </c>
      <c r="AF474" t="s">
        <v>74</v>
      </c>
      <c r="AG474">
        <v>198</v>
      </c>
      <c r="AH474">
        <v>76</v>
      </c>
      <c r="AI474">
        <v>78</v>
      </c>
      <c r="AJ474">
        <v>6</v>
      </c>
      <c r="AK474">
        <v>135</v>
      </c>
      <c r="AL474" t="s">
        <v>89</v>
      </c>
      <c r="AM474" t="s">
        <v>90</v>
      </c>
      <c r="AN474" t="s">
        <v>91</v>
      </c>
      <c r="AO474" t="s">
        <v>4622</v>
      </c>
      <c r="AP474" t="s">
        <v>74</v>
      </c>
      <c r="AQ474" t="s">
        <v>74</v>
      </c>
      <c r="AR474" t="s">
        <v>4624</v>
      </c>
      <c r="AS474" t="s">
        <v>4625</v>
      </c>
      <c r="AT474" t="s">
        <v>7061</v>
      </c>
      <c r="AU474">
        <v>2012</v>
      </c>
      <c r="AV474">
        <v>102</v>
      </c>
      <c r="AW474" t="s">
        <v>74</v>
      </c>
      <c r="AX474" t="s">
        <v>74</v>
      </c>
      <c r="AY474" t="s">
        <v>74</v>
      </c>
      <c r="AZ474" t="s">
        <v>1019</v>
      </c>
      <c r="BA474" t="s">
        <v>74</v>
      </c>
      <c r="BB474">
        <v>74</v>
      </c>
      <c r="BC474">
        <v>92</v>
      </c>
      <c r="BD474" t="s">
        <v>74</v>
      </c>
      <c r="BE474" t="s">
        <v>9126</v>
      </c>
      <c r="BF474" t="str">
        <f>HYPERLINK("http://dx.doi.org/10.1016/j.pocean.2012.03.006","http://dx.doi.org/10.1016/j.pocean.2012.03.006")</f>
        <v>http://dx.doi.org/10.1016/j.pocean.2012.03.006</v>
      </c>
      <c r="BG474" t="s">
        <v>74</v>
      </c>
      <c r="BH474" t="s">
        <v>74</v>
      </c>
      <c r="BI474">
        <v>19</v>
      </c>
      <c r="BJ474" t="s">
        <v>941</v>
      </c>
      <c r="BK474" t="s">
        <v>98</v>
      </c>
      <c r="BL474" t="s">
        <v>941</v>
      </c>
      <c r="BM474" t="s">
        <v>9127</v>
      </c>
      <c r="BN474" t="s">
        <v>74</v>
      </c>
      <c r="BO474" t="s">
        <v>1499</v>
      </c>
      <c r="BP474" t="s">
        <v>74</v>
      </c>
      <c r="BQ474" t="s">
        <v>74</v>
      </c>
      <c r="BR474" t="s">
        <v>101</v>
      </c>
      <c r="BS474" t="s">
        <v>9128</v>
      </c>
      <c r="BT474" t="str">
        <f>HYPERLINK("https%3A%2F%2Fwww.webofscience.com%2Fwos%2Fwoscc%2Ffull-record%2FWOS:000307421600006","View Full Record in Web of Science")</f>
        <v>View Full Record in Web of Science</v>
      </c>
    </row>
    <row r="475" spans="1:72" x14ac:dyDescent="0.15">
      <c r="A475" t="s">
        <v>72</v>
      </c>
      <c r="B475" t="s">
        <v>9129</v>
      </c>
      <c r="C475" t="s">
        <v>74</v>
      </c>
      <c r="D475" t="s">
        <v>74</v>
      </c>
      <c r="E475" t="s">
        <v>74</v>
      </c>
      <c r="F475" t="s">
        <v>9130</v>
      </c>
      <c r="G475" t="s">
        <v>74</v>
      </c>
      <c r="H475" t="s">
        <v>74</v>
      </c>
      <c r="I475" t="s">
        <v>9131</v>
      </c>
      <c r="J475" t="s">
        <v>3007</v>
      </c>
      <c r="K475" t="s">
        <v>74</v>
      </c>
      <c r="L475" t="s">
        <v>74</v>
      </c>
      <c r="M475" t="s">
        <v>78</v>
      </c>
      <c r="N475" t="s">
        <v>79</v>
      </c>
      <c r="O475" t="s">
        <v>74</v>
      </c>
      <c r="P475" t="s">
        <v>74</v>
      </c>
      <c r="Q475" t="s">
        <v>74</v>
      </c>
      <c r="R475" t="s">
        <v>74</v>
      </c>
      <c r="S475" t="s">
        <v>74</v>
      </c>
      <c r="T475" t="s">
        <v>9132</v>
      </c>
      <c r="U475" t="s">
        <v>9133</v>
      </c>
      <c r="V475" t="s">
        <v>9134</v>
      </c>
      <c r="W475" t="s">
        <v>9135</v>
      </c>
      <c r="X475" t="s">
        <v>9136</v>
      </c>
      <c r="Y475" t="s">
        <v>9137</v>
      </c>
      <c r="Z475" t="s">
        <v>9138</v>
      </c>
      <c r="AA475" t="s">
        <v>9139</v>
      </c>
      <c r="AB475" t="s">
        <v>9140</v>
      </c>
      <c r="AC475" t="s">
        <v>74</v>
      </c>
      <c r="AD475" t="s">
        <v>74</v>
      </c>
      <c r="AE475" t="s">
        <v>74</v>
      </c>
      <c r="AF475" t="s">
        <v>74</v>
      </c>
      <c r="AG475">
        <v>20</v>
      </c>
      <c r="AH475">
        <v>159</v>
      </c>
      <c r="AI475">
        <v>183</v>
      </c>
      <c r="AJ475">
        <v>0</v>
      </c>
      <c r="AK475">
        <v>42</v>
      </c>
      <c r="AL475" t="s">
        <v>3018</v>
      </c>
      <c r="AM475" t="s">
        <v>3019</v>
      </c>
      <c r="AN475" t="s">
        <v>3020</v>
      </c>
      <c r="AO475" t="s">
        <v>74</v>
      </c>
      <c r="AP475" t="s">
        <v>3021</v>
      </c>
      <c r="AQ475" t="s">
        <v>74</v>
      </c>
      <c r="AR475" t="s">
        <v>3022</v>
      </c>
      <c r="AS475" t="s">
        <v>3023</v>
      </c>
      <c r="AT475" t="s">
        <v>7061</v>
      </c>
      <c r="AU475">
        <v>2012</v>
      </c>
      <c r="AV475">
        <v>4</v>
      </c>
      <c r="AW475">
        <v>9</v>
      </c>
      <c r="AX475" t="s">
        <v>74</v>
      </c>
      <c r="AY475" t="s">
        <v>74</v>
      </c>
      <c r="AZ475" t="s">
        <v>74</v>
      </c>
      <c r="BA475" t="s">
        <v>74</v>
      </c>
      <c r="BB475">
        <v>2753</v>
      </c>
      <c r="BC475">
        <v>2767</v>
      </c>
      <c r="BD475" t="s">
        <v>74</v>
      </c>
      <c r="BE475" t="s">
        <v>9141</v>
      </c>
      <c r="BF475" t="str">
        <f>HYPERLINK("http://dx.doi.org/10.3390/rs4092753","http://dx.doi.org/10.3390/rs4092753")</f>
        <v>http://dx.doi.org/10.3390/rs4092753</v>
      </c>
      <c r="BG475" t="s">
        <v>74</v>
      </c>
      <c r="BH475" t="s">
        <v>74</v>
      </c>
      <c r="BI475">
        <v>15</v>
      </c>
      <c r="BJ475" t="s">
        <v>3025</v>
      </c>
      <c r="BK475" t="s">
        <v>98</v>
      </c>
      <c r="BL475" t="s">
        <v>3026</v>
      </c>
      <c r="BM475" t="s">
        <v>9142</v>
      </c>
      <c r="BN475" t="s">
        <v>74</v>
      </c>
      <c r="BO475" t="s">
        <v>3028</v>
      </c>
      <c r="BP475" t="s">
        <v>74</v>
      </c>
      <c r="BQ475" t="s">
        <v>74</v>
      </c>
      <c r="BR475" t="s">
        <v>101</v>
      </c>
      <c r="BS475" t="s">
        <v>9143</v>
      </c>
      <c r="BT475" t="str">
        <f>HYPERLINK("https%3A%2F%2Fwww.webofscience.com%2Fwos%2Fwoscc%2Ffull-record%2FWOS:000313913500012","View Full Record in Web of Science")</f>
        <v>View Full Record in Web of Science</v>
      </c>
    </row>
    <row r="476" spans="1:72" x14ac:dyDescent="0.15">
      <c r="A476" t="s">
        <v>72</v>
      </c>
      <c r="B476" t="s">
        <v>9144</v>
      </c>
      <c r="C476" t="s">
        <v>74</v>
      </c>
      <c r="D476" t="s">
        <v>74</v>
      </c>
      <c r="E476" t="s">
        <v>74</v>
      </c>
      <c r="F476" t="s">
        <v>9145</v>
      </c>
      <c r="G476" t="s">
        <v>74</v>
      </c>
      <c r="H476" t="s">
        <v>74</v>
      </c>
      <c r="I476" t="s">
        <v>9146</v>
      </c>
      <c r="J476" t="s">
        <v>9147</v>
      </c>
      <c r="K476" t="s">
        <v>74</v>
      </c>
      <c r="L476" t="s">
        <v>74</v>
      </c>
      <c r="M476" t="s">
        <v>78</v>
      </c>
      <c r="N476" t="s">
        <v>79</v>
      </c>
      <c r="O476" t="s">
        <v>74</v>
      </c>
      <c r="P476" t="s">
        <v>74</v>
      </c>
      <c r="Q476" t="s">
        <v>74</v>
      </c>
      <c r="R476" t="s">
        <v>74</v>
      </c>
      <c r="S476" t="s">
        <v>74</v>
      </c>
      <c r="T476" t="s">
        <v>9148</v>
      </c>
      <c r="U476" t="s">
        <v>9149</v>
      </c>
      <c r="V476" t="s">
        <v>9150</v>
      </c>
      <c r="W476" t="s">
        <v>9151</v>
      </c>
      <c r="X476" t="s">
        <v>9152</v>
      </c>
      <c r="Y476" t="s">
        <v>9153</v>
      </c>
      <c r="Z476" t="s">
        <v>9154</v>
      </c>
      <c r="AA476" t="s">
        <v>9155</v>
      </c>
      <c r="AB476" t="s">
        <v>9156</v>
      </c>
      <c r="AC476" t="s">
        <v>9157</v>
      </c>
      <c r="AD476" t="s">
        <v>9158</v>
      </c>
      <c r="AE476" t="s">
        <v>9159</v>
      </c>
      <c r="AF476" t="s">
        <v>74</v>
      </c>
      <c r="AG476">
        <v>26</v>
      </c>
      <c r="AH476">
        <v>12</v>
      </c>
      <c r="AI476">
        <v>14</v>
      </c>
      <c r="AJ476">
        <v>3</v>
      </c>
      <c r="AK476">
        <v>47</v>
      </c>
      <c r="AL476" t="s">
        <v>370</v>
      </c>
      <c r="AM476" t="s">
        <v>371</v>
      </c>
      <c r="AN476" t="s">
        <v>8106</v>
      </c>
      <c r="AO476" t="s">
        <v>9160</v>
      </c>
      <c r="AP476" t="s">
        <v>9161</v>
      </c>
      <c r="AQ476" t="s">
        <v>74</v>
      </c>
      <c r="AR476" t="s">
        <v>9162</v>
      </c>
      <c r="AS476" t="s">
        <v>9163</v>
      </c>
      <c r="AT476" t="s">
        <v>7061</v>
      </c>
      <c r="AU476">
        <v>2012</v>
      </c>
      <c r="AV476">
        <v>124</v>
      </c>
      <c r="AW476" t="s">
        <v>74</v>
      </c>
      <c r="AX476" t="s">
        <v>74</v>
      </c>
      <c r="AY476" t="s">
        <v>74</v>
      </c>
      <c r="AZ476" t="s">
        <v>74</v>
      </c>
      <c r="BA476" t="s">
        <v>74</v>
      </c>
      <c r="BB476">
        <v>251</v>
      </c>
      <c r="BC476">
        <v>258</v>
      </c>
      <c r="BD476" t="s">
        <v>74</v>
      </c>
      <c r="BE476" t="s">
        <v>9164</v>
      </c>
      <c r="BF476" t="str">
        <f>HYPERLINK("http://dx.doi.org/10.1016/j.rse.2012.05.017","http://dx.doi.org/10.1016/j.rse.2012.05.017")</f>
        <v>http://dx.doi.org/10.1016/j.rse.2012.05.017</v>
      </c>
      <c r="BG476" t="s">
        <v>74</v>
      </c>
      <c r="BH476" t="s">
        <v>74</v>
      </c>
      <c r="BI476">
        <v>8</v>
      </c>
      <c r="BJ476" t="s">
        <v>9165</v>
      </c>
      <c r="BK476" t="s">
        <v>98</v>
      </c>
      <c r="BL476" t="s">
        <v>9166</v>
      </c>
      <c r="BM476" t="s">
        <v>9167</v>
      </c>
      <c r="BN476" t="s">
        <v>74</v>
      </c>
      <c r="BO476" t="s">
        <v>1499</v>
      </c>
      <c r="BP476" t="s">
        <v>74</v>
      </c>
      <c r="BQ476" t="s">
        <v>74</v>
      </c>
      <c r="BR476" t="s">
        <v>101</v>
      </c>
      <c r="BS476" t="s">
        <v>9168</v>
      </c>
      <c r="BT476" t="str">
        <f>HYPERLINK("https%3A%2F%2Fwww.webofscience.com%2Fwos%2Fwoscc%2Ffull-record%2FWOS:000311247700022","View Full Record in Web of Science")</f>
        <v>View Full Record in Web of Science</v>
      </c>
    </row>
    <row r="477" spans="1:72" x14ac:dyDescent="0.15">
      <c r="A477" t="s">
        <v>72</v>
      </c>
      <c r="B477" t="s">
        <v>9169</v>
      </c>
      <c r="C477" t="s">
        <v>74</v>
      </c>
      <c r="D477" t="s">
        <v>74</v>
      </c>
      <c r="E477" t="s">
        <v>74</v>
      </c>
      <c r="F477" t="s">
        <v>9170</v>
      </c>
      <c r="G477" t="s">
        <v>74</v>
      </c>
      <c r="H477" t="s">
        <v>74</v>
      </c>
      <c r="I477" t="s">
        <v>9171</v>
      </c>
      <c r="J477" t="s">
        <v>315</v>
      </c>
      <c r="K477" t="s">
        <v>74</v>
      </c>
      <c r="L477" t="s">
        <v>74</v>
      </c>
      <c r="M477" t="s">
        <v>78</v>
      </c>
      <c r="N477" t="s">
        <v>79</v>
      </c>
      <c r="O477" t="s">
        <v>74</v>
      </c>
      <c r="P477" t="s">
        <v>74</v>
      </c>
      <c r="Q477" t="s">
        <v>74</v>
      </c>
      <c r="R477" t="s">
        <v>74</v>
      </c>
      <c r="S477" t="s">
        <v>74</v>
      </c>
      <c r="T477" t="s">
        <v>9172</v>
      </c>
      <c r="U477" t="s">
        <v>9173</v>
      </c>
      <c r="V477" t="s">
        <v>9174</v>
      </c>
      <c r="W477" t="s">
        <v>9175</v>
      </c>
      <c r="X477" t="s">
        <v>9176</v>
      </c>
      <c r="Y477" t="s">
        <v>9177</v>
      </c>
      <c r="Z477" t="s">
        <v>9178</v>
      </c>
      <c r="AA477" t="s">
        <v>74</v>
      </c>
      <c r="AB477" t="s">
        <v>74</v>
      </c>
      <c r="AC477" t="s">
        <v>9179</v>
      </c>
      <c r="AD477" t="s">
        <v>9180</v>
      </c>
      <c r="AE477" t="s">
        <v>9181</v>
      </c>
      <c r="AF477" t="s">
        <v>74</v>
      </c>
      <c r="AG477">
        <v>74</v>
      </c>
      <c r="AH477">
        <v>56</v>
      </c>
      <c r="AI477">
        <v>61</v>
      </c>
      <c r="AJ477">
        <v>2</v>
      </c>
      <c r="AK477">
        <v>73</v>
      </c>
      <c r="AL477" t="s">
        <v>188</v>
      </c>
      <c r="AM477" t="s">
        <v>189</v>
      </c>
      <c r="AN477" t="s">
        <v>190</v>
      </c>
      <c r="AO477" t="s">
        <v>328</v>
      </c>
      <c r="AP477" t="s">
        <v>351</v>
      </c>
      <c r="AQ477" t="s">
        <v>74</v>
      </c>
      <c r="AR477" t="s">
        <v>329</v>
      </c>
      <c r="AS477" t="s">
        <v>330</v>
      </c>
      <c r="AT477" t="s">
        <v>7117</v>
      </c>
      <c r="AU477">
        <v>2012</v>
      </c>
      <c r="AV477">
        <v>433</v>
      </c>
      <c r="AW477" t="s">
        <v>74</v>
      </c>
      <c r="AX477" t="s">
        <v>74</v>
      </c>
      <c r="AY477" t="s">
        <v>74</v>
      </c>
      <c r="AZ477" t="s">
        <v>74</v>
      </c>
      <c r="BA477" t="s">
        <v>74</v>
      </c>
      <c r="BB477">
        <v>132</v>
      </c>
      <c r="BC477">
        <v>140</v>
      </c>
      <c r="BD477" t="s">
        <v>74</v>
      </c>
      <c r="BE477" t="s">
        <v>9182</v>
      </c>
      <c r="BF477" t="str">
        <f>HYPERLINK("http://dx.doi.org/10.1016/j.scitotenv.2012.06.022","http://dx.doi.org/10.1016/j.scitotenv.2012.06.022")</f>
        <v>http://dx.doi.org/10.1016/j.scitotenv.2012.06.022</v>
      </c>
      <c r="BG477" t="s">
        <v>74</v>
      </c>
      <c r="BH477" t="s">
        <v>74</v>
      </c>
      <c r="BI477">
        <v>9</v>
      </c>
      <c r="BJ477" t="s">
        <v>332</v>
      </c>
      <c r="BK477" t="s">
        <v>98</v>
      </c>
      <c r="BL477" t="s">
        <v>333</v>
      </c>
      <c r="BM477" t="s">
        <v>7682</v>
      </c>
      <c r="BN477">
        <v>22776269</v>
      </c>
      <c r="BO477" t="s">
        <v>74</v>
      </c>
      <c r="BP477" t="s">
        <v>74</v>
      </c>
      <c r="BQ477" t="s">
        <v>74</v>
      </c>
      <c r="BR477" t="s">
        <v>101</v>
      </c>
      <c r="BS477" t="s">
        <v>9183</v>
      </c>
      <c r="BT477" t="str">
        <f>HYPERLINK("https%3A%2F%2Fwww.webofscience.com%2Fwos%2Fwoscc%2Ffull-record%2FWOS:000308787500013","View Full Record in Web of Science")</f>
        <v>View Full Record in Web of Science</v>
      </c>
    </row>
    <row r="478" spans="1:72" x14ac:dyDescent="0.15">
      <c r="A478" t="s">
        <v>72</v>
      </c>
      <c r="B478" t="s">
        <v>9184</v>
      </c>
      <c r="C478" t="s">
        <v>74</v>
      </c>
      <c r="D478" t="s">
        <v>74</v>
      </c>
      <c r="E478" t="s">
        <v>74</v>
      </c>
      <c r="F478" t="s">
        <v>9185</v>
      </c>
      <c r="G478" t="s">
        <v>74</v>
      </c>
      <c r="H478" t="s">
        <v>74</v>
      </c>
      <c r="I478" t="s">
        <v>9186</v>
      </c>
      <c r="J478" t="s">
        <v>9187</v>
      </c>
      <c r="K478" t="s">
        <v>74</v>
      </c>
      <c r="L478" t="s">
        <v>74</v>
      </c>
      <c r="M478" t="s">
        <v>78</v>
      </c>
      <c r="N478" t="s">
        <v>79</v>
      </c>
      <c r="O478" t="s">
        <v>74</v>
      </c>
      <c r="P478" t="s">
        <v>74</v>
      </c>
      <c r="Q478" t="s">
        <v>74</v>
      </c>
      <c r="R478" t="s">
        <v>74</v>
      </c>
      <c r="S478" t="s">
        <v>74</v>
      </c>
      <c r="T478" t="s">
        <v>9188</v>
      </c>
      <c r="U478" t="s">
        <v>9189</v>
      </c>
      <c r="V478" t="s">
        <v>9190</v>
      </c>
      <c r="W478" t="s">
        <v>9191</v>
      </c>
      <c r="X478" t="s">
        <v>9192</v>
      </c>
      <c r="Y478" t="s">
        <v>9193</v>
      </c>
      <c r="Z478" t="s">
        <v>9194</v>
      </c>
      <c r="AA478" t="s">
        <v>9195</v>
      </c>
      <c r="AB478" t="s">
        <v>9196</v>
      </c>
      <c r="AC478" t="s">
        <v>9197</v>
      </c>
      <c r="AD478" t="s">
        <v>9198</v>
      </c>
      <c r="AE478" t="s">
        <v>9199</v>
      </c>
      <c r="AF478" t="s">
        <v>74</v>
      </c>
      <c r="AG478">
        <v>27</v>
      </c>
      <c r="AH478">
        <v>8</v>
      </c>
      <c r="AI478">
        <v>8</v>
      </c>
      <c r="AJ478">
        <v>1</v>
      </c>
      <c r="AK478">
        <v>13</v>
      </c>
      <c r="AL478" t="s">
        <v>9200</v>
      </c>
      <c r="AM478" t="s">
        <v>9201</v>
      </c>
      <c r="AN478" t="s">
        <v>9202</v>
      </c>
      <c r="AO478" t="s">
        <v>9203</v>
      </c>
      <c r="AP478" t="s">
        <v>9204</v>
      </c>
      <c r="AQ478" t="s">
        <v>74</v>
      </c>
      <c r="AR478" t="s">
        <v>9205</v>
      </c>
      <c r="AS478" t="s">
        <v>9206</v>
      </c>
      <c r="AT478" t="s">
        <v>7061</v>
      </c>
      <c r="AU478">
        <v>2012</v>
      </c>
      <c r="AV478">
        <v>76</v>
      </c>
      <c r="AW478" t="s">
        <v>74</v>
      </c>
      <c r="AX478" t="s">
        <v>74</v>
      </c>
      <c r="AY478">
        <v>1</v>
      </c>
      <c r="AZ478" t="s">
        <v>74</v>
      </c>
      <c r="BA478" t="s">
        <v>74</v>
      </c>
      <c r="BB478">
        <v>189</v>
      </c>
      <c r="BC478">
        <v>207</v>
      </c>
      <c r="BD478" t="s">
        <v>74</v>
      </c>
      <c r="BE478" t="s">
        <v>9207</v>
      </c>
      <c r="BF478" t="str">
        <f>HYPERLINK("http://dx.doi.org/10.3989/scimar.03616.19G","http://dx.doi.org/10.3989/scimar.03616.19G")</f>
        <v>http://dx.doi.org/10.3989/scimar.03616.19G</v>
      </c>
      <c r="BG478" t="s">
        <v>74</v>
      </c>
      <c r="BH478" t="s">
        <v>74</v>
      </c>
      <c r="BI478">
        <v>19</v>
      </c>
      <c r="BJ478" t="s">
        <v>1753</v>
      </c>
      <c r="BK478" t="s">
        <v>98</v>
      </c>
      <c r="BL478" t="s">
        <v>1753</v>
      </c>
      <c r="BM478" t="s">
        <v>9208</v>
      </c>
      <c r="BN478" t="s">
        <v>74</v>
      </c>
      <c r="BO478" t="s">
        <v>3028</v>
      </c>
      <c r="BP478" t="s">
        <v>74</v>
      </c>
      <c r="BQ478" t="s">
        <v>74</v>
      </c>
      <c r="BR478" t="s">
        <v>101</v>
      </c>
      <c r="BS478" t="s">
        <v>9209</v>
      </c>
      <c r="BT478" t="str">
        <f>HYPERLINK("https%3A%2F%2Fwww.webofscience.com%2Fwos%2Fwoscc%2Ffull-record%2FWOS:000308673500014","View Full Record in Web of Science")</f>
        <v>View Full Record in Web of Science</v>
      </c>
    </row>
    <row r="479" spans="1:72" x14ac:dyDescent="0.15">
      <c r="A479" t="s">
        <v>72</v>
      </c>
      <c r="B479" t="s">
        <v>9210</v>
      </c>
      <c r="C479" t="s">
        <v>74</v>
      </c>
      <c r="D479" t="s">
        <v>74</v>
      </c>
      <c r="E479" t="s">
        <v>74</v>
      </c>
      <c r="F479" t="s">
        <v>9211</v>
      </c>
      <c r="G479" t="s">
        <v>74</v>
      </c>
      <c r="H479" t="s">
        <v>74</v>
      </c>
      <c r="I479" t="s">
        <v>9212</v>
      </c>
      <c r="J479" t="s">
        <v>6131</v>
      </c>
      <c r="K479" t="s">
        <v>74</v>
      </c>
      <c r="L479" t="s">
        <v>74</v>
      </c>
      <c r="M479" t="s">
        <v>78</v>
      </c>
      <c r="N479" t="s">
        <v>79</v>
      </c>
      <c r="O479" t="s">
        <v>74</v>
      </c>
      <c r="P479" t="s">
        <v>74</v>
      </c>
      <c r="Q479" t="s">
        <v>74</v>
      </c>
      <c r="R479" t="s">
        <v>74</v>
      </c>
      <c r="S479" t="s">
        <v>74</v>
      </c>
      <c r="T479" t="s">
        <v>9213</v>
      </c>
      <c r="U479" t="s">
        <v>9214</v>
      </c>
      <c r="V479" t="s">
        <v>9215</v>
      </c>
      <c r="W479" t="s">
        <v>9216</v>
      </c>
      <c r="X479" t="s">
        <v>9217</v>
      </c>
      <c r="Y479" t="s">
        <v>9218</v>
      </c>
      <c r="Z479" t="s">
        <v>9219</v>
      </c>
      <c r="AA479" t="s">
        <v>9220</v>
      </c>
      <c r="AB479" t="s">
        <v>9221</v>
      </c>
      <c r="AC479" t="s">
        <v>9222</v>
      </c>
      <c r="AD479" t="s">
        <v>9223</v>
      </c>
      <c r="AE479" t="s">
        <v>9224</v>
      </c>
      <c r="AF479" t="s">
        <v>74</v>
      </c>
      <c r="AG479">
        <v>76</v>
      </c>
      <c r="AH479">
        <v>45</v>
      </c>
      <c r="AI479">
        <v>47</v>
      </c>
      <c r="AJ479">
        <v>2</v>
      </c>
      <c r="AK479">
        <v>34</v>
      </c>
      <c r="AL479" t="s">
        <v>935</v>
      </c>
      <c r="AM479" t="s">
        <v>2382</v>
      </c>
      <c r="AN479" t="s">
        <v>2383</v>
      </c>
      <c r="AO479" t="s">
        <v>6144</v>
      </c>
      <c r="AP479" t="s">
        <v>9225</v>
      </c>
      <c r="AQ479" t="s">
        <v>74</v>
      </c>
      <c r="AR479" t="s">
        <v>6145</v>
      </c>
      <c r="AS479" t="s">
        <v>6146</v>
      </c>
      <c r="AT479" t="s">
        <v>7061</v>
      </c>
      <c r="AU479">
        <v>2012</v>
      </c>
      <c r="AV479">
        <v>280</v>
      </c>
      <c r="AW479">
        <v>1</v>
      </c>
      <c r="AX479" t="s">
        <v>74</v>
      </c>
      <c r="AY479" t="s">
        <v>74</v>
      </c>
      <c r="AZ479" t="s">
        <v>74</v>
      </c>
      <c r="BA479" t="s">
        <v>74</v>
      </c>
      <c r="BB479">
        <v>237</v>
      </c>
      <c r="BC479">
        <v>254</v>
      </c>
      <c r="BD479" t="s">
        <v>74</v>
      </c>
      <c r="BE479" t="s">
        <v>9226</v>
      </c>
      <c r="BF479" t="str">
        <f>HYPERLINK("http://dx.doi.org/10.1007/s11207-012-0060-3","http://dx.doi.org/10.1007/s11207-012-0060-3")</f>
        <v>http://dx.doi.org/10.1007/s11207-012-0060-3</v>
      </c>
      <c r="BG479" t="s">
        <v>74</v>
      </c>
      <c r="BH479" t="s">
        <v>74</v>
      </c>
      <c r="BI479">
        <v>18</v>
      </c>
      <c r="BJ479" t="s">
        <v>127</v>
      </c>
      <c r="BK479" t="s">
        <v>98</v>
      </c>
      <c r="BL479" t="s">
        <v>127</v>
      </c>
      <c r="BM479" t="s">
        <v>9227</v>
      </c>
      <c r="BN479" t="s">
        <v>74</v>
      </c>
      <c r="BO479" t="s">
        <v>74</v>
      </c>
      <c r="BP479" t="s">
        <v>74</v>
      </c>
      <c r="BQ479" t="s">
        <v>74</v>
      </c>
      <c r="BR479" t="s">
        <v>101</v>
      </c>
      <c r="BS479" t="s">
        <v>9228</v>
      </c>
      <c r="BT479" t="str">
        <f>HYPERLINK("https%3A%2F%2Fwww.webofscience.com%2Fwos%2Fwoscc%2Ffull-record%2FWOS:000307352700016","View Full Record in Web of Science")</f>
        <v>View Full Record in Web of Science</v>
      </c>
    </row>
    <row r="480" spans="1:72" x14ac:dyDescent="0.15">
      <c r="A480" t="s">
        <v>72</v>
      </c>
      <c r="B480" t="s">
        <v>9229</v>
      </c>
      <c r="C480" t="s">
        <v>74</v>
      </c>
      <c r="D480" t="s">
        <v>74</v>
      </c>
      <c r="E480" t="s">
        <v>74</v>
      </c>
      <c r="F480" t="s">
        <v>9230</v>
      </c>
      <c r="G480" t="s">
        <v>74</v>
      </c>
      <c r="H480" t="s">
        <v>74</v>
      </c>
      <c r="I480" t="s">
        <v>9231</v>
      </c>
      <c r="J480" t="s">
        <v>9232</v>
      </c>
      <c r="K480" t="s">
        <v>74</v>
      </c>
      <c r="L480" t="s">
        <v>74</v>
      </c>
      <c r="M480" t="s">
        <v>78</v>
      </c>
      <c r="N480" t="s">
        <v>974</v>
      </c>
      <c r="O480" t="s">
        <v>74</v>
      </c>
      <c r="P480" t="s">
        <v>74</v>
      </c>
      <c r="Q480" t="s">
        <v>74</v>
      </c>
      <c r="R480" t="s">
        <v>74</v>
      </c>
      <c r="S480" t="s">
        <v>74</v>
      </c>
      <c r="T480" t="s">
        <v>74</v>
      </c>
      <c r="U480" t="s">
        <v>9233</v>
      </c>
      <c r="V480" t="s">
        <v>9234</v>
      </c>
      <c r="W480" t="s">
        <v>9235</v>
      </c>
      <c r="X480" t="s">
        <v>9236</v>
      </c>
      <c r="Y480" t="s">
        <v>9237</v>
      </c>
      <c r="Z480" t="s">
        <v>9238</v>
      </c>
      <c r="AA480" t="s">
        <v>9239</v>
      </c>
      <c r="AB480" t="s">
        <v>9240</v>
      </c>
      <c r="AC480" t="s">
        <v>74</v>
      </c>
      <c r="AD480" t="s">
        <v>74</v>
      </c>
      <c r="AE480" t="s">
        <v>74</v>
      </c>
      <c r="AF480" t="s">
        <v>74</v>
      </c>
      <c r="AG480">
        <v>76</v>
      </c>
      <c r="AH480">
        <v>131</v>
      </c>
      <c r="AI480">
        <v>145</v>
      </c>
      <c r="AJ480">
        <v>1</v>
      </c>
      <c r="AK480">
        <v>86</v>
      </c>
      <c r="AL480" t="s">
        <v>9241</v>
      </c>
      <c r="AM480" t="s">
        <v>434</v>
      </c>
      <c r="AN480" t="s">
        <v>9242</v>
      </c>
      <c r="AO480" t="s">
        <v>9243</v>
      </c>
      <c r="AP480" t="s">
        <v>9244</v>
      </c>
      <c r="AQ480" t="s">
        <v>74</v>
      </c>
      <c r="AR480" t="s">
        <v>9245</v>
      </c>
      <c r="AS480" t="s">
        <v>9246</v>
      </c>
      <c r="AT480" t="s">
        <v>7061</v>
      </c>
      <c r="AU480">
        <v>2012</v>
      </c>
      <c r="AV480">
        <v>27</v>
      </c>
      <c r="AW480">
        <v>9</v>
      </c>
      <c r="AX480" t="s">
        <v>74</v>
      </c>
      <c r="AY480" t="s">
        <v>74</v>
      </c>
      <c r="AZ480" t="s">
        <v>74</v>
      </c>
      <c r="BA480" t="s">
        <v>74</v>
      </c>
      <c r="BB480">
        <v>520</v>
      </c>
      <c r="BC480">
        <v>528</v>
      </c>
      <c r="BD480" t="s">
        <v>74</v>
      </c>
      <c r="BE480" t="s">
        <v>9247</v>
      </c>
      <c r="BF480" t="str">
        <f>HYPERLINK("http://dx.doi.org/10.1016/j.tree.2012.05.009","http://dx.doi.org/10.1016/j.tree.2012.05.009")</f>
        <v>http://dx.doi.org/10.1016/j.tree.2012.05.009</v>
      </c>
      <c r="BG480" t="s">
        <v>74</v>
      </c>
      <c r="BH480" t="s">
        <v>74</v>
      </c>
      <c r="BI480">
        <v>9</v>
      </c>
      <c r="BJ480" t="s">
        <v>9248</v>
      </c>
      <c r="BK480" t="s">
        <v>98</v>
      </c>
      <c r="BL480" t="s">
        <v>9249</v>
      </c>
      <c r="BM480" t="s">
        <v>9250</v>
      </c>
      <c r="BN480">
        <v>22727016</v>
      </c>
      <c r="BO480" t="s">
        <v>74</v>
      </c>
      <c r="BP480" t="s">
        <v>74</v>
      </c>
      <c r="BQ480" t="s">
        <v>74</v>
      </c>
      <c r="BR480" t="s">
        <v>101</v>
      </c>
      <c r="BS480" t="s">
        <v>9251</v>
      </c>
      <c r="BT480" t="str">
        <f>HYPERLINK("https%3A%2F%2Fwww.webofscience.com%2Fwos%2Fwoscc%2Ffull-record%2FWOS:000308268300009","View Full Record in Web of Science")</f>
        <v>View Full Record in Web of Science</v>
      </c>
    </row>
    <row r="481" spans="1:72" x14ac:dyDescent="0.15">
      <c r="A481" t="s">
        <v>72</v>
      </c>
      <c r="B481" t="s">
        <v>9252</v>
      </c>
      <c r="C481" t="s">
        <v>74</v>
      </c>
      <c r="D481" t="s">
        <v>74</v>
      </c>
      <c r="E481" t="s">
        <v>74</v>
      </c>
      <c r="F481" t="s">
        <v>9253</v>
      </c>
      <c r="G481" t="s">
        <v>74</v>
      </c>
      <c r="H481" t="s">
        <v>74</v>
      </c>
      <c r="I481" t="s">
        <v>9254</v>
      </c>
      <c r="J481" t="s">
        <v>9255</v>
      </c>
      <c r="K481" t="s">
        <v>74</v>
      </c>
      <c r="L481" t="s">
        <v>74</v>
      </c>
      <c r="M481" t="s">
        <v>78</v>
      </c>
      <c r="N481" t="s">
        <v>79</v>
      </c>
      <c r="O481" t="s">
        <v>74</v>
      </c>
      <c r="P481" t="s">
        <v>74</v>
      </c>
      <c r="Q481" t="s">
        <v>74</v>
      </c>
      <c r="R481" t="s">
        <v>74</v>
      </c>
      <c r="S481" t="s">
        <v>74</v>
      </c>
      <c r="T481" t="s">
        <v>9256</v>
      </c>
      <c r="U481" t="s">
        <v>9257</v>
      </c>
      <c r="V481" t="s">
        <v>9258</v>
      </c>
      <c r="W481" t="s">
        <v>9259</v>
      </c>
      <c r="X481" t="s">
        <v>9260</v>
      </c>
      <c r="Y481" t="s">
        <v>9261</v>
      </c>
      <c r="Z481" t="s">
        <v>9262</v>
      </c>
      <c r="AA481" t="s">
        <v>9263</v>
      </c>
      <c r="AB481" t="s">
        <v>9264</v>
      </c>
      <c r="AC481" t="s">
        <v>9265</v>
      </c>
      <c r="AD481" t="s">
        <v>9266</v>
      </c>
      <c r="AE481" t="s">
        <v>9267</v>
      </c>
      <c r="AF481" t="s">
        <v>74</v>
      </c>
      <c r="AG481">
        <v>27</v>
      </c>
      <c r="AH481">
        <v>30</v>
      </c>
      <c r="AI481">
        <v>35</v>
      </c>
      <c r="AJ481">
        <v>0</v>
      </c>
      <c r="AK481">
        <v>48</v>
      </c>
      <c r="AL481" t="s">
        <v>935</v>
      </c>
      <c r="AM481" t="s">
        <v>2382</v>
      </c>
      <c r="AN481" t="s">
        <v>2383</v>
      </c>
      <c r="AO481" t="s">
        <v>9268</v>
      </c>
      <c r="AP481" t="s">
        <v>9269</v>
      </c>
      <c r="AQ481" t="s">
        <v>74</v>
      </c>
      <c r="AR481" t="s">
        <v>9270</v>
      </c>
      <c r="AS481" t="s">
        <v>9271</v>
      </c>
      <c r="AT481" t="s">
        <v>7061</v>
      </c>
      <c r="AU481">
        <v>2012</v>
      </c>
      <c r="AV481">
        <v>39</v>
      </c>
      <c r="AW481">
        <v>9</v>
      </c>
      <c r="AX481" t="s">
        <v>74</v>
      </c>
      <c r="AY481" t="s">
        <v>74</v>
      </c>
      <c r="AZ481" t="s">
        <v>74</v>
      </c>
      <c r="BA481" t="s">
        <v>74</v>
      </c>
      <c r="BB481">
        <v>9233</v>
      </c>
      <c r="BC481">
        <v>9238</v>
      </c>
      <c r="BD481" t="s">
        <v>74</v>
      </c>
      <c r="BE481" t="s">
        <v>9272</v>
      </c>
      <c r="BF481" t="str">
        <f>HYPERLINK("http://dx.doi.org/10.1007/s11033-012-1796-4","http://dx.doi.org/10.1007/s11033-012-1796-4")</f>
        <v>http://dx.doi.org/10.1007/s11033-012-1796-4</v>
      </c>
      <c r="BG481" t="s">
        <v>74</v>
      </c>
      <c r="BH481" t="s">
        <v>74</v>
      </c>
      <c r="BI481">
        <v>6</v>
      </c>
      <c r="BJ481" t="s">
        <v>3727</v>
      </c>
      <c r="BK481" t="s">
        <v>98</v>
      </c>
      <c r="BL481" t="s">
        <v>3727</v>
      </c>
      <c r="BM481" t="s">
        <v>9273</v>
      </c>
      <c r="BN481">
        <v>22714922</v>
      </c>
      <c r="BO481" t="s">
        <v>74</v>
      </c>
      <c r="BP481" t="s">
        <v>74</v>
      </c>
      <c r="BQ481" t="s">
        <v>74</v>
      </c>
      <c r="BR481" t="s">
        <v>101</v>
      </c>
      <c r="BS481" t="s">
        <v>9274</v>
      </c>
      <c r="BT481" t="str">
        <f>HYPERLINK("https%3A%2F%2Fwww.webofscience.com%2Fwos%2Fwoscc%2Ffull-record%2FWOS:000306799700077","View Full Record in Web of Science")</f>
        <v>View Full Record in Web of Science</v>
      </c>
    </row>
    <row r="482" spans="1:72" x14ac:dyDescent="0.15">
      <c r="A482" t="s">
        <v>72</v>
      </c>
      <c r="B482" t="s">
        <v>9275</v>
      </c>
      <c r="C482" t="s">
        <v>74</v>
      </c>
      <c r="D482" t="s">
        <v>74</v>
      </c>
      <c r="E482" t="s">
        <v>74</v>
      </c>
      <c r="F482" t="s">
        <v>9276</v>
      </c>
      <c r="G482" t="s">
        <v>74</v>
      </c>
      <c r="H482" t="s">
        <v>74</v>
      </c>
      <c r="I482" t="s">
        <v>9277</v>
      </c>
      <c r="J482" t="s">
        <v>2304</v>
      </c>
      <c r="K482" t="s">
        <v>74</v>
      </c>
      <c r="L482" t="s">
        <v>74</v>
      </c>
      <c r="M482" t="s">
        <v>78</v>
      </c>
      <c r="N482" t="s">
        <v>79</v>
      </c>
      <c r="O482" t="s">
        <v>74</v>
      </c>
      <c r="P482" t="s">
        <v>74</v>
      </c>
      <c r="Q482" t="s">
        <v>74</v>
      </c>
      <c r="R482" t="s">
        <v>74</v>
      </c>
      <c r="S482" t="s">
        <v>74</v>
      </c>
      <c r="T482" t="s">
        <v>74</v>
      </c>
      <c r="U482" t="s">
        <v>9278</v>
      </c>
      <c r="V482" t="s">
        <v>9279</v>
      </c>
      <c r="W482" t="s">
        <v>9280</v>
      </c>
      <c r="X482" t="s">
        <v>9281</v>
      </c>
      <c r="Y482" t="s">
        <v>9282</v>
      </c>
      <c r="Z482" t="s">
        <v>9283</v>
      </c>
      <c r="AA482" t="s">
        <v>9284</v>
      </c>
      <c r="AB482" t="s">
        <v>9285</v>
      </c>
      <c r="AC482" t="s">
        <v>9286</v>
      </c>
      <c r="AD482" t="s">
        <v>9287</v>
      </c>
      <c r="AE482" t="s">
        <v>9288</v>
      </c>
      <c r="AF482" t="s">
        <v>74</v>
      </c>
      <c r="AG482">
        <v>77</v>
      </c>
      <c r="AH482">
        <v>6</v>
      </c>
      <c r="AI482">
        <v>6</v>
      </c>
      <c r="AJ482">
        <v>0</v>
      </c>
      <c r="AK482">
        <v>60</v>
      </c>
      <c r="AL482" t="s">
        <v>898</v>
      </c>
      <c r="AM482" t="s">
        <v>899</v>
      </c>
      <c r="AN482" t="s">
        <v>900</v>
      </c>
      <c r="AO482" t="s">
        <v>2314</v>
      </c>
      <c r="AP482" t="s">
        <v>2315</v>
      </c>
      <c r="AQ482" t="s">
        <v>74</v>
      </c>
      <c r="AR482" t="s">
        <v>2304</v>
      </c>
      <c r="AS482" t="s">
        <v>2316</v>
      </c>
      <c r="AT482" t="s">
        <v>7061</v>
      </c>
      <c r="AU482">
        <v>2012</v>
      </c>
      <c r="AV482">
        <v>35</v>
      </c>
      <c r="AW482">
        <v>9</v>
      </c>
      <c r="AX482" t="s">
        <v>74</v>
      </c>
      <c r="AY482" t="s">
        <v>74</v>
      </c>
      <c r="AZ482" t="s">
        <v>74</v>
      </c>
      <c r="BA482" t="s">
        <v>74</v>
      </c>
      <c r="BB482">
        <v>839</v>
      </c>
      <c r="BC482">
        <v>854</v>
      </c>
      <c r="BD482" t="s">
        <v>74</v>
      </c>
      <c r="BE482" t="s">
        <v>9289</v>
      </c>
      <c r="BF482" t="str">
        <f>HYPERLINK("http://dx.doi.org/10.1111/j.1600-0587.2011.06456.x","http://dx.doi.org/10.1111/j.1600-0587.2011.06456.x")</f>
        <v>http://dx.doi.org/10.1111/j.1600-0587.2011.06456.x</v>
      </c>
      <c r="BG482" t="s">
        <v>74</v>
      </c>
      <c r="BH482" t="s">
        <v>74</v>
      </c>
      <c r="BI482">
        <v>16</v>
      </c>
      <c r="BJ482" t="s">
        <v>1879</v>
      </c>
      <c r="BK482" t="s">
        <v>98</v>
      </c>
      <c r="BL482" t="s">
        <v>1880</v>
      </c>
      <c r="BM482" t="s">
        <v>9290</v>
      </c>
      <c r="BN482" t="s">
        <v>74</v>
      </c>
      <c r="BO482" t="s">
        <v>74</v>
      </c>
      <c r="BP482" t="s">
        <v>74</v>
      </c>
      <c r="BQ482" t="s">
        <v>74</v>
      </c>
      <c r="BR482" t="s">
        <v>101</v>
      </c>
      <c r="BS482" t="s">
        <v>9291</v>
      </c>
      <c r="BT482" t="str">
        <f>HYPERLINK("https%3A%2F%2Fwww.webofscience.com%2Fwos%2Fwoscc%2Ffull-record%2FWOS:000305941800008","View Full Record in Web of Science")</f>
        <v>View Full Record in Web of Science</v>
      </c>
    </row>
    <row r="483" spans="1:72" x14ac:dyDescent="0.15">
      <c r="A483" t="s">
        <v>72</v>
      </c>
      <c r="B483" t="s">
        <v>9292</v>
      </c>
      <c r="C483" t="s">
        <v>74</v>
      </c>
      <c r="D483" t="s">
        <v>74</v>
      </c>
      <c r="E483" t="s">
        <v>74</v>
      </c>
      <c r="F483" t="s">
        <v>9293</v>
      </c>
      <c r="G483" t="s">
        <v>74</v>
      </c>
      <c r="H483" t="s">
        <v>74</v>
      </c>
      <c r="I483" t="s">
        <v>9294</v>
      </c>
      <c r="J483" t="s">
        <v>9295</v>
      </c>
      <c r="K483" t="s">
        <v>74</v>
      </c>
      <c r="L483" t="s">
        <v>74</v>
      </c>
      <c r="M483" t="s">
        <v>78</v>
      </c>
      <c r="N483" t="s">
        <v>79</v>
      </c>
      <c r="O483" t="s">
        <v>74</v>
      </c>
      <c r="P483" t="s">
        <v>74</v>
      </c>
      <c r="Q483" t="s">
        <v>74</v>
      </c>
      <c r="R483" t="s">
        <v>74</v>
      </c>
      <c r="S483" t="s">
        <v>74</v>
      </c>
      <c r="T483" t="s">
        <v>9296</v>
      </c>
      <c r="U483" t="s">
        <v>9297</v>
      </c>
      <c r="V483" t="s">
        <v>9298</v>
      </c>
      <c r="W483" t="s">
        <v>9299</v>
      </c>
      <c r="X483" t="s">
        <v>9300</v>
      </c>
      <c r="Y483" t="s">
        <v>9301</v>
      </c>
      <c r="Z483" t="s">
        <v>9302</v>
      </c>
      <c r="AA483" t="s">
        <v>9303</v>
      </c>
      <c r="AB483" t="s">
        <v>9304</v>
      </c>
      <c r="AC483" t="s">
        <v>74</v>
      </c>
      <c r="AD483" t="s">
        <v>74</v>
      </c>
      <c r="AE483" t="s">
        <v>74</v>
      </c>
      <c r="AF483" t="s">
        <v>74</v>
      </c>
      <c r="AG483">
        <v>82</v>
      </c>
      <c r="AH483">
        <v>31</v>
      </c>
      <c r="AI483">
        <v>32</v>
      </c>
      <c r="AJ483">
        <v>0</v>
      </c>
      <c r="AK483">
        <v>200</v>
      </c>
      <c r="AL483" t="s">
        <v>1034</v>
      </c>
      <c r="AM483" t="s">
        <v>90</v>
      </c>
      <c r="AN483" t="s">
        <v>1035</v>
      </c>
      <c r="AO483" t="s">
        <v>9305</v>
      </c>
      <c r="AP483" t="s">
        <v>9306</v>
      </c>
      <c r="AQ483" t="s">
        <v>74</v>
      </c>
      <c r="AR483" t="s">
        <v>9307</v>
      </c>
      <c r="AS483" t="s">
        <v>9308</v>
      </c>
      <c r="AT483" t="s">
        <v>7061</v>
      </c>
      <c r="AU483">
        <v>2012</v>
      </c>
      <c r="AV483">
        <v>36</v>
      </c>
      <c r="AW483">
        <v>5</v>
      </c>
      <c r="AX483" t="s">
        <v>74</v>
      </c>
      <c r="AY483" t="s">
        <v>74</v>
      </c>
      <c r="AZ483" t="s">
        <v>74</v>
      </c>
      <c r="BA483" t="s">
        <v>74</v>
      </c>
      <c r="BB483">
        <v>1064</v>
      </c>
      <c r="BC483">
        <v>1071</v>
      </c>
      <c r="BD483" t="s">
        <v>74</v>
      </c>
      <c r="BE483" t="s">
        <v>9309</v>
      </c>
      <c r="BF483" t="str">
        <f>HYPERLINK("http://dx.doi.org/10.1016/j.marpol.2012.02.024","http://dx.doi.org/10.1016/j.marpol.2012.02.024")</f>
        <v>http://dx.doi.org/10.1016/j.marpol.2012.02.024</v>
      </c>
      <c r="BG483" t="s">
        <v>74</v>
      </c>
      <c r="BH483" t="s">
        <v>74</v>
      </c>
      <c r="BI483">
        <v>8</v>
      </c>
      <c r="BJ483" t="s">
        <v>9310</v>
      </c>
      <c r="BK483" t="s">
        <v>7282</v>
      </c>
      <c r="BL483" t="s">
        <v>9311</v>
      </c>
      <c r="BM483" t="s">
        <v>9312</v>
      </c>
      <c r="BN483" t="s">
        <v>74</v>
      </c>
      <c r="BO483" t="s">
        <v>74</v>
      </c>
      <c r="BP483" t="s">
        <v>74</v>
      </c>
      <c r="BQ483" t="s">
        <v>74</v>
      </c>
      <c r="BR483" t="s">
        <v>101</v>
      </c>
      <c r="BS483" t="s">
        <v>9313</v>
      </c>
      <c r="BT483" t="str">
        <f>HYPERLINK("https%3A%2F%2Fwww.webofscience.com%2Fwos%2Fwoscc%2Ffull-record%2FWOS:000305105800015","View Full Record in Web of Science")</f>
        <v>View Full Record in Web of Science</v>
      </c>
    </row>
    <row r="484" spans="1:72" x14ac:dyDescent="0.15">
      <c r="A484" t="s">
        <v>72</v>
      </c>
      <c r="B484" t="s">
        <v>9314</v>
      </c>
      <c r="C484" t="s">
        <v>74</v>
      </c>
      <c r="D484" t="s">
        <v>74</v>
      </c>
      <c r="E484" t="s">
        <v>74</v>
      </c>
      <c r="F484" t="s">
        <v>9315</v>
      </c>
      <c r="G484" t="s">
        <v>74</v>
      </c>
      <c r="H484" t="s">
        <v>74</v>
      </c>
      <c r="I484" t="s">
        <v>9316</v>
      </c>
      <c r="J484" t="s">
        <v>134</v>
      </c>
      <c r="K484" t="s">
        <v>74</v>
      </c>
      <c r="L484" t="s">
        <v>74</v>
      </c>
      <c r="M484" t="s">
        <v>78</v>
      </c>
      <c r="N484" t="s">
        <v>974</v>
      </c>
      <c r="O484" t="s">
        <v>74</v>
      </c>
      <c r="P484" t="s">
        <v>74</v>
      </c>
      <c r="Q484" t="s">
        <v>74</v>
      </c>
      <c r="R484" t="s">
        <v>74</v>
      </c>
      <c r="S484" t="s">
        <v>74</v>
      </c>
      <c r="T484" t="s">
        <v>74</v>
      </c>
      <c r="U484" t="s">
        <v>9317</v>
      </c>
      <c r="V484" t="s">
        <v>9318</v>
      </c>
      <c r="W484" t="s">
        <v>9319</v>
      </c>
      <c r="X484" t="s">
        <v>9320</v>
      </c>
      <c r="Y484" t="s">
        <v>9321</v>
      </c>
      <c r="Z484" t="s">
        <v>9322</v>
      </c>
      <c r="AA484" t="s">
        <v>74</v>
      </c>
      <c r="AB484" t="s">
        <v>74</v>
      </c>
      <c r="AC484" t="s">
        <v>74</v>
      </c>
      <c r="AD484" t="s">
        <v>74</v>
      </c>
      <c r="AE484" t="s">
        <v>74</v>
      </c>
      <c r="AF484" t="s">
        <v>74</v>
      </c>
      <c r="AG484">
        <v>148</v>
      </c>
      <c r="AH484">
        <v>136</v>
      </c>
      <c r="AI484">
        <v>151</v>
      </c>
      <c r="AJ484">
        <v>1</v>
      </c>
      <c r="AK484">
        <v>70</v>
      </c>
      <c r="AL484" t="s">
        <v>146</v>
      </c>
      <c r="AM484" t="s">
        <v>147</v>
      </c>
      <c r="AN484" t="s">
        <v>148</v>
      </c>
      <c r="AO484" t="s">
        <v>149</v>
      </c>
      <c r="AP484" t="s">
        <v>74</v>
      </c>
      <c r="AQ484" t="s">
        <v>74</v>
      </c>
      <c r="AR484" t="s">
        <v>134</v>
      </c>
      <c r="AS484" t="s">
        <v>150</v>
      </c>
      <c r="AT484" t="s">
        <v>9323</v>
      </c>
      <c r="AU484">
        <v>2012</v>
      </c>
      <c r="AV484">
        <v>7</v>
      </c>
      <c r="AW484">
        <v>8</v>
      </c>
      <c r="AX484" t="s">
        <v>74</v>
      </c>
      <c r="AY484" t="s">
        <v>74</v>
      </c>
      <c r="AZ484" t="s">
        <v>74</v>
      </c>
      <c r="BA484" t="s">
        <v>74</v>
      </c>
      <c r="BB484" t="s">
        <v>74</v>
      </c>
      <c r="BC484" t="s">
        <v>74</v>
      </c>
      <c r="BD484" t="s">
        <v>9324</v>
      </c>
      <c r="BE484" t="s">
        <v>9325</v>
      </c>
      <c r="BF484" t="str">
        <f>HYPERLINK("http://dx.doi.org/10.1371/journal.pone.0043529","http://dx.doi.org/10.1371/journal.pone.0043529")</f>
        <v>http://dx.doi.org/10.1371/journal.pone.0043529</v>
      </c>
      <c r="BG484" t="s">
        <v>74</v>
      </c>
      <c r="BH484" t="s">
        <v>74</v>
      </c>
      <c r="BI484">
        <v>15</v>
      </c>
      <c r="BJ484" t="s">
        <v>153</v>
      </c>
      <c r="BK484" t="s">
        <v>98</v>
      </c>
      <c r="BL484" t="s">
        <v>154</v>
      </c>
      <c r="BM484" t="s">
        <v>9326</v>
      </c>
      <c r="BN484">
        <v>22952700</v>
      </c>
      <c r="BO484" t="s">
        <v>9327</v>
      </c>
      <c r="BP484" t="s">
        <v>74</v>
      </c>
      <c r="BQ484" t="s">
        <v>74</v>
      </c>
      <c r="BR484" t="s">
        <v>101</v>
      </c>
      <c r="BS484" t="s">
        <v>9328</v>
      </c>
      <c r="BT484" t="str">
        <f>HYPERLINK("https%3A%2F%2Fwww.webofscience.com%2Fwos%2Fwoscc%2Ffull-record%2FWOS:000308221300017","View Full Record in Web of Science")</f>
        <v>View Full Record in Web of Science</v>
      </c>
    </row>
    <row r="485" spans="1:72" x14ac:dyDescent="0.15">
      <c r="A485" t="s">
        <v>72</v>
      </c>
      <c r="B485" t="s">
        <v>9329</v>
      </c>
      <c r="C485" t="s">
        <v>74</v>
      </c>
      <c r="D485" t="s">
        <v>74</v>
      </c>
      <c r="E485" t="s">
        <v>74</v>
      </c>
      <c r="F485" t="s">
        <v>9330</v>
      </c>
      <c r="G485" t="s">
        <v>74</v>
      </c>
      <c r="H485" t="s">
        <v>74</v>
      </c>
      <c r="I485" t="s">
        <v>9331</v>
      </c>
      <c r="J485" t="s">
        <v>3304</v>
      </c>
      <c r="K485" t="s">
        <v>74</v>
      </c>
      <c r="L485" t="s">
        <v>74</v>
      </c>
      <c r="M485" t="s">
        <v>78</v>
      </c>
      <c r="N485" t="s">
        <v>79</v>
      </c>
      <c r="O485" t="s">
        <v>74</v>
      </c>
      <c r="P485" t="s">
        <v>74</v>
      </c>
      <c r="Q485" t="s">
        <v>74</v>
      </c>
      <c r="R485" t="s">
        <v>74</v>
      </c>
      <c r="S485" t="s">
        <v>74</v>
      </c>
      <c r="T485" t="s">
        <v>9332</v>
      </c>
      <c r="U485" t="s">
        <v>9333</v>
      </c>
      <c r="V485" t="s">
        <v>9334</v>
      </c>
      <c r="W485" t="s">
        <v>9335</v>
      </c>
      <c r="X485" t="s">
        <v>9336</v>
      </c>
      <c r="Y485" t="s">
        <v>9337</v>
      </c>
      <c r="Z485" t="s">
        <v>9338</v>
      </c>
      <c r="AA485" t="s">
        <v>9339</v>
      </c>
      <c r="AB485" t="s">
        <v>9340</v>
      </c>
      <c r="AC485" t="s">
        <v>74</v>
      </c>
      <c r="AD485" t="s">
        <v>74</v>
      </c>
      <c r="AE485" t="s">
        <v>74</v>
      </c>
      <c r="AF485" t="s">
        <v>74</v>
      </c>
      <c r="AG485">
        <v>63</v>
      </c>
      <c r="AH485">
        <v>18</v>
      </c>
      <c r="AI485">
        <v>18</v>
      </c>
      <c r="AJ485">
        <v>2</v>
      </c>
      <c r="AK485">
        <v>14</v>
      </c>
      <c r="AL485" t="s">
        <v>118</v>
      </c>
      <c r="AM485" t="s">
        <v>119</v>
      </c>
      <c r="AN485" t="s">
        <v>120</v>
      </c>
      <c r="AO485" t="s">
        <v>3317</v>
      </c>
      <c r="AP485" t="s">
        <v>74</v>
      </c>
      <c r="AQ485" t="s">
        <v>74</v>
      </c>
      <c r="AR485" t="s">
        <v>3318</v>
      </c>
      <c r="AS485" t="s">
        <v>3319</v>
      </c>
      <c r="AT485" t="s">
        <v>9341</v>
      </c>
      <c r="AU485">
        <v>2012</v>
      </c>
      <c r="AV485">
        <v>13</v>
      </c>
      <c r="AW485" t="s">
        <v>74</v>
      </c>
      <c r="AX485" t="s">
        <v>74</v>
      </c>
      <c r="AY485" t="s">
        <v>74</v>
      </c>
      <c r="AZ485" t="s">
        <v>74</v>
      </c>
      <c r="BA485" t="s">
        <v>74</v>
      </c>
      <c r="BB485" t="s">
        <v>74</v>
      </c>
      <c r="BC485" t="s">
        <v>74</v>
      </c>
      <c r="BD485" t="s">
        <v>9342</v>
      </c>
      <c r="BE485" t="s">
        <v>9343</v>
      </c>
      <c r="BF485" t="str">
        <f>HYPERLINK("http://dx.doi.org/10.1029/2012GC004083","http://dx.doi.org/10.1029/2012GC004083")</f>
        <v>http://dx.doi.org/10.1029/2012GC004083</v>
      </c>
      <c r="BG485" t="s">
        <v>74</v>
      </c>
      <c r="BH485" t="s">
        <v>74</v>
      </c>
      <c r="BI485">
        <v>21</v>
      </c>
      <c r="BJ485" t="s">
        <v>241</v>
      </c>
      <c r="BK485" t="s">
        <v>98</v>
      </c>
      <c r="BL485" t="s">
        <v>241</v>
      </c>
      <c r="BM485" t="s">
        <v>9344</v>
      </c>
      <c r="BN485" t="s">
        <v>74</v>
      </c>
      <c r="BO485" t="s">
        <v>607</v>
      </c>
      <c r="BP485" t="s">
        <v>74</v>
      </c>
      <c r="BQ485" t="s">
        <v>74</v>
      </c>
      <c r="BR485" t="s">
        <v>101</v>
      </c>
      <c r="BS485" t="s">
        <v>9345</v>
      </c>
      <c r="BT485" t="str">
        <f>HYPERLINK("https%3A%2F%2Fwww.webofscience.com%2Fwos%2Fwoscc%2Ffull-record%2FWOS:000308307900001","View Full Record in Web of Science")</f>
        <v>View Full Record in Web of Science</v>
      </c>
    </row>
    <row r="486" spans="1:72" x14ac:dyDescent="0.15">
      <c r="A486" t="s">
        <v>72</v>
      </c>
      <c r="B486" t="s">
        <v>9346</v>
      </c>
      <c r="C486" t="s">
        <v>74</v>
      </c>
      <c r="D486" t="s">
        <v>74</v>
      </c>
      <c r="E486" t="s">
        <v>74</v>
      </c>
      <c r="F486" t="s">
        <v>9347</v>
      </c>
      <c r="G486" t="s">
        <v>74</v>
      </c>
      <c r="H486" t="s">
        <v>74</v>
      </c>
      <c r="I486" t="s">
        <v>9348</v>
      </c>
      <c r="J486" t="s">
        <v>421</v>
      </c>
      <c r="K486" t="s">
        <v>74</v>
      </c>
      <c r="L486" t="s">
        <v>74</v>
      </c>
      <c r="M486" t="s">
        <v>78</v>
      </c>
      <c r="N486" t="s">
        <v>79</v>
      </c>
      <c r="O486" t="s">
        <v>74</v>
      </c>
      <c r="P486" t="s">
        <v>74</v>
      </c>
      <c r="Q486" t="s">
        <v>74</v>
      </c>
      <c r="R486" t="s">
        <v>74</v>
      </c>
      <c r="S486" t="s">
        <v>74</v>
      </c>
      <c r="T486" t="s">
        <v>74</v>
      </c>
      <c r="U486" t="s">
        <v>9349</v>
      </c>
      <c r="V486" t="s">
        <v>9350</v>
      </c>
      <c r="W486" t="s">
        <v>9351</v>
      </c>
      <c r="X486" t="s">
        <v>9352</v>
      </c>
      <c r="Y486" t="s">
        <v>9353</v>
      </c>
      <c r="Z486" t="s">
        <v>9354</v>
      </c>
      <c r="AA486" t="s">
        <v>9355</v>
      </c>
      <c r="AB486" t="s">
        <v>9356</v>
      </c>
      <c r="AC486" t="s">
        <v>9357</v>
      </c>
      <c r="AD486" t="s">
        <v>9358</v>
      </c>
      <c r="AE486" t="s">
        <v>9359</v>
      </c>
      <c r="AF486" t="s">
        <v>74</v>
      </c>
      <c r="AG486">
        <v>40</v>
      </c>
      <c r="AH486">
        <v>266</v>
      </c>
      <c r="AI486">
        <v>298</v>
      </c>
      <c r="AJ486">
        <v>6</v>
      </c>
      <c r="AK486">
        <v>344</v>
      </c>
      <c r="AL486" t="s">
        <v>433</v>
      </c>
      <c r="AM486" t="s">
        <v>434</v>
      </c>
      <c r="AN486" t="s">
        <v>435</v>
      </c>
      <c r="AO486" t="s">
        <v>436</v>
      </c>
      <c r="AP486" t="s">
        <v>3383</v>
      </c>
      <c r="AQ486" t="s">
        <v>74</v>
      </c>
      <c r="AR486" t="s">
        <v>421</v>
      </c>
      <c r="AS486" t="s">
        <v>437</v>
      </c>
      <c r="AT486" t="s">
        <v>9341</v>
      </c>
      <c r="AU486">
        <v>2012</v>
      </c>
      <c r="AV486">
        <v>488</v>
      </c>
      <c r="AW486">
        <v>7413</v>
      </c>
      <c r="AX486" t="s">
        <v>74</v>
      </c>
      <c r="AY486" t="s">
        <v>74</v>
      </c>
      <c r="AZ486" t="s">
        <v>74</v>
      </c>
      <c r="BA486" t="s">
        <v>74</v>
      </c>
      <c r="BB486">
        <v>609</v>
      </c>
      <c r="BC486" t="s">
        <v>4531</v>
      </c>
      <c r="BD486" t="s">
        <v>74</v>
      </c>
      <c r="BE486" t="s">
        <v>9360</v>
      </c>
      <c r="BF486" t="str">
        <f>HYPERLINK("http://dx.doi.org/10.1038/nature11360","http://dx.doi.org/10.1038/nature11360")</f>
        <v>http://dx.doi.org/10.1038/nature11360</v>
      </c>
      <c r="BG486" t="s">
        <v>74</v>
      </c>
      <c r="BH486" t="s">
        <v>74</v>
      </c>
      <c r="BI486">
        <v>7</v>
      </c>
      <c r="BJ486" t="s">
        <v>153</v>
      </c>
      <c r="BK486" t="s">
        <v>98</v>
      </c>
      <c r="BL486" t="s">
        <v>154</v>
      </c>
      <c r="BM486" t="s">
        <v>9361</v>
      </c>
      <c r="BN486">
        <v>22932385</v>
      </c>
      <c r="BO486" t="s">
        <v>494</v>
      </c>
      <c r="BP486" t="s">
        <v>74</v>
      </c>
      <c r="BQ486" t="s">
        <v>74</v>
      </c>
      <c r="BR486" t="s">
        <v>101</v>
      </c>
      <c r="BS486" t="s">
        <v>9362</v>
      </c>
      <c r="BT486" t="str">
        <f>HYPERLINK("https%3A%2F%2Fwww.webofscience.com%2Fwos%2Fwoscc%2Ffull-record%2FWOS:000308095100047","View Full Record in Web of Science")</f>
        <v>View Full Record in Web of Science</v>
      </c>
    </row>
    <row r="487" spans="1:72" x14ac:dyDescent="0.15">
      <c r="A487" t="s">
        <v>72</v>
      </c>
      <c r="B487" t="s">
        <v>9363</v>
      </c>
      <c r="C487" t="s">
        <v>74</v>
      </c>
      <c r="D487" t="s">
        <v>74</v>
      </c>
      <c r="E487" t="s">
        <v>74</v>
      </c>
      <c r="F487" t="s">
        <v>9364</v>
      </c>
      <c r="G487" t="s">
        <v>74</v>
      </c>
      <c r="H487" t="s">
        <v>74</v>
      </c>
      <c r="I487" t="s">
        <v>9365</v>
      </c>
      <c r="J487" t="s">
        <v>421</v>
      </c>
      <c r="K487" t="s">
        <v>74</v>
      </c>
      <c r="L487" t="s">
        <v>74</v>
      </c>
      <c r="M487" t="s">
        <v>78</v>
      </c>
      <c r="N487" t="s">
        <v>79</v>
      </c>
      <c r="O487" t="s">
        <v>74</v>
      </c>
      <c r="P487" t="s">
        <v>74</v>
      </c>
      <c r="Q487" t="s">
        <v>74</v>
      </c>
      <c r="R487" t="s">
        <v>74</v>
      </c>
      <c r="S487" t="s">
        <v>74</v>
      </c>
      <c r="T487" t="s">
        <v>74</v>
      </c>
      <c r="U487" t="s">
        <v>9366</v>
      </c>
      <c r="V487" t="s">
        <v>9367</v>
      </c>
      <c r="W487" t="s">
        <v>9368</v>
      </c>
      <c r="X487" t="s">
        <v>9369</v>
      </c>
      <c r="Y487" t="s">
        <v>9370</v>
      </c>
      <c r="Z487" t="s">
        <v>9371</v>
      </c>
      <c r="AA487" t="s">
        <v>9372</v>
      </c>
      <c r="AB487" t="s">
        <v>9373</v>
      </c>
      <c r="AC487" t="s">
        <v>9374</v>
      </c>
      <c r="AD487" t="s">
        <v>9375</v>
      </c>
      <c r="AE487" t="s">
        <v>9376</v>
      </c>
      <c r="AF487" t="s">
        <v>74</v>
      </c>
      <c r="AG487">
        <v>32</v>
      </c>
      <c r="AH487">
        <v>131</v>
      </c>
      <c r="AI487">
        <v>152</v>
      </c>
      <c r="AJ487">
        <v>2</v>
      </c>
      <c r="AK487">
        <v>246</v>
      </c>
      <c r="AL487" t="s">
        <v>433</v>
      </c>
      <c r="AM487" t="s">
        <v>434</v>
      </c>
      <c r="AN487" t="s">
        <v>435</v>
      </c>
      <c r="AO487" t="s">
        <v>436</v>
      </c>
      <c r="AP487" t="s">
        <v>74</v>
      </c>
      <c r="AQ487" t="s">
        <v>74</v>
      </c>
      <c r="AR487" t="s">
        <v>421</v>
      </c>
      <c r="AS487" t="s">
        <v>437</v>
      </c>
      <c r="AT487" t="s">
        <v>9341</v>
      </c>
      <c r="AU487">
        <v>2012</v>
      </c>
      <c r="AV487">
        <v>488</v>
      </c>
      <c r="AW487">
        <v>7413</v>
      </c>
      <c r="AX487" t="s">
        <v>74</v>
      </c>
      <c r="AY487" t="s">
        <v>74</v>
      </c>
      <c r="AZ487" t="s">
        <v>74</v>
      </c>
      <c r="BA487" t="s">
        <v>74</v>
      </c>
      <c r="BB487">
        <v>633</v>
      </c>
      <c r="BC487">
        <v>637</v>
      </c>
      <c r="BD487" t="s">
        <v>74</v>
      </c>
      <c r="BE487" t="s">
        <v>9377</v>
      </c>
      <c r="BF487" t="str">
        <f>HYPERLINK("http://dx.doi.org/10.1038/nature11374","http://dx.doi.org/10.1038/nature11374")</f>
        <v>http://dx.doi.org/10.1038/nature11374</v>
      </c>
      <c r="BG487" t="s">
        <v>74</v>
      </c>
      <c r="BH487" t="s">
        <v>74</v>
      </c>
      <c r="BI487">
        <v>5</v>
      </c>
      <c r="BJ487" t="s">
        <v>153</v>
      </c>
      <c r="BK487" t="s">
        <v>98</v>
      </c>
      <c r="BL487" t="s">
        <v>154</v>
      </c>
      <c r="BM487" t="s">
        <v>9361</v>
      </c>
      <c r="BN487">
        <v>22932387</v>
      </c>
      <c r="BO487" t="s">
        <v>74</v>
      </c>
      <c r="BP487" t="s">
        <v>74</v>
      </c>
      <c r="BQ487" t="s">
        <v>74</v>
      </c>
      <c r="BR487" t="s">
        <v>101</v>
      </c>
      <c r="BS487" t="s">
        <v>9378</v>
      </c>
      <c r="BT487" t="str">
        <f>HYPERLINK("https%3A%2F%2Fwww.webofscience.com%2Fwos%2Fwoscc%2Ffull-record%2FWOS:000308095100051","View Full Record in Web of Science")</f>
        <v>View Full Record in Web of Science</v>
      </c>
    </row>
    <row r="488" spans="1:72" x14ac:dyDescent="0.15">
      <c r="A488" t="s">
        <v>72</v>
      </c>
      <c r="B488" t="s">
        <v>9379</v>
      </c>
      <c r="C488" t="s">
        <v>74</v>
      </c>
      <c r="D488" t="s">
        <v>74</v>
      </c>
      <c r="E488" t="s">
        <v>74</v>
      </c>
      <c r="F488" t="s">
        <v>9380</v>
      </c>
      <c r="G488" t="s">
        <v>74</v>
      </c>
      <c r="H488" t="s">
        <v>74</v>
      </c>
      <c r="I488" t="s">
        <v>9381</v>
      </c>
      <c r="J488" t="s">
        <v>657</v>
      </c>
      <c r="K488" t="s">
        <v>74</v>
      </c>
      <c r="L488" t="s">
        <v>74</v>
      </c>
      <c r="M488" t="s">
        <v>78</v>
      </c>
      <c r="N488" t="s">
        <v>79</v>
      </c>
      <c r="O488" t="s">
        <v>74</v>
      </c>
      <c r="P488" t="s">
        <v>74</v>
      </c>
      <c r="Q488" t="s">
        <v>74</v>
      </c>
      <c r="R488" t="s">
        <v>74</v>
      </c>
      <c r="S488" t="s">
        <v>74</v>
      </c>
      <c r="T488" t="s">
        <v>9382</v>
      </c>
      <c r="U488" t="s">
        <v>9383</v>
      </c>
      <c r="V488" t="s">
        <v>9384</v>
      </c>
      <c r="W488" t="s">
        <v>9385</v>
      </c>
      <c r="X488" t="s">
        <v>9386</v>
      </c>
      <c r="Y488" t="s">
        <v>9387</v>
      </c>
      <c r="Z488" t="s">
        <v>9388</v>
      </c>
      <c r="AA488" t="s">
        <v>9389</v>
      </c>
      <c r="AB488" t="s">
        <v>9390</v>
      </c>
      <c r="AC488" t="s">
        <v>74</v>
      </c>
      <c r="AD488" t="s">
        <v>74</v>
      </c>
      <c r="AE488" t="s">
        <v>74</v>
      </c>
      <c r="AF488" t="s">
        <v>74</v>
      </c>
      <c r="AG488">
        <v>24</v>
      </c>
      <c r="AH488">
        <v>15</v>
      </c>
      <c r="AI488">
        <v>16</v>
      </c>
      <c r="AJ488">
        <v>0</v>
      </c>
      <c r="AK488">
        <v>2</v>
      </c>
      <c r="AL488" t="s">
        <v>668</v>
      </c>
      <c r="AM488" t="s">
        <v>669</v>
      </c>
      <c r="AN488" t="s">
        <v>670</v>
      </c>
      <c r="AO488" t="s">
        <v>671</v>
      </c>
      <c r="AP488" t="s">
        <v>672</v>
      </c>
      <c r="AQ488" t="s">
        <v>74</v>
      </c>
      <c r="AR488" t="s">
        <v>657</v>
      </c>
      <c r="AS488" t="s">
        <v>673</v>
      </c>
      <c r="AT488" t="s">
        <v>9341</v>
      </c>
      <c r="AU488">
        <v>2012</v>
      </c>
      <c r="AV488" t="s">
        <v>74</v>
      </c>
      <c r="AW488">
        <v>3446</v>
      </c>
      <c r="AX488" t="s">
        <v>74</v>
      </c>
      <c r="AY488" t="s">
        <v>74</v>
      </c>
      <c r="AZ488" t="s">
        <v>74</v>
      </c>
      <c r="BA488" t="s">
        <v>74</v>
      </c>
      <c r="BB488">
        <v>60</v>
      </c>
      <c r="BC488">
        <v>68</v>
      </c>
      <c r="BD488" t="s">
        <v>74</v>
      </c>
      <c r="BE488" t="s">
        <v>74</v>
      </c>
      <c r="BF488" t="s">
        <v>74</v>
      </c>
      <c r="BG488" t="s">
        <v>74</v>
      </c>
      <c r="BH488" t="s">
        <v>74</v>
      </c>
      <c r="BI488">
        <v>9</v>
      </c>
      <c r="BJ488" t="s">
        <v>675</v>
      </c>
      <c r="BK488" t="s">
        <v>98</v>
      </c>
      <c r="BL488" t="s">
        <v>675</v>
      </c>
      <c r="BM488" t="s">
        <v>9391</v>
      </c>
      <c r="BN488" t="s">
        <v>74</v>
      </c>
      <c r="BO488" t="s">
        <v>74</v>
      </c>
      <c r="BP488" t="s">
        <v>74</v>
      </c>
      <c r="BQ488" t="s">
        <v>74</v>
      </c>
      <c r="BR488" t="s">
        <v>101</v>
      </c>
      <c r="BS488" t="s">
        <v>9392</v>
      </c>
      <c r="BT488" t="str">
        <f>HYPERLINK("https%3A%2F%2Fwww.webofscience.com%2Fwos%2Fwoscc%2Ffull-record%2FWOS:000308601300004","View Full Record in Web of Science")</f>
        <v>View Full Record in Web of Science</v>
      </c>
    </row>
    <row r="489" spans="1:72" x14ac:dyDescent="0.15">
      <c r="A489" t="s">
        <v>72</v>
      </c>
      <c r="B489" t="s">
        <v>9393</v>
      </c>
      <c r="C489" t="s">
        <v>74</v>
      </c>
      <c r="D489" t="s">
        <v>74</v>
      </c>
      <c r="E489" t="s">
        <v>74</v>
      </c>
      <c r="F489" t="s">
        <v>9394</v>
      </c>
      <c r="G489" t="s">
        <v>74</v>
      </c>
      <c r="H489" t="s">
        <v>74</v>
      </c>
      <c r="I489" t="s">
        <v>9395</v>
      </c>
      <c r="J489" t="s">
        <v>444</v>
      </c>
      <c r="K489" t="s">
        <v>74</v>
      </c>
      <c r="L489" t="s">
        <v>74</v>
      </c>
      <c r="M489" t="s">
        <v>78</v>
      </c>
      <c r="N489" t="s">
        <v>79</v>
      </c>
      <c r="O489" t="s">
        <v>74</v>
      </c>
      <c r="P489" t="s">
        <v>74</v>
      </c>
      <c r="Q489" t="s">
        <v>74</v>
      </c>
      <c r="R489" t="s">
        <v>74</v>
      </c>
      <c r="S489" t="s">
        <v>74</v>
      </c>
      <c r="T489" t="s">
        <v>74</v>
      </c>
      <c r="U489" t="s">
        <v>9396</v>
      </c>
      <c r="V489" t="s">
        <v>9397</v>
      </c>
      <c r="W489" t="s">
        <v>9398</v>
      </c>
      <c r="X489" t="s">
        <v>9399</v>
      </c>
      <c r="Y489" t="s">
        <v>9400</v>
      </c>
      <c r="Z489" t="s">
        <v>9401</v>
      </c>
      <c r="AA489" t="s">
        <v>9402</v>
      </c>
      <c r="AB489" t="s">
        <v>9403</v>
      </c>
      <c r="AC489" t="s">
        <v>9404</v>
      </c>
      <c r="AD489" t="s">
        <v>9405</v>
      </c>
      <c r="AE489" t="s">
        <v>9406</v>
      </c>
      <c r="AF489" t="s">
        <v>74</v>
      </c>
      <c r="AG489">
        <v>41</v>
      </c>
      <c r="AH489">
        <v>56</v>
      </c>
      <c r="AI489">
        <v>59</v>
      </c>
      <c r="AJ489">
        <v>0</v>
      </c>
      <c r="AK489">
        <v>44</v>
      </c>
      <c r="AL489" t="s">
        <v>118</v>
      </c>
      <c r="AM489" t="s">
        <v>119</v>
      </c>
      <c r="AN489" t="s">
        <v>120</v>
      </c>
      <c r="AO489" t="s">
        <v>454</v>
      </c>
      <c r="AP489" t="s">
        <v>74</v>
      </c>
      <c r="AQ489" t="s">
        <v>74</v>
      </c>
      <c r="AR489" t="s">
        <v>456</v>
      </c>
      <c r="AS489" t="s">
        <v>457</v>
      </c>
      <c r="AT489" t="s">
        <v>9407</v>
      </c>
      <c r="AU489">
        <v>2012</v>
      </c>
      <c r="AV489">
        <v>39</v>
      </c>
      <c r="AW489" t="s">
        <v>74</v>
      </c>
      <c r="AX489" t="s">
        <v>74</v>
      </c>
      <c r="AY489" t="s">
        <v>74</v>
      </c>
      <c r="AZ489" t="s">
        <v>74</v>
      </c>
      <c r="BA489" t="s">
        <v>74</v>
      </c>
      <c r="BB489" t="s">
        <v>74</v>
      </c>
      <c r="BC489" t="s">
        <v>74</v>
      </c>
      <c r="BD489" t="s">
        <v>9408</v>
      </c>
      <c r="BE489" t="s">
        <v>9409</v>
      </c>
      <c r="BF489" t="str">
        <f>HYPERLINK("http://dx.doi.org/10.1029/2012GL052413","http://dx.doi.org/10.1029/2012GL052413")</f>
        <v>http://dx.doi.org/10.1029/2012GL052413</v>
      </c>
      <c r="BG489" t="s">
        <v>74</v>
      </c>
      <c r="BH489" t="s">
        <v>74</v>
      </c>
      <c r="BI489">
        <v>6</v>
      </c>
      <c r="BJ489" t="s">
        <v>461</v>
      </c>
      <c r="BK489" t="s">
        <v>98</v>
      </c>
      <c r="BL489" t="s">
        <v>462</v>
      </c>
      <c r="BM489" t="s">
        <v>9410</v>
      </c>
      <c r="BN489" t="s">
        <v>74</v>
      </c>
      <c r="BO489" t="s">
        <v>1458</v>
      </c>
      <c r="BP489" t="s">
        <v>74</v>
      </c>
      <c r="BQ489" t="s">
        <v>74</v>
      </c>
      <c r="BR489" t="s">
        <v>101</v>
      </c>
      <c r="BS489" t="s">
        <v>9411</v>
      </c>
      <c r="BT489" t="str">
        <f>HYPERLINK("https%3A%2F%2Fwww.webofscience.com%2Fwos%2Fwoscc%2Ffull-record%2FWOS:000308308800001","View Full Record in Web of Science")</f>
        <v>View Full Record in Web of Science</v>
      </c>
    </row>
    <row r="490" spans="1:72" x14ac:dyDescent="0.15">
      <c r="A490" t="s">
        <v>72</v>
      </c>
      <c r="B490" t="s">
        <v>9412</v>
      </c>
      <c r="C490" t="s">
        <v>74</v>
      </c>
      <c r="D490" t="s">
        <v>74</v>
      </c>
      <c r="E490" t="s">
        <v>74</v>
      </c>
      <c r="F490" t="s">
        <v>9413</v>
      </c>
      <c r="G490" t="s">
        <v>74</v>
      </c>
      <c r="H490" t="s">
        <v>74</v>
      </c>
      <c r="I490" t="s">
        <v>9414</v>
      </c>
      <c r="J490" t="s">
        <v>3207</v>
      </c>
      <c r="K490" t="s">
        <v>74</v>
      </c>
      <c r="L490" t="s">
        <v>74</v>
      </c>
      <c r="M490" t="s">
        <v>78</v>
      </c>
      <c r="N490" t="s">
        <v>79</v>
      </c>
      <c r="O490" t="s">
        <v>74</v>
      </c>
      <c r="P490" t="s">
        <v>74</v>
      </c>
      <c r="Q490" t="s">
        <v>74</v>
      </c>
      <c r="R490" t="s">
        <v>74</v>
      </c>
      <c r="S490" t="s">
        <v>74</v>
      </c>
      <c r="T490" t="s">
        <v>74</v>
      </c>
      <c r="U490" t="s">
        <v>9415</v>
      </c>
      <c r="V490" t="s">
        <v>9416</v>
      </c>
      <c r="W490" t="s">
        <v>9417</v>
      </c>
      <c r="X490" t="s">
        <v>9418</v>
      </c>
      <c r="Y490" t="s">
        <v>9419</v>
      </c>
      <c r="Z490" t="s">
        <v>9420</v>
      </c>
      <c r="AA490" t="s">
        <v>9421</v>
      </c>
      <c r="AB490" t="s">
        <v>9422</v>
      </c>
      <c r="AC490" t="s">
        <v>9423</v>
      </c>
      <c r="AD490" t="s">
        <v>9424</v>
      </c>
      <c r="AE490" t="s">
        <v>9425</v>
      </c>
      <c r="AF490" t="s">
        <v>74</v>
      </c>
      <c r="AG490">
        <v>45</v>
      </c>
      <c r="AH490">
        <v>148</v>
      </c>
      <c r="AI490">
        <v>173</v>
      </c>
      <c r="AJ490">
        <v>1</v>
      </c>
      <c r="AK490">
        <v>78</v>
      </c>
      <c r="AL490" t="s">
        <v>118</v>
      </c>
      <c r="AM490" t="s">
        <v>119</v>
      </c>
      <c r="AN490" t="s">
        <v>120</v>
      </c>
      <c r="AO490" t="s">
        <v>3219</v>
      </c>
      <c r="AP490" t="s">
        <v>3220</v>
      </c>
      <c r="AQ490" t="s">
        <v>74</v>
      </c>
      <c r="AR490" t="s">
        <v>3221</v>
      </c>
      <c r="AS490" t="s">
        <v>3222</v>
      </c>
      <c r="AT490" t="s">
        <v>9407</v>
      </c>
      <c r="AU490">
        <v>2012</v>
      </c>
      <c r="AV490">
        <v>117</v>
      </c>
      <c r="AW490" t="s">
        <v>74</v>
      </c>
      <c r="AX490" t="s">
        <v>74</v>
      </c>
      <c r="AY490" t="s">
        <v>74</v>
      </c>
      <c r="AZ490" t="s">
        <v>74</v>
      </c>
      <c r="BA490" t="s">
        <v>74</v>
      </c>
      <c r="BB490" t="s">
        <v>74</v>
      </c>
      <c r="BC490" t="s">
        <v>74</v>
      </c>
      <c r="BD490" t="s">
        <v>9426</v>
      </c>
      <c r="BE490" t="s">
        <v>9427</v>
      </c>
      <c r="BF490" t="str">
        <f>HYPERLINK("http://dx.doi.org/10.1029/2012JD017953","http://dx.doi.org/10.1029/2012JD017953")</f>
        <v>http://dx.doi.org/10.1029/2012JD017953</v>
      </c>
      <c r="BG490" t="s">
        <v>74</v>
      </c>
      <c r="BH490" t="s">
        <v>74</v>
      </c>
      <c r="BI490">
        <v>7</v>
      </c>
      <c r="BJ490" t="s">
        <v>378</v>
      </c>
      <c r="BK490" t="s">
        <v>98</v>
      </c>
      <c r="BL490" t="s">
        <v>378</v>
      </c>
      <c r="BM490" t="s">
        <v>9428</v>
      </c>
      <c r="BN490" t="s">
        <v>74</v>
      </c>
      <c r="BO490" t="s">
        <v>74</v>
      </c>
      <c r="BP490" t="s">
        <v>74</v>
      </c>
      <c r="BQ490" t="s">
        <v>74</v>
      </c>
      <c r="BR490" t="s">
        <v>101</v>
      </c>
      <c r="BS490" t="s">
        <v>9429</v>
      </c>
      <c r="BT490" t="str">
        <f>HYPERLINK("https%3A%2F%2Fwww.webofscience.com%2Fwos%2Fwoscc%2Ffull-record%2FWOS:000308320100003","View Full Record in Web of Science")</f>
        <v>View Full Record in Web of Science</v>
      </c>
    </row>
    <row r="491" spans="1:72" x14ac:dyDescent="0.15">
      <c r="A491" t="s">
        <v>72</v>
      </c>
      <c r="B491" t="s">
        <v>9430</v>
      </c>
      <c r="C491" t="s">
        <v>74</v>
      </c>
      <c r="D491" t="s">
        <v>74</v>
      </c>
      <c r="E491" t="s">
        <v>74</v>
      </c>
      <c r="F491" t="s">
        <v>9431</v>
      </c>
      <c r="G491" t="s">
        <v>74</v>
      </c>
      <c r="H491" t="s">
        <v>74</v>
      </c>
      <c r="I491" t="s">
        <v>9432</v>
      </c>
      <c r="J491" t="s">
        <v>106</v>
      </c>
      <c r="K491" t="s">
        <v>74</v>
      </c>
      <c r="L491" t="s">
        <v>74</v>
      </c>
      <c r="M491" t="s">
        <v>78</v>
      </c>
      <c r="N491" t="s">
        <v>79</v>
      </c>
      <c r="O491" t="s">
        <v>74</v>
      </c>
      <c r="P491" t="s">
        <v>74</v>
      </c>
      <c r="Q491" t="s">
        <v>74</v>
      </c>
      <c r="R491" t="s">
        <v>74</v>
      </c>
      <c r="S491" t="s">
        <v>74</v>
      </c>
      <c r="T491" t="s">
        <v>74</v>
      </c>
      <c r="U491" t="s">
        <v>9433</v>
      </c>
      <c r="V491" t="s">
        <v>9434</v>
      </c>
      <c r="W491" t="s">
        <v>9435</v>
      </c>
      <c r="X491" t="s">
        <v>9436</v>
      </c>
      <c r="Y491" t="s">
        <v>9437</v>
      </c>
      <c r="Z491" t="s">
        <v>9438</v>
      </c>
      <c r="AA491" t="s">
        <v>9439</v>
      </c>
      <c r="AB491" t="s">
        <v>9440</v>
      </c>
      <c r="AC491" t="s">
        <v>9441</v>
      </c>
      <c r="AD491" t="s">
        <v>9442</v>
      </c>
      <c r="AE491" t="s">
        <v>9443</v>
      </c>
      <c r="AF491" t="s">
        <v>74</v>
      </c>
      <c r="AG491">
        <v>50</v>
      </c>
      <c r="AH491">
        <v>29</v>
      </c>
      <c r="AI491">
        <v>32</v>
      </c>
      <c r="AJ491">
        <v>0</v>
      </c>
      <c r="AK491">
        <v>11</v>
      </c>
      <c r="AL491" t="s">
        <v>118</v>
      </c>
      <c r="AM491" t="s">
        <v>119</v>
      </c>
      <c r="AN491" t="s">
        <v>120</v>
      </c>
      <c r="AO491" t="s">
        <v>121</v>
      </c>
      <c r="AP491" t="s">
        <v>122</v>
      </c>
      <c r="AQ491" t="s">
        <v>74</v>
      </c>
      <c r="AR491" t="s">
        <v>123</v>
      </c>
      <c r="AS491" t="s">
        <v>124</v>
      </c>
      <c r="AT491" t="s">
        <v>9444</v>
      </c>
      <c r="AU491">
        <v>2012</v>
      </c>
      <c r="AV491">
        <v>117</v>
      </c>
      <c r="AW491" t="s">
        <v>74</v>
      </c>
      <c r="AX491" t="s">
        <v>74</v>
      </c>
      <c r="AY491" t="s">
        <v>74</v>
      </c>
      <c r="AZ491" t="s">
        <v>74</v>
      </c>
      <c r="BA491" t="s">
        <v>74</v>
      </c>
      <c r="BB491" t="s">
        <v>74</v>
      </c>
      <c r="BC491" t="s">
        <v>74</v>
      </c>
      <c r="BD491" t="s">
        <v>9445</v>
      </c>
      <c r="BE491" t="s">
        <v>9446</v>
      </c>
      <c r="BF491" t="str">
        <f>HYPERLINK("http://dx.doi.org/10.1029/2012JA017784","http://dx.doi.org/10.1029/2012JA017784")</f>
        <v>http://dx.doi.org/10.1029/2012JA017784</v>
      </c>
      <c r="BG491" t="s">
        <v>74</v>
      </c>
      <c r="BH491" t="s">
        <v>74</v>
      </c>
      <c r="BI491">
        <v>17</v>
      </c>
      <c r="BJ491" t="s">
        <v>127</v>
      </c>
      <c r="BK491" t="s">
        <v>98</v>
      </c>
      <c r="BL491" t="s">
        <v>127</v>
      </c>
      <c r="BM491" t="s">
        <v>9447</v>
      </c>
      <c r="BN491" t="s">
        <v>74</v>
      </c>
      <c r="BO491" t="s">
        <v>416</v>
      </c>
      <c r="BP491" t="s">
        <v>74</v>
      </c>
      <c r="BQ491" t="s">
        <v>74</v>
      </c>
      <c r="BR491" t="s">
        <v>101</v>
      </c>
      <c r="BS491" t="s">
        <v>9448</v>
      </c>
      <c r="BT491" t="str">
        <f>HYPERLINK("https%3A%2F%2Fwww.webofscience.com%2Fwos%2Fwoscc%2Ffull-record%2FWOS:000308307400004","View Full Record in Web of Science")</f>
        <v>View Full Record in Web of Science</v>
      </c>
    </row>
    <row r="492" spans="1:72" x14ac:dyDescent="0.15">
      <c r="A492" t="s">
        <v>72</v>
      </c>
      <c r="B492" t="s">
        <v>9449</v>
      </c>
      <c r="C492" t="s">
        <v>74</v>
      </c>
      <c r="D492" t="s">
        <v>74</v>
      </c>
      <c r="E492" t="s">
        <v>74</v>
      </c>
      <c r="F492" t="s">
        <v>9450</v>
      </c>
      <c r="G492" t="s">
        <v>74</v>
      </c>
      <c r="H492" t="s">
        <v>74</v>
      </c>
      <c r="I492" t="s">
        <v>9451</v>
      </c>
      <c r="J492" t="s">
        <v>3733</v>
      </c>
      <c r="K492" t="s">
        <v>74</v>
      </c>
      <c r="L492" t="s">
        <v>74</v>
      </c>
      <c r="M492" t="s">
        <v>78</v>
      </c>
      <c r="N492" t="s">
        <v>79</v>
      </c>
      <c r="O492" t="s">
        <v>74</v>
      </c>
      <c r="P492" t="s">
        <v>74</v>
      </c>
      <c r="Q492" t="s">
        <v>74</v>
      </c>
      <c r="R492" t="s">
        <v>74</v>
      </c>
      <c r="S492" t="s">
        <v>74</v>
      </c>
      <c r="T492" t="s">
        <v>74</v>
      </c>
      <c r="U492" t="s">
        <v>9452</v>
      </c>
      <c r="V492" t="s">
        <v>9453</v>
      </c>
      <c r="W492" t="s">
        <v>9454</v>
      </c>
      <c r="X492" t="s">
        <v>9455</v>
      </c>
      <c r="Y492" t="s">
        <v>9456</v>
      </c>
      <c r="Z492" t="s">
        <v>9457</v>
      </c>
      <c r="AA492" t="s">
        <v>9458</v>
      </c>
      <c r="AB492" t="s">
        <v>9459</v>
      </c>
      <c r="AC492" t="s">
        <v>9460</v>
      </c>
      <c r="AD492" t="s">
        <v>9461</v>
      </c>
      <c r="AE492" t="s">
        <v>9462</v>
      </c>
      <c r="AF492" t="s">
        <v>74</v>
      </c>
      <c r="AG492">
        <v>79</v>
      </c>
      <c r="AH492">
        <v>20</v>
      </c>
      <c r="AI492">
        <v>24</v>
      </c>
      <c r="AJ492">
        <v>0</v>
      </c>
      <c r="AK492">
        <v>35</v>
      </c>
      <c r="AL492" t="s">
        <v>118</v>
      </c>
      <c r="AM492" t="s">
        <v>119</v>
      </c>
      <c r="AN492" t="s">
        <v>120</v>
      </c>
      <c r="AO492" t="s">
        <v>3745</v>
      </c>
      <c r="AP492" t="s">
        <v>3746</v>
      </c>
      <c r="AQ492" t="s">
        <v>74</v>
      </c>
      <c r="AR492" t="s">
        <v>3733</v>
      </c>
      <c r="AS492" t="s">
        <v>3747</v>
      </c>
      <c r="AT492" t="s">
        <v>9444</v>
      </c>
      <c r="AU492">
        <v>2012</v>
      </c>
      <c r="AV492">
        <v>27</v>
      </c>
      <c r="AW492" t="s">
        <v>74</v>
      </c>
      <c r="AX492" t="s">
        <v>74</v>
      </c>
      <c r="AY492" t="s">
        <v>74</v>
      </c>
      <c r="AZ492" t="s">
        <v>74</v>
      </c>
      <c r="BA492" t="s">
        <v>74</v>
      </c>
      <c r="BB492" t="s">
        <v>74</v>
      </c>
      <c r="BC492" t="s">
        <v>74</v>
      </c>
      <c r="BD492" t="s">
        <v>9463</v>
      </c>
      <c r="BE492" t="s">
        <v>9464</v>
      </c>
      <c r="BF492" t="str">
        <f>HYPERLINK("http://dx.doi.org/10.1029/2012PA002290","http://dx.doi.org/10.1029/2012PA002290")</f>
        <v>http://dx.doi.org/10.1029/2012PA002290</v>
      </c>
      <c r="BG492" t="s">
        <v>74</v>
      </c>
      <c r="BH492" t="s">
        <v>74</v>
      </c>
      <c r="BI492">
        <v>11</v>
      </c>
      <c r="BJ492" t="s">
        <v>3750</v>
      </c>
      <c r="BK492" t="s">
        <v>98</v>
      </c>
      <c r="BL492" t="s">
        <v>3751</v>
      </c>
      <c r="BM492" t="s">
        <v>9465</v>
      </c>
      <c r="BN492" t="s">
        <v>74</v>
      </c>
      <c r="BO492" t="s">
        <v>607</v>
      </c>
      <c r="BP492" t="s">
        <v>74</v>
      </c>
      <c r="BQ492" t="s">
        <v>74</v>
      </c>
      <c r="BR492" t="s">
        <v>101</v>
      </c>
      <c r="BS492" t="s">
        <v>9466</v>
      </c>
      <c r="BT492" t="str">
        <f>HYPERLINK("https%3A%2F%2Fwww.webofscience.com%2Fwos%2Fwoscc%2Ffull-record%2FWOS:000308309500001","View Full Record in Web of Science")</f>
        <v>View Full Record in Web of Science</v>
      </c>
    </row>
    <row r="493" spans="1:72" x14ac:dyDescent="0.15">
      <c r="A493" t="s">
        <v>72</v>
      </c>
      <c r="B493" t="s">
        <v>9467</v>
      </c>
      <c r="C493" t="s">
        <v>74</v>
      </c>
      <c r="D493" t="s">
        <v>74</v>
      </c>
      <c r="E493" t="s">
        <v>74</v>
      </c>
      <c r="F493" t="s">
        <v>9468</v>
      </c>
      <c r="G493" t="s">
        <v>74</v>
      </c>
      <c r="H493" t="s">
        <v>74</v>
      </c>
      <c r="I493" t="s">
        <v>9469</v>
      </c>
      <c r="J493" t="s">
        <v>3733</v>
      </c>
      <c r="K493" t="s">
        <v>74</v>
      </c>
      <c r="L493" t="s">
        <v>74</v>
      </c>
      <c r="M493" t="s">
        <v>78</v>
      </c>
      <c r="N493" t="s">
        <v>79</v>
      </c>
      <c r="O493" t="s">
        <v>74</v>
      </c>
      <c r="P493" t="s">
        <v>74</v>
      </c>
      <c r="Q493" t="s">
        <v>74</v>
      </c>
      <c r="R493" t="s">
        <v>74</v>
      </c>
      <c r="S493" t="s">
        <v>74</v>
      </c>
      <c r="T493" t="s">
        <v>74</v>
      </c>
      <c r="U493" t="s">
        <v>9470</v>
      </c>
      <c r="V493" t="s">
        <v>9471</v>
      </c>
      <c r="W493" t="s">
        <v>9472</v>
      </c>
      <c r="X493" t="s">
        <v>9473</v>
      </c>
      <c r="Y493" t="s">
        <v>9474</v>
      </c>
      <c r="Z493" t="s">
        <v>9475</v>
      </c>
      <c r="AA493" t="s">
        <v>9476</v>
      </c>
      <c r="AB493" t="s">
        <v>9477</v>
      </c>
      <c r="AC493" t="s">
        <v>9478</v>
      </c>
      <c r="AD493" t="s">
        <v>9479</v>
      </c>
      <c r="AE493" t="s">
        <v>9480</v>
      </c>
      <c r="AF493" t="s">
        <v>74</v>
      </c>
      <c r="AG493">
        <v>56</v>
      </c>
      <c r="AH493">
        <v>48</v>
      </c>
      <c r="AI493">
        <v>57</v>
      </c>
      <c r="AJ493">
        <v>1</v>
      </c>
      <c r="AK493">
        <v>36</v>
      </c>
      <c r="AL493" t="s">
        <v>118</v>
      </c>
      <c r="AM493" t="s">
        <v>119</v>
      </c>
      <c r="AN493" t="s">
        <v>120</v>
      </c>
      <c r="AO493" t="s">
        <v>3745</v>
      </c>
      <c r="AP493" t="s">
        <v>3746</v>
      </c>
      <c r="AQ493" t="s">
        <v>74</v>
      </c>
      <c r="AR493" t="s">
        <v>3733</v>
      </c>
      <c r="AS493" t="s">
        <v>3747</v>
      </c>
      <c r="AT493" t="s">
        <v>9444</v>
      </c>
      <c r="AU493">
        <v>2012</v>
      </c>
      <c r="AV493">
        <v>27</v>
      </c>
      <c r="AW493" t="s">
        <v>74</v>
      </c>
      <c r="AX493" t="s">
        <v>74</v>
      </c>
      <c r="AY493" t="s">
        <v>74</v>
      </c>
      <c r="AZ493" t="s">
        <v>74</v>
      </c>
      <c r="BA493" t="s">
        <v>74</v>
      </c>
      <c r="BB493" t="s">
        <v>74</v>
      </c>
      <c r="BC493" t="s">
        <v>74</v>
      </c>
      <c r="BD493" t="s">
        <v>9481</v>
      </c>
      <c r="BE493" t="s">
        <v>9482</v>
      </c>
      <c r="BF493" t="str">
        <f>HYPERLINK("http://dx.doi.org/10.1029/2012PA002337","http://dx.doi.org/10.1029/2012PA002337")</f>
        <v>http://dx.doi.org/10.1029/2012PA002337</v>
      </c>
      <c r="BG493" t="s">
        <v>74</v>
      </c>
      <c r="BH493" t="s">
        <v>74</v>
      </c>
      <c r="BI493">
        <v>12</v>
      </c>
      <c r="BJ493" t="s">
        <v>3750</v>
      </c>
      <c r="BK493" t="s">
        <v>98</v>
      </c>
      <c r="BL493" t="s">
        <v>3751</v>
      </c>
      <c r="BM493" t="s">
        <v>9465</v>
      </c>
      <c r="BN493" t="s">
        <v>74</v>
      </c>
      <c r="BO493" t="s">
        <v>1458</v>
      </c>
      <c r="BP493" t="s">
        <v>74</v>
      </c>
      <c r="BQ493" t="s">
        <v>74</v>
      </c>
      <c r="BR493" t="s">
        <v>101</v>
      </c>
      <c r="BS493" t="s">
        <v>9483</v>
      </c>
      <c r="BT493" t="str">
        <f>HYPERLINK("https%3A%2F%2Fwww.webofscience.com%2Fwos%2Fwoscc%2Ffull-record%2FWOS:000308309500003","View Full Record in Web of Science")</f>
        <v>View Full Record in Web of Science</v>
      </c>
    </row>
    <row r="494" spans="1:72" x14ac:dyDescent="0.15">
      <c r="A494" t="s">
        <v>72</v>
      </c>
      <c r="B494" t="s">
        <v>9484</v>
      </c>
      <c r="C494" t="s">
        <v>74</v>
      </c>
      <c r="D494" t="s">
        <v>74</v>
      </c>
      <c r="E494" t="s">
        <v>74</v>
      </c>
      <c r="F494" t="s">
        <v>9485</v>
      </c>
      <c r="G494" t="s">
        <v>74</v>
      </c>
      <c r="H494" t="s">
        <v>74</v>
      </c>
      <c r="I494" t="s">
        <v>9486</v>
      </c>
      <c r="J494" t="s">
        <v>3859</v>
      </c>
      <c r="K494" t="s">
        <v>74</v>
      </c>
      <c r="L494" t="s">
        <v>74</v>
      </c>
      <c r="M494" t="s">
        <v>78</v>
      </c>
      <c r="N494" t="s">
        <v>79</v>
      </c>
      <c r="O494" t="s">
        <v>74</v>
      </c>
      <c r="P494" t="s">
        <v>74</v>
      </c>
      <c r="Q494" t="s">
        <v>74</v>
      </c>
      <c r="R494" t="s">
        <v>74</v>
      </c>
      <c r="S494" t="s">
        <v>74</v>
      </c>
      <c r="T494" t="s">
        <v>9487</v>
      </c>
      <c r="U494" t="s">
        <v>9488</v>
      </c>
      <c r="V494" t="s">
        <v>9489</v>
      </c>
      <c r="W494" t="s">
        <v>9490</v>
      </c>
      <c r="X494" t="s">
        <v>9491</v>
      </c>
      <c r="Y494" t="s">
        <v>9492</v>
      </c>
      <c r="Z494" t="s">
        <v>9493</v>
      </c>
      <c r="AA494" t="s">
        <v>74</v>
      </c>
      <c r="AB494" t="s">
        <v>74</v>
      </c>
      <c r="AC494" t="s">
        <v>9494</v>
      </c>
      <c r="AD494" t="s">
        <v>9495</v>
      </c>
      <c r="AE494" t="s">
        <v>9496</v>
      </c>
      <c r="AF494" t="s">
        <v>74</v>
      </c>
      <c r="AG494">
        <v>24</v>
      </c>
      <c r="AH494">
        <v>5</v>
      </c>
      <c r="AI494">
        <v>5</v>
      </c>
      <c r="AJ494">
        <v>0</v>
      </c>
      <c r="AK494">
        <v>5</v>
      </c>
      <c r="AL494" t="s">
        <v>3871</v>
      </c>
      <c r="AM494" t="s">
        <v>3872</v>
      </c>
      <c r="AN494" t="s">
        <v>3873</v>
      </c>
      <c r="AO494" t="s">
        <v>3874</v>
      </c>
      <c r="AP494" t="s">
        <v>74</v>
      </c>
      <c r="AQ494" t="s">
        <v>74</v>
      </c>
      <c r="AR494" t="s">
        <v>3875</v>
      </c>
      <c r="AS494" t="s">
        <v>3876</v>
      </c>
      <c r="AT494" t="s">
        <v>9497</v>
      </c>
      <c r="AU494">
        <v>2012</v>
      </c>
      <c r="AV494">
        <v>103</v>
      </c>
      <c r="AW494">
        <v>4</v>
      </c>
      <c r="AX494" t="s">
        <v>74</v>
      </c>
      <c r="AY494" t="s">
        <v>74</v>
      </c>
      <c r="AZ494" t="s">
        <v>74</v>
      </c>
      <c r="BA494" t="s">
        <v>74</v>
      </c>
      <c r="BB494">
        <v>405</v>
      </c>
      <c r="BC494">
        <v>413</v>
      </c>
      <c r="BD494" t="s">
        <v>74</v>
      </c>
      <c r="BE494" t="s">
        <v>74</v>
      </c>
      <c r="BF494" t="s">
        <v>74</v>
      </c>
      <c r="BG494" t="s">
        <v>74</v>
      </c>
      <c r="BH494" t="s">
        <v>74</v>
      </c>
      <c r="BI494">
        <v>9</v>
      </c>
      <c r="BJ494" t="s">
        <v>153</v>
      </c>
      <c r="BK494" t="s">
        <v>98</v>
      </c>
      <c r="BL494" t="s">
        <v>154</v>
      </c>
      <c r="BM494" t="s">
        <v>9498</v>
      </c>
      <c r="BN494" t="s">
        <v>74</v>
      </c>
      <c r="BO494" t="s">
        <v>74</v>
      </c>
      <c r="BP494" t="s">
        <v>74</v>
      </c>
      <c r="BQ494" t="s">
        <v>74</v>
      </c>
      <c r="BR494" t="s">
        <v>101</v>
      </c>
      <c r="BS494" t="s">
        <v>9499</v>
      </c>
      <c r="BT494" t="str">
        <f>HYPERLINK("https%3A%2F%2Fwww.webofscience.com%2Fwos%2Fwoscc%2Ffull-record%2FWOS:000308525200020","View Full Record in Web of Science")</f>
        <v>View Full Record in Web of Science</v>
      </c>
    </row>
    <row r="495" spans="1:72" x14ac:dyDescent="0.15">
      <c r="A495" t="s">
        <v>72</v>
      </c>
      <c r="B495" t="s">
        <v>9500</v>
      </c>
      <c r="C495" t="s">
        <v>74</v>
      </c>
      <c r="D495" t="s">
        <v>74</v>
      </c>
      <c r="E495" t="s">
        <v>74</v>
      </c>
      <c r="F495" t="s">
        <v>9501</v>
      </c>
      <c r="G495" t="s">
        <v>74</v>
      </c>
      <c r="H495" t="s">
        <v>74</v>
      </c>
      <c r="I495" t="s">
        <v>9502</v>
      </c>
      <c r="J495" t="s">
        <v>3666</v>
      </c>
      <c r="K495" t="s">
        <v>74</v>
      </c>
      <c r="L495" t="s">
        <v>74</v>
      </c>
      <c r="M495" t="s">
        <v>78</v>
      </c>
      <c r="N495" t="s">
        <v>79</v>
      </c>
      <c r="O495" t="s">
        <v>74</v>
      </c>
      <c r="P495" t="s">
        <v>74</v>
      </c>
      <c r="Q495" t="s">
        <v>74</v>
      </c>
      <c r="R495" t="s">
        <v>74</v>
      </c>
      <c r="S495" t="s">
        <v>74</v>
      </c>
      <c r="T495" t="s">
        <v>74</v>
      </c>
      <c r="U495" t="s">
        <v>9503</v>
      </c>
      <c r="V495" t="s">
        <v>9504</v>
      </c>
      <c r="W495" t="s">
        <v>9505</v>
      </c>
      <c r="X495" t="s">
        <v>9506</v>
      </c>
      <c r="Y495" t="s">
        <v>9507</v>
      </c>
      <c r="Z495" t="s">
        <v>9508</v>
      </c>
      <c r="AA495" t="s">
        <v>9509</v>
      </c>
      <c r="AB495" t="s">
        <v>9510</v>
      </c>
      <c r="AC495" t="s">
        <v>74</v>
      </c>
      <c r="AD495" t="s">
        <v>74</v>
      </c>
      <c r="AE495" t="s">
        <v>74</v>
      </c>
      <c r="AF495" t="s">
        <v>74</v>
      </c>
      <c r="AG495">
        <v>81</v>
      </c>
      <c r="AH495">
        <v>16</v>
      </c>
      <c r="AI495">
        <v>17</v>
      </c>
      <c r="AJ495">
        <v>0</v>
      </c>
      <c r="AK495">
        <v>17</v>
      </c>
      <c r="AL495" t="s">
        <v>118</v>
      </c>
      <c r="AM495" t="s">
        <v>119</v>
      </c>
      <c r="AN495" t="s">
        <v>120</v>
      </c>
      <c r="AO495" t="s">
        <v>3678</v>
      </c>
      <c r="AP495" t="s">
        <v>3679</v>
      </c>
      <c r="AQ495" t="s">
        <v>74</v>
      </c>
      <c r="AR495" t="s">
        <v>3680</v>
      </c>
      <c r="AS495" t="s">
        <v>3681</v>
      </c>
      <c r="AT495" t="s">
        <v>9497</v>
      </c>
      <c r="AU495">
        <v>2012</v>
      </c>
      <c r="AV495">
        <v>117</v>
      </c>
      <c r="AW495" t="s">
        <v>74</v>
      </c>
      <c r="AX495" t="s">
        <v>74</v>
      </c>
      <c r="AY495" t="s">
        <v>74</v>
      </c>
      <c r="AZ495" t="s">
        <v>74</v>
      </c>
      <c r="BA495" t="s">
        <v>74</v>
      </c>
      <c r="BB495" t="s">
        <v>74</v>
      </c>
      <c r="BC495" t="s">
        <v>74</v>
      </c>
      <c r="BD495" t="s">
        <v>9511</v>
      </c>
      <c r="BE495" t="s">
        <v>9512</v>
      </c>
      <c r="BF495" t="str">
        <f>HYPERLINK("http://dx.doi.org/10.1029/2012JC008059","http://dx.doi.org/10.1029/2012JC008059")</f>
        <v>http://dx.doi.org/10.1029/2012JC008059</v>
      </c>
      <c r="BG495" t="s">
        <v>74</v>
      </c>
      <c r="BH495" t="s">
        <v>74</v>
      </c>
      <c r="BI495">
        <v>21</v>
      </c>
      <c r="BJ495" t="s">
        <v>941</v>
      </c>
      <c r="BK495" t="s">
        <v>98</v>
      </c>
      <c r="BL495" t="s">
        <v>941</v>
      </c>
      <c r="BM495" t="s">
        <v>9513</v>
      </c>
      <c r="BN495" t="s">
        <v>74</v>
      </c>
      <c r="BO495" t="s">
        <v>1458</v>
      </c>
      <c r="BP495" t="s">
        <v>74</v>
      </c>
      <c r="BQ495" t="s">
        <v>74</v>
      </c>
      <c r="BR495" t="s">
        <v>101</v>
      </c>
      <c r="BS495" t="s">
        <v>9514</v>
      </c>
      <c r="BT495" t="str">
        <f>HYPERLINK("https%3A%2F%2Fwww.webofscience.com%2Fwos%2Fwoscc%2Ffull-record%2FWOS:000308027200005","View Full Record in Web of Science")</f>
        <v>View Full Record in Web of Science</v>
      </c>
    </row>
    <row r="496" spans="1:72" x14ac:dyDescent="0.15">
      <c r="A496" t="s">
        <v>72</v>
      </c>
      <c r="B496" t="s">
        <v>9515</v>
      </c>
      <c r="C496" t="s">
        <v>74</v>
      </c>
      <c r="D496" t="s">
        <v>74</v>
      </c>
      <c r="E496" t="s">
        <v>74</v>
      </c>
      <c r="F496" t="s">
        <v>9516</v>
      </c>
      <c r="G496" t="s">
        <v>74</v>
      </c>
      <c r="H496" t="s">
        <v>74</v>
      </c>
      <c r="I496" t="s">
        <v>9517</v>
      </c>
      <c r="J496" t="s">
        <v>3207</v>
      </c>
      <c r="K496" t="s">
        <v>74</v>
      </c>
      <c r="L496" t="s">
        <v>74</v>
      </c>
      <c r="M496" t="s">
        <v>78</v>
      </c>
      <c r="N496" t="s">
        <v>79</v>
      </c>
      <c r="O496" t="s">
        <v>74</v>
      </c>
      <c r="P496" t="s">
        <v>74</v>
      </c>
      <c r="Q496" t="s">
        <v>74</v>
      </c>
      <c r="R496" t="s">
        <v>74</v>
      </c>
      <c r="S496" t="s">
        <v>74</v>
      </c>
      <c r="T496" t="s">
        <v>74</v>
      </c>
      <c r="U496" t="s">
        <v>9518</v>
      </c>
      <c r="V496" t="s">
        <v>9519</v>
      </c>
      <c r="W496" t="s">
        <v>9520</v>
      </c>
      <c r="X496" t="s">
        <v>9521</v>
      </c>
      <c r="Y496" t="s">
        <v>9522</v>
      </c>
      <c r="Z496" t="s">
        <v>9523</v>
      </c>
      <c r="AA496" t="s">
        <v>9524</v>
      </c>
      <c r="AB496" t="s">
        <v>9525</v>
      </c>
      <c r="AC496" t="s">
        <v>9526</v>
      </c>
      <c r="AD496" t="s">
        <v>9527</v>
      </c>
      <c r="AE496" t="s">
        <v>9528</v>
      </c>
      <c r="AF496" t="s">
        <v>74</v>
      </c>
      <c r="AG496">
        <v>50</v>
      </c>
      <c r="AH496">
        <v>26</v>
      </c>
      <c r="AI496">
        <v>29</v>
      </c>
      <c r="AJ496">
        <v>0</v>
      </c>
      <c r="AK496">
        <v>36</v>
      </c>
      <c r="AL496" t="s">
        <v>118</v>
      </c>
      <c r="AM496" t="s">
        <v>119</v>
      </c>
      <c r="AN496" t="s">
        <v>120</v>
      </c>
      <c r="AO496" t="s">
        <v>3219</v>
      </c>
      <c r="AP496" t="s">
        <v>3220</v>
      </c>
      <c r="AQ496" t="s">
        <v>74</v>
      </c>
      <c r="AR496" t="s">
        <v>3221</v>
      </c>
      <c r="AS496" t="s">
        <v>3222</v>
      </c>
      <c r="AT496" t="s">
        <v>9497</v>
      </c>
      <c r="AU496">
        <v>2012</v>
      </c>
      <c r="AV496">
        <v>117</v>
      </c>
      <c r="AW496" t="s">
        <v>74</v>
      </c>
      <c r="AX496" t="s">
        <v>74</v>
      </c>
      <c r="AY496" t="s">
        <v>74</v>
      </c>
      <c r="AZ496" t="s">
        <v>74</v>
      </c>
      <c r="BA496" t="s">
        <v>74</v>
      </c>
      <c r="BB496" t="s">
        <v>74</v>
      </c>
      <c r="BC496" t="s">
        <v>74</v>
      </c>
      <c r="BD496" t="s">
        <v>9529</v>
      </c>
      <c r="BE496" t="s">
        <v>9530</v>
      </c>
      <c r="BF496" t="str">
        <f>HYPERLINK("http://dx.doi.org/10.1029/2012JD017885","http://dx.doi.org/10.1029/2012JD017885")</f>
        <v>http://dx.doi.org/10.1029/2012JD017885</v>
      </c>
      <c r="BG496" t="s">
        <v>74</v>
      </c>
      <c r="BH496" t="s">
        <v>74</v>
      </c>
      <c r="BI496">
        <v>19</v>
      </c>
      <c r="BJ496" t="s">
        <v>378</v>
      </c>
      <c r="BK496" t="s">
        <v>98</v>
      </c>
      <c r="BL496" t="s">
        <v>378</v>
      </c>
      <c r="BM496" t="s">
        <v>9531</v>
      </c>
      <c r="BN496" t="s">
        <v>74</v>
      </c>
      <c r="BO496" t="s">
        <v>607</v>
      </c>
      <c r="BP496" t="s">
        <v>74</v>
      </c>
      <c r="BQ496" t="s">
        <v>74</v>
      </c>
      <c r="BR496" t="s">
        <v>101</v>
      </c>
      <c r="BS496" t="s">
        <v>9532</v>
      </c>
      <c r="BT496" t="str">
        <f>HYPERLINK("https%3A%2F%2Fwww.webofscience.com%2Fwos%2Fwoscc%2Ffull-record%2FWOS:000308072100007","View Full Record in Web of Science")</f>
        <v>View Full Record in Web of Science</v>
      </c>
    </row>
    <row r="497" spans="1:72" x14ac:dyDescent="0.15">
      <c r="A497" t="s">
        <v>72</v>
      </c>
      <c r="B497" t="s">
        <v>9533</v>
      </c>
      <c r="C497" t="s">
        <v>74</v>
      </c>
      <c r="D497" t="s">
        <v>74</v>
      </c>
      <c r="E497" t="s">
        <v>74</v>
      </c>
      <c r="F497" t="s">
        <v>9534</v>
      </c>
      <c r="G497" t="s">
        <v>74</v>
      </c>
      <c r="H497" t="s">
        <v>74</v>
      </c>
      <c r="I497" t="s">
        <v>9535</v>
      </c>
      <c r="J497" t="s">
        <v>9536</v>
      </c>
      <c r="K497" t="s">
        <v>74</v>
      </c>
      <c r="L497" t="s">
        <v>74</v>
      </c>
      <c r="M497" t="s">
        <v>78</v>
      </c>
      <c r="N497" t="s">
        <v>79</v>
      </c>
      <c r="O497" t="s">
        <v>74</v>
      </c>
      <c r="P497" t="s">
        <v>74</v>
      </c>
      <c r="Q497" t="s">
        <v>74</v>
      </c>
      <c r="R497" t="s">
        <v>74</v>
      </c>
      <c r="S497" t="s">
        <v>74</v>
      </c>
      <c r="T497" t="s">
        <v>74</v>
      </c>
      <c r="U497" t="s">
        <v>9537</v>
      </c>
      <c r="V497" t="s">
        <v>9538</v>
      </c>
      <c r="W497" t="s">
        <v>9539</v>
      </c>
      <c r="X497" t="s">
        <v>9540</v>
      </c>
      <c r="Y497" t="s">
        <v>9541</v>
      </c>
      <c r="Z497" t="s">
        <v>9542</v>
      </c>
      <c r="AA497" t="s">
        <v>9543</v>
      </c>
      <c r="AB497" t="s">
        <v>9544</v>
      </c>
      <c r="AC497" t="s">
        <v>9545</v>
      </c>
      <c r="AD497" t="s">
        <v>9546</v>
      </c>
      <c r="AE497" t="s">
        <v>9547</v>
      </c>
      <c r="AF497" t="s">
        <v>74</v>
      </c>
      <c r="AG497">
        <v>42</v>
      </c>
      <c r="AH497">
        <v>17</v>
      </c>
      <c r="AI497">
        <v>22</v>
      </c>
      <c r="AJ497">
        <v>1</v>
      </c>
      <c r="AK497">
        <v>42</v>
      </c>
      <c r="AL497" t="s">
        <v>118</v>
      </c>
      <c r="AM497" t="s">
        <v>119</v>
      </c>
      <c r="AN497" t="s">
        <v>120</v>
      </c>
      <c r="AO497" t="s">
        <v>9548</v>
      </c>
      <c r="AP497" t="s">
        <v>9549</v>
      </c>
      <c r="AQ497" t="s">
        <v>74</v>
      </c>
      <c r="AR497" t="s">
        <v>9550</v>
      </c>
      <c r="AS497" t="s">
        <v>9551</v>
      </c>
      <c r="AT497" t="s">
        <v>9497</v>
      </c>
      <c r="AU497">
        <v>2012</v>
      </c>
      <c r="AV497">
        <v>26</v>
      </c>
      <c r="AW497" t="s">
        <v>74</v>
      </c>
      <c r="AX497" t="s">
        <v>74</v>
      </c>
      <c r="AY497" t="s">
        <v>74</v>
      </c>
      <c r="AZ497" t="s">
        <v>74</v>
      </c>
      <c r="BA497" t="s">
        <v>74</v>
      </c>
      <c r="BB497" t="s">
        <v>74</v>
      </c>
      <c r="BC497" t="s">
        <v>74</v>
      </c>
      <c r="BD497" t="s">
        <v>9552</v>
      </c>
      <c r="BE497" t="s">
        <v>9553</v>
      </c>
      <c r="BF497" t="str">
        <f>HYPERLINK("http://dx.doi.org/10.1029/2012GB004295","http://dx.doi.org/10.1029/2012GB004295")</f>
        <v>http://dx.doi.org/10.1029/2012GB004295</v>
      </c>
      <c r="BG497" t="s">
        <v>74</v>
      </c>
      <c r="BH497" t="s">
        <v>74</v>
      </c>
      <c r="BI497">
        <v>9</v>
      </c>
      <c r="BJ497" t="s">
        <v>9554</v>
      </c>
      <c r="BK497" t="s">
        <v>98</v>
      </c>
      <c r="BL497" t="s">
        <v>9555</v>
      </c>
      <c r="BM497" t="s">
        <v>9556</v>
      </c>
      <c r="BN497" t="s">
        <v>74</v>
      </c>
      <c r="BO497" t="s">
        <v>416</v>
      </c>
      <c r="BP497" t="s">
        <v>74</v>
      </c>
      <c r="BQ497" t="s">
        <v>74</v>
      </c>
      <c r="BR497" t="s">
        <v>101</v>
      </c>
      <c r="BS497" t="s">
        <v>9557</v>
      </c>
      <c r="BT497" t="str">
        <f>HYPERLINK("https%3A%2F%2Fwww.webofscience.com%2Fwos%2Fwoscc%2Ffull-record%2FWOS:000308006300001","View Full Record in Web of Science")</f>
        <v>View Full Record in Web of Science</v>
      </c>
    </row>
    <row r="498" spans="1:72" x14ac:dyDescent="0.15">
      <c r="A498" t="s">
        <v>72</v>
      </c>
      <c r="B498" t="s">
        <v>9558</v>
      </c>
      <c r="C498" t="s">
        <v>74</v>
      </c>
      <c r="D498" t="s">
        <v>74</v>
      </c>
      <c r="E498" t="s">
        <v>74</v>
      </c>
      <c r="F498" t="s">
        <v>9559</v>
      </c>
      <c r="G498" t="s">
        <v>74</v>
      </c>
      <c r="H498" t="s">
        <v>74</v>
      </c>
      <c r="I498" t="s">
        <v>9560</v>
      </c>
      <c r="J498" t="s">
        <v>9561</v>
      </c>
      <c r="K498" t="s">
        <v>74</v>
      </c>
      <c r="L498" t="s">
        <v>74</v>
      </c>
      <c r="M498" t="s">
        <v>78</v>
      </c>
      <c r="N498" t="s">
        <v>79</v>
      </c>
      <c r="O498" t="s">
        <v>74</v>
      </c>
      <c r="P498" t="s">
        <v>74</v>
      </c>
      <c r="Q498" t="s">
        <v>74</v>
      </c>
      <c r="R498" t="s">
        <v>74</v>
      </c>
      <c r="S498" t="s">
        <v>74</v>
      </c>
      <c r="T498" t="s">
        <v>74</v>
      </c>
      <c r="U498" t="s">
        <v>9562</v>
      </c>
      <c r="V498" t="s">
        <v>9563</v>
      </c>
      <c r="W498" t="s">
        <v>9564</v>
      </c>
      <c r="X498" t="s">
        <v>9565</v>
      </c>
      <c r="Y498" t="s">
        <v>9566</v>
      </c>
      <c r="Z498" t="s">
        <v>9567</v>
      </c>
      <c r="AA498" t="s">
        <v>74</v>
      </c>
      <c r="AB498" t="s">
        <v>9568</v>
      </c>
      <c r="AC498" t="s">
        <v>74</v>
      </c>
      <c r="AD498" t="s">
        <v>74</v>
      </c>
      <c r="AE498" t="s">
        <v>74</v>
      </c>
      <c r="AF498" t="s">
        <v>74</v>
      </c>
      <c r="AG498">
        <v>44</v>
      </c>
      <c r="AH498">
        <v>56</v>
      </c>
      <c r="AI498">
        <v>64</v>
      </c>
      <c r="AJ498">
        <v>3</v>
      </c>
      <c r="AK498">
        <v>60</v>
      </c>
      <c r="AL498" t="s">
        <v>3402</v>
      </c>
      <c r="AM498" t="s">
        <v>434</v>
      </c>
      <c r="AN498" t="s">
        <v>3403</v>
      </c>
      <c r="AO498" t="s">
        <v>74</v>
      </c>
      <c r="AP498" t="s">
        <v>9569</v>
      </c>
      <c r="AQ498" t="s">
        <v>74</v>
      </c>
      <c r="AR498" t="s">
        <v>9570</v>
      </c>
      <c r="AS498" t="s">
        <v>9571</v>
      </c>
      <c r="AT498" t="s">
        <v>9572</v>
      </c>
      <c r="AU498">
        <v>2012</v>
      </c>
      <c r="AV498">
        <v>11</v>
      </c>
      <c r="AW498" t="s">
        <v>74</v>
      </c>
      <c r="AX498" t="s">
        <v>74</v>
      </c>
      <c r="AY498" t="s">
        <v>74</v>
      </c>
      <c r="AZ498" t="s">
        <v>74</v>
      </c>
      <c r="BA498" t="s">
        <v>74</v>
      </c>
      <c r="BB498" t="s">
        <v>74</v>
      </c>
      <c r="BC498" t="s">
        <v>74</v>
      </c>
      <c r="BD498">
        <v>113</v>
      </c>
      <c r="BE498" t="s">
        <v>9573</v>
      </c>
      <c r="BF498" t="str">
        <f>HYPERLINK("http://dx.doi.org/10.1186/1475-2859-11-113","http://dx.doi.org/10.1186/1475-2859-11-113")</f>
        <v>http://dx.doi.org/10.1186/1475-2859-11-113</v>
      </c>
      <c r="BG498" t="s">
        <v>74</v>
      </c>
      <c r="BH498" t="s">
        <v>74</v>
      </c>
      <c r="BI498">
        <v>15</v>
      </c>
      <c r="BJ498" t="s">
        <v>8329</v>
      </c>
      <c r="BK498" t="s">
        <v>98</v>
      </c>
      <c r="BL498" t="s">
        <v>8329</v>
      </c>
      <c r="BM498" t="s">
        <v>9574</v>
      </c>
      <c r="BN498">
        <v>22917022</v>
      </c>
      <c r="BO498" t="s">
        <v>777</v>
      </c>
      <c r="BP498" t="s">
        <v>74</v>
      </c>
      <c r="BQ498" t="s">
        <v>74</v>
      </c>
      <c r="BR498" t="s">
        <v>101</v>
      </c>
      <c r="BS498" t="s">
        <v>9575</v>
      </c>
      <c r="BT498" t="str">
        <f>HYPERLINK("https%3A%2F%2Fwww.webofscience.com%2Fwos%2Fwoscc%2Ffull-record%2FWOS:000312253900001","View Full Record in Web of Science")</f>
        <v>View Full Record in Web of Science</v>
      </c>
    </row>
    <row r="499" spans="1:72" x14ac:dyDescent="0.15">
      <c r="A499" t="s">
        <v>72</v>
      </c>
      <c r="B499" t="s">
        <v>9576</v>
      </c>
      <c r="C499" t="s">
        <v>74</v>
      </c>
      <c r="D499" t="s">
        <v>74</v>
      </c>
      <c r="E499" t="s">
        <v>74</v>
      </c>
      <c r="F499" t="s">
        <v>9577</v>
      </c>
      <c r="G499" t="s">
        <v>74</v>
      </c>
      <c r="H499" t="s">
        <v>74</v>
      </c>
      <c r="I499" t="s">
        <v>9578</v>
      </c>
      <c r="J499" t="s">
        <v>77</v>
      </c>
      <c r="K499" t="s">
        <v>74</v>
      </c>
      <c r="L499" t="s">
        <v>74</v>
      </c>
      <c r="M499" t="s">
        <v>78</v>
      </c>
      <c r="N499" t="s">
        <v>974</v>
      </c>
      <c r="O499" t="s">
        <v>74</v>
      </c>
      <c r="P499" t="s">
        <v>74</v>
      </c>
      <c r="Q499" t="s">
        <v>74</v>
      </c>
      <c r="R499" t="s">
        <v>74</v>
      </c>
      <c r="S499" t="s">
        <v>74</v>
      </c>
      <c r="T499" t="s">
        <v>9579</v>
      </c>
      <c r="U499" t="s">
        <v>9580</v>
      </c>
      <c r="V499" t="s">
        <v>9581</v>
      </c>
      <c r="W499" t="s">
        <v>9582</v>
      </c>
      <c r="X499" t="s">
        <v>9583</v>
      </c>
      <c r="Y499" t="s">
        <v>9584</v>
      </c>
      <c r="Z499" t="s">
        <v>9585</v>
      </c>
      <c r="AA499" t="s">
        <v>9586</v>
      </c>
      <c r="AB499" t="s">
        <v>9587</v>
      </c>
      <c r="AC499" t="s">
        <v>9588</v>
      </c>
      <c r="AD499" t="s">
        <v>9588</v>
      </c>
      <c r="AE499" t="s">
        <v>9589</v>
      </c>
      <c r="AF499" t="s">
        <v>74</v>
      </c>
      <c r="AG499">
        <v>60</v>
      </c>
      <c r="AH499">
        <v>45</v>
      </c>
      <c r="AI499">
        <v>48</v>
      </c>
      <c r="AJ499">
        <v>3</v>
      </c>
      <c r="AK499">
        <v>52</v>
      </c>
      <c r="AL499" t="s">
        <v>89</v>
      </c>
      <c r="AM499" t="s">
        <v>90</v>
      </c>
      <c r="AN499" t="s">
        <v>91</v>
      </c>
      <c r="AO499" t="s">
        <v>92</v>
      </c>
      <c r="AP499" t="s">
        <v>74</v>
      </c>
      <c r="AQ499" t="s">
        <v>74</v>
      </c>
      <c r="AR499" t="s">
        <v>93</v>
      </c>
      <c r="AS499" t="s">
        <v>94</v>
      </c>
      <c r="AT499" t="s">
        <v>9572</v>
      </c>
      <c r="AU499">
        <v>2012</v>
      </c>
      <c r="AV499">
        <v>49</v>
      </c>
      <c r="AW499" t="s">
        <v>74</v>
      </c>
      <c r="AX499" t="s">
        <v>74</v>
      </c>
      <c r="AY499" t="s">
        <v>74</v>
      </c>
      <c r="AZ499" t="s">
        <v>74</v>
      </c>
      <c r="BA499" t="s">
        <v>74</v>
      </c>
      <c r="BB499">
        <v>52</v>
      </c>
      <c r="BC499">
        <v>63</v>
      </c>
      <c r="BD499" t="s">
        <v>74</v>
      </c>
      <c r="BE499" t="s">
        <v>9590</v>
      </c>
      <c r="BF499" t="str">
        <f>HYPERLINK("http://dx.doi.org/10.1016/j.quascirev.2012.06.011","http://dx.doi.org/10.1016/j.quascirev.2012.06.011")</f>
        <v>http://dx.doi.org/10.1016/j.quascirev.2012.06.011</v>
      </c>
      <c r="BG499" t="s">
        <v>74</v>
      </c>
      <c r="BH499" t="s">
        <v>74</v>
      </c>
      <c r="BI499">
        <v>12</v>
      </c>
      <c r="BJ499" t="s">
        <v>97</v>
      </c>
      <c r="BK499" t="s">
        <v>98</v>
      </c>
      <c r="BL499" t="s">
        <v>99</v>
      </c>
      <c r="BM499" t="s">
        <v>9591</v>
      </c>
      <c r="BN499" t="s">
        <v>74</v>
      </c>
      <c r="BO499" t="s">
        <v>74</v>
      </c>
      <c r="BP499" t="s">
        <v>74</v>
      </c>
      <c r="BQ499" t="s">
        <v>74</v>
      </c>
      <c r="BR499" t="s">
        <v>101</v>
      </c>
      <c r="BS499" t="s">
        <v>9592</v>
      </c>
      <c r="BT499" t="str">
        <f>HYPERLINK("https%3A%2F%2Fwww.webofscience.com%2Fwos%2Fwoscc%2Ffull-record%2FWOS:000308051300004","View Full Record in Web of Science")</f>
        <v>View Full Record in Web of Science</v>
      </c>
    </row>
    <row r="500" spans="1:72" x14ac:dyDescent="0.15">
      <c r="A500" t="s">
        <v>72</v>
      </c>
      <c r="B500" t="s">
        <v>9593</v>
      </c>
      <c r="C500" t="s">
        <v>74</v>
      </c>
      <c r="D500" t="s">
        <v>74</v>
      </c>
      <c r="E500" t="s">
        <v>74</v>
      </c>
      <c r="F500" t="s">
        <v>9594</v>
      </c>
      <c r="G500" t="s">
        <v>74</v>
      </c>
      <c r="H500" t="s">
        <v>74</v>
      </c>
      <c r="I500" t="s">
        <v>9595</v>
      </c>
      <c r="J500" t="s">
        <v>3207</v>
      </c>
      <c r="K500" t="s">
        <v>74</v>
      </c>
      <c r="L500" t="s">
        <v>74</v>
      </c>
      <c r="M500" t="s">
        <v>78</v>
      </c>
      <c r="N500" t="s">
        <v>79</v>
      </c>
      <c r="O500" t="s">
        <v>74</v>
      </c>
      <c r="P500" t="s">
        <v>74</v>
      </c>
      <c r="Q500" t="s">
        <v>74</v>
      </c>
      <c r="R500" t="s">
        <v>74</v>
      </c>
      <c r="S500" t="s">
        <v>74</v>
      </c>
      <c r="T500" t="s">
        <v>74</v>
      </c>
      <c r="U500" t="s">
        <v>9596</v>
      </c>
      <c r="V500" t="s">
        <v>9597</v>
      </c>
      <c r="W500" t="s">
        <v>9598</v>
      </c>
      <c r="X500" t="s">
        <v>9599</v>
      </c>
      <c r="Y500" t="s">
        <v>9600</v>
      </c>
      <c r="Z500" t="s">
        <v>9601</v>
      </c>
      <c r="AA500" t="s">
        <v>9602</v>
      </c>
      <c r="AB500" t="s">
        <v>9603</v>
      </c>
      <c r="AC500" t="s">
        <v>9604</v>
      </c>
      <c r="AD500" t="s">
        <v>9605</v>
      </c>
      <c r="AE500" t="s">
        <v>9606</v>
      </c>
      <c r="AF500" t="s">
        <v>74</v>
      </c>
      <c r="AG500">
        <v>31</v>
      </c>
      <c r="AH500">
        <v>28</v>
      </c>
      <c r="AI500">
        <v>28</v>
      </c>
      <c r="AJ500">
        <v>0</v>
      </c>
      <c r="AK500">
        <v>14</v>
      </c>
      <c r="AL500" t="s">
        <v>118</v>
      </c>
      <c r="AM500" t="s">
        <v>119</v>
      </c>
      <c r="AN500" t="s">
        <v>120</v>
      </c>
      <c r="AO500" t="s">
        <v>3219</v>
      </c>
      <c r="AP500" t="s">
        <v>3220</v>
      </c>
      <c r="AQ500" t="s">
        <v>74</v>
      </c>
      <c r="AR500" t="s">
        <v>3221</v>
      </c>
      <c r="AS500" t="s">
        <v>3222</v>
      </c>
      <c r="AT500" t="s">
        <v>9572</v>
      </c>
      <c r="AU500">
        <v>2012</v>
      </c>
      <c r="AV500">
        <v>117</v>
      </c>
      <c r="AW500" t="s">
        <v>74</v>
      </c>
      <c r="AX500" t="s">
        <v>74</v>
      </c>
      <c r="AY500" t="s">
        <v>74</v>
      </c>
      <c r="AZ500" t="s">
        <v>74</v>
      </c>
      <c r="BA500" t="s">
        <v>74</v>
      </c>
      <c r="BB500" t="s">
        <v>74</v>
      </c>
      <c r="BC500" t="s">
        <v>74</v>
      </c>
      <c r="BD500" t="s">
        <v>9607</v>
      </c>
      <c r="BE500" t="s">
        <v>9608</v>
      </c>
      <c r="BF500" t="str">
        <f>HYPERLINK("http://dx.doi.org/10.1029/2012JD017689","http://dx.doi.org/10.1029/2012JD017689")</f>
        <v>http://dx.doi.org/10.1029/2012JD017689</v>
      </c>
      <c r="BG500" t="s">
        <v>74</v>
      </c>
      <c r="BH500" t="s">
        <v>74</v>
      </c>
      <c r="BI500">
        <v>13</v>
      </c>
      <c r="BJ500" t="s">
        <v>378</v>
      </c>
      <c r="BK500" t="s">
        <v>98</v>
      </c>
      <c r="BL500" t="s">
        <v>378</v>
      </c>
      <c r="BM500" t="s">
        <v>9609</v>
      </c>
      <c r="BN500" t="s">
        <v>74</v>
      </c>
      <c r="BO500" t="s">
        <v>607</v>
      </c>
      <c r="BP500" t="s">
        <v>74</v>
      </c>
      <c r="BQ500" t="s">
        <v>74</v>
      </c>
      <c r="BR500" t="s">
        <v>101</v>
      </c>
      <c r="BS500" t="s">
        <v>9610</v>
      </c>
      <c r="BT500" t="str">
        <f>HYPERLINK("https%3A%2F%2Fwww.webofscience.com%2Fwos%2Fwoscc%2Ffull-record%2FWOS:000308071900002","View Full Record in Web of Science")</f>
        <v>View Full Record in Web of Science</v>
      </c>
    </row>
    <row r="501" spans="1:72" x14ac:dyDescent="0.15">
      <c r="A501" t="s">
        <v>72</v>
      </c>
      <c r="B501" t="s">
        <v>9611</v>
      </c>
      <c r="C501" t="s">
        <v>74</v>
      </c>
      <c r="D501" t="s">
        <v>74</v>
      </c>
      <c r="E501" t="s">
        <v>74</v>
      </c>
      <c r="F501" t="s">
        <v>9612</v>
      </c>
      <c r="G501" t="s">
        <v>74</v>
      </c>
      <c r="H501" t="s">
        <v>74</v>
      </c>
      <c r="I501" t="s">
        <v>9613</v>
      </c>
      <c r="J501" t="s">
        <v>9614</v>
      </c>
      <c r="K501" t="s">
        <v>74</v>
      </c>
      <c r="L501" t="s">
        <v>74</v>
      </c>
      <c r="M501" t="s">
        <v>78</v>
      </c>
      <c r="N501" t="s">
        <v>79</v>
      </c>
      <c r="O501" t="s">
        <v>74</v>
      </c>
      <c r="P501" t="s">
        <v>74</v>
      </c>
      <c r="Q501" t="s">
        <v>74</v>
      </c>
      <c r="R501" t="s">
        <v>74</v>
      </c>
      <c r="S501" t="s">
        <v>74</v>
      </c>
      <c r="T501" t="s">
        <v>9615</v>
      </c>
      <c r="U501" t="s">
        <v>74</v>
      </c>
      <c r="V501" t="s">
        <v>9616</v>
      </c>
      <c r="W501" t="s">
        <v>9617</v>
      </c>
      <c r="X501" t="s">
        <v>9618</v>
      </c>
      <c r="Y501" t="s">
        <v>9619</v>
      </c>
      <c r="Z501" t="s">
        <v>9620</v>
      </c>
      <c r="AA501" t="s">
        <v>9621</v>
      </c>
      <c r="AB501" t="s">
        <v>9622</v>
      </c>
      <c r="AC501" t="s">
        <v>9623</v>
      </c>
      <c r="AD501" t="s">
        <v>9624</v>
      </c>
      <c r="AE501" t="s">
        <v>9625</v>
      </c>
      <c r="AF501" t="s">
        <v>74</v>
      </c>
      <c r="AG501">
        <v>16</v>
      </c>
      <c r="AH501">
        <v>137</v>
      </c>
      <c r="AI501">
        <v>150</v>
      </c>
      <c r="AJ501">
        <v>0</v>
      </c>
      <c r="AK501">
        <v>100</v>
      </c>
      <c r="AL501" t="s">
        <v>644</v>
      </c>
      <c r="AM501" t="s">
        <v>434</v>
      </c>
      <c r="AN501" t="s">
        <v>645</v>
      </c>
      <c r="AO501" t="s">
        <v>9626</v>
      </c>
      <c r="AP501" t="s">
        <v>9627</v>
      </c>
      <c r="AQ501" t="s">
        <v>74</v>
      </c>
      <c r="AR501" t="s">
        <v>9628</v>
      </c>
      <c r="AS501" t="s">
        <v>9629</v>
      </c>
      <c r="AT501" t="s">
        <v>9572</v>
      </c>
      <c r="AU501">
        <v>2012</v>
      </c>
      <c r="AV501">
        <v>8</v>
      </c>
      <c r="AW501">
        <v>4</v>
      </c>
      <c r="AX501" t="s">
        <v>74</v>
      </c>
      <c r="AY501" t="s">
        <v>74</v>
      </c>
      <c r="AZ501" t="s">
        <v>74</v>
      </c>
      <c r="BA501" t="s">
        <v>74</v>
      </c>
      <c r="BB501">
        <v>505</v>
      </c>
      <c r="BC501">
        <v>507</v>
      </c>
      <c r="BD501" t="s">
        <v>74</v>
      </c>
      <c r="BE501" t="s">
        <v>9630</v>
      </c>
      <c r="BF501" t="str">
        <f>HYPERLINK("http://dx.doi.org/10.1098/rsbl.2011.1223","http://dx.doi.org/10.1098/rsbl.2011.1223")</f>
        <v>http://dx.doi.org/10.1098/rsbl.2011.1223</v>
      </c>
      <c r="BG501" t="s">
        <v>74</v>
      </c>
      <c r="BH501" t="s">
        <v>74</v>
      </c>
      <c r="BI501">
        <v>3</v>
      </c>
      <c r="BJ501" t="s">
        <v>9631</v>
      </c>
      <c r="BK501" t="s">
        <v>98</v>
      </c>
      <c r="BL501" t="s">
        <v>9632</v>
      </c>
      <c r="BM501" t="s">
        <v>9633</v>
      </c>
      <c r="BN501" t="s">
        <v>74</v>
      </c>
      <c r="BO501" t="s">
        <v>1499</v>
      </c>
      <c r="BP501" t="s">
        <v>74</v>
      </c>
      <c r="BQ501" t="s">
        <v>74</v>
      </c>
      <c r="BR501" t="s">
        <v>101</v>
      </c>
      <c r="BS501" t="s">
        <v>9634</v>
      </c>
      <c r="BT501" t="str">
        <f>HYPERLINK("https%3A%2F%2Fwww.webofscience.com%2Fwos%2Fwoscc%2Ffull-record%2FWOS:000306361700008","View Full Record in Web of Science")</f>
        <v>View Full Record in Web of Science</v>
      </c>
    </row>
    <row r="502" spans="1:72" x14ac:dyDescent="0.15">
      <c r="A502" t="s">
        <v>72</v>
      </c>
      <c r="B502" t="s">
        <v>9635</v>
      </c>
      <c r="C502" t="s">
        <v>74</v>
      </c>
      <c r="D502" t="s">
        <v>74</v>
      </c>
      <c r="E502" t="s">
        <v>74</v>
      </c>
      <c r="F502" t="s">
        <v>9636</v>
      </c>
      <c r="G502" t="s">
        <v>74</v>
      </c>
      <c r="H502" t="s">
        <v>74</v>
      </c>
      <c r="I502" t="s">
        <v>9637</v>
      </c>
      <c r="J502" t="s">
        <v>77</v>
      </c>
      <c r="K502" t="s">
        <v>74</v>
      </c>
      <c r="L502" t="s">
        <v>74</v>
      </c>
      <c r="M502" t="s">
        <v>78</v>
      </c>
      <c r="N502" t="s">
        <v>974</v>
      </c>
      <c r="O502" t="s">
        <v>74</v>
      </c>
      <c r="P502" t="s">
        <v>74</v>
      </c>
      <c r="Q502" t="s">
        <v>74</v>
      </c>
      <c r="R502" t="s">
        <v>74</v>
      </c>
      <c r="S502" t="s">
        <v>74</v>
      </c>
      <c r="T502" t="s">
        <v>9638</v>
      </c>
      <c r="U502" t="s">
        <v>9639</v>
      </c>
      <c r="V502" t="s">
        <v>9640</v>
      </c>
      <c r="W502" t="s">
        <v>9641</v>
      </c>
      <c r="X502" t="s">
        <v>9642</v>
      </c>
      <c r="Y502" t="s">
        <v>9643</v>
      </c>
      <c r="Z502" t="s">
        <v>9644</v>
      </c>
      <c r="AA502" t="s">
        <v>9645</v>
      </c>
      <c r="AB502" t="s">
        <v>9646</v>
      </c>
      <c r="AC502" t="s">
        <v>9647</v>
      </c>
      <c r="AD502" t="s">
        <v>9648</v>
      </c>
      <c r="AE502" t="s">
        <v>9649</v>
      </c>
      <c r="AF502" t="s">
        <v>74</v>
      </c>
      <c r="AG502">
        <v>95</v>
      </c>
      <c r="AH502">
        <v>25</v>
      </c>
      <c r="AI502">
        <v>25</v>
      </c>
      <c r="AJ502">
        <v>2</v>
      </c>
      <c r="AK502">
        <v>44</v>
      </c>
      <c r="AL502" t="s">
        <v>89</v>
      </c>
      <c r="AM502" t="s">
        <v>90</v>
      </c>
      <c r="AN502" t="s">
        <v>91</v>
      </c>
      <c r="AO502" t="s">
        <v>92</v>
      </c>
      <c r="AP502" t="s">
        <v>74</v>
      </c>
      <c r="AQ502" t="s">
        <v>74</v>
      </c>
      <c r="AR502" t="s">
        <v>93</v>
      </c>
      <c r="AS502" t="s">
        <v>94</v>
      </c>
      <c r="AT502" t="s">
        <v>9572</v>
      </c>
      <c r="AU502">
        <v>2012</v>
      </c>
      <c r="AV502">
        <v>49</v>
      </c>
      <c r="AW502" t="s">
        <v>74</v>
      </c>
      <c r="AX502" t="s">
        <v>74</v>
      </c>
      <c r="AY502" t="s">
        <v>74</v>
      </c>
      <c r="AZ502" t="s">
        <v>74</v>
      </c>
      <c r="BA502" t="s">
        <v>74</v>
      </c>
      <c r="BB502">
        <v>64</v>
      </c>
      <c r="BC502">
        <v>81</v>
      </c>
      <c r="BD502" t="s">
        <v>74</v>
      </c>
      <c r="BE502" t="s">
        <v>9650</v>
      </c>
      <c r="BF502" t="str">
        <f>HYPERLINK("http://dx.doi.org/10.1016/j.quascirev.2012.06.016","http://dx.doi.org/10.1016/j.quascirev.2012.06.016")</f>
        <v>http://dx.doi.org/10.1016/j.quascirev.2012.06.016</v>
      </c>
      <c r="BG502" t="s">
        <v>74</v>
      </c>
      <c r="BH502" t="s">
        <v>74</v>
      </c>
      <c r="BI502">
        <v>18</v>
      </c>
      <c r="BJ502" t="s">
        <v>97</v>
      </c>
      <c r="BK502" t="s">
        <v>98</v>
      </c>
      <c r="BL502" t="s">
        <v>99</v>
      </c>
      <c r="BM502" t="s">
        <v>9591</v>
      </c>
      <c r="BN502" t="s">
        <v>74</v>
      </c>
      <c r="BO502" t="s">
        <v>74</v>
      </c>
      <c r="BP502" t="s">
        <v>74</v>
      </c>
      <c r="BQ502" t="s">
        <v>74</v>
      </c>
      <c r="BR502" t="s">
        <v>101</v>
      </c>
      <c r="BS502" t="s">
        <v>9651</v>
      </c>
      <c r="BT502" t="str">
        <f>HYPERLINK("https%3A%2F%2Fwww.webofscience.com%2Fwos%2Fwoscc%2Ffull-record%2FWOS:000308051300005","View Full Record in Web of Science")</f>
        <v>View Full Record in Web of Science</v>
      </c>
    </row>
    <row r="503" spans="1:72" x14ac:dyDescent="0.15">
      <c r="A503" t="s">
        <v>72</v>
      </c>
      <c r="B503" t="s">
        <v>9652</v>
      </c>
      <c r="C503" t="s">
        <v>74</v>
      </c>
      <c r="D503" t="s">
        <v>74</v>
      </c>
      <c r="E503" t="s">
        <v>74</v>
      </c>
      <c r="F503" t="s">
        <v>9653</v>
      </c>
      <c r="G503" t="s">
        <v>74</v>
      </c>
      <c r="H503" t="s">
        <v>74</v>
      </c>
      <c r="I503" t="s">
        <v>9654</v>
      </c>
      <c r="J503" t="s">
        <v>9614</v>
      </c>
      <c r="K503" t="s">
        <v>74</v>
      </c>
      <c r="L503" t="s">
        <v>74</v>
      </c>
      <c r="M503" t="s">
        <v>78</v>
      </c>
      <c r="N503" t="s">
        <v>79</v>
      </c>
      <c r="O503" t="s">
        <v>74</v>
      </c>
      <c r="P503" t="s">
        <v>74</v>
      </c>
      <c r="Q503" t="s">
        <v>74</v>
      </c>
      <c r="R503" t="s">
        <v>74</v>
      </c>
      <c r="S503" t="s">
        <v>74</v>
      </c>
      <c r="T503" t="s">
        <v>9655</v>
      </c>
      <c r="U503" t="s">
        <v>9656</v>
      </c>
      <c r="V503" t="s">
        <v>9657</v>
      </c>
      <c r="W503" t="s">
        <v>9658</v>
      </c>
      <c r="X503" t="s">
        <v>9659</v>
      </c>
      <c r="Y503" t="s">
        <v>9660</v>
      </c>
      <c r="Z503" t="s">
        <v>9661</v>
      </c>
      <c r="AA503" t="s">
        <v>9662</v>
      </c>
      <c r="AB503" t="s">
        <v>9663</v>
      </c>
      <c r="AC503" t="s">
        <v>9664</v>
      </c>
      <c r="AD503" t="s">
        <v>9665</v>
      </c>
      <c r="AE503" t="s">
        <v>9666</v>
      </c>
      <c r="AF503" t="s">
        <v>74</v>
      </c>
      <c r="AG503">
        <v>20</v>
      </c>
      <c r="AH503">
        <v>11</v>
      </c>
      <c r="AI503">
        <v>11</v>
      </c>
      <c r="AJ503">
        <v>1</v>
      </c>
      <c r="AK503">
        <v>28</v>
      </c>
      <c r="AL503" t="s">
        <v>644</v>
      </c>
      <c r="AM503" t="s">
        <v>434</v>
      </c>
      <c r="AN503" t="s">
        <v>645</v>
      </c>
      <c r="AO503" t="s">
        <v>9626</v>
      </c>
      <c r="AP503" t="s">
        <v>9627</v>
      </c>
      <c r="AQ503" t="s">
        <v>74</v>
      </c>
      <c r="AR503" t="s">
        <v>9628</v>
      </c>
      <c r="AS503" t="s">
        <v>9629</v>
      </c>
      <c r="AT503" t="s">
        <v>9572</v>
      </c>
      <c r="AU503">
        <v>2012</v>
      </c>
      <c r="AV503">
        <v>8</v>
      </c>
      <c r="AW503">
        <v>4</v>
      </c>
      <c r="AX503" t="s">
        <v>74</v>
      </c>
      <c r="AY503" t="s">
        <v>74</v>
      </c>
      <c r="AZ503" t="s">
        <v>74</v>
      </c>
      <c r="BA503" t="s">
        <v>74</v>
      </c>
      <c r="BB503">
        <v>586</v>
      </c>
      <c r="BC503">
        <v>589</v>
      </c>
      <c r="BD503" t="s">
        <v>74</v>
      </c>
      <c r="BE503" t="s">
        <v>9667</v>
      </c>
      <c r="BF503" t="str">
        <f>HYPERLINK("http://dx.doi.org/10.1098/rsbl.2012.0053","http://dx.doi.org/10.1098/rsbl.2012.0053")</f>
        <v>http://dx.doi.org/10.1098/rsbl.2012.0053</v>
      </c>
      <c r="BG503" t="s">
        <v>74</v>
      </c>
      <c r="BH503" t="s">
        <v>74</v>
      </c>
      <c r="BI503">
        <v>4</v>
      </c>
      <c r="BJ503" t="s">
        <v>9631</v>
      </c>
      <c r="BK503" t="s">
        <v>98</v>
      </c>
      <c r="BL503" t="s">
        <v>9632</v>
      </c>
      <c r="BM503" t="s">
        <v>9633</v>
      </c>
      <c r="BN503">
        <v>22357937</v>
      </c>
      <c r="BO503" t="s">
        <v>1458</v>
      </c>
      <c r="BP503" t="s">
        <v>74</v>
      </c>
      <c r="BQ503" t="s">
        <v>74</v>
      </c>
      <c r="BR503" t="s">
        <v>101</v>
      </c>
      <c r="BS503" t="s">
        <v>9668</v>
      </c>
      <c r="BT503" t="str">
        <f>HYPERLINK("https%3A%2F%2Fwww.webofscience.com%2Fwos%2Fwoscc%2Ffull-record%2FWOS:000306361700030","View Full Record in Web of Science")</f>
        <v>View Full Record in Web of Science</v>
      </c>
    </row>
    <row r="504" spans="1:72" x14ac:dyDescent="0.15">
      <c r="A504" t="s">
        <v>72</v>
      </c>
      <c r="B504" t="s">
        <v>9669</v>
      </c>
      <c r="C504" t="s">
        <v>74</v>
      </c>
      <c r="D504" t="s">
        <v>74</v>
      </c>
      <c r="E504" t="s">
        <v>74</v>
      </c>
      <c r="F504" t="s">
        <v>9670</v>
      </c>
      <c r="G504" t="s">
        <v>74</v>
      </c>
      <c r="H504" t="s">
        <v>74</v>
      </c>
      <c r="I504" t="s">
        <v>9671</v>
      </c>
      <c r="J504" t="s">
        <v>3733</v>
      </c>
      <c r="K504" t="s">
        <v>74</v>
      </c>
      <c r="L504" t="s">
        <v>74</v>
      </c>
      <c r="M504" t="s">
        <v>78</v>
      </c>
      <c r="N504" t="s">
        <v>79</v>
      </c>
      <c r="O504" t="s">
        <v>74</v>
      </c>
      <c r="P504" t="s">
        <v>74</v>
      </c>
      <c r="Q504" t="s">
        <v>74</v>
      </c>
      <c r="R504" t="s">
        <v>74</v>
      </c>
      <c r="S504" t="s">
        <v>74</v>
      </c>
      <c r="T504" t="s">
        <v>74</v>
      </c>
      <c r="U504" t="s">
        <v>9672</v>
      </c>
      <c r="V504" t="s">
        <v>9673</v>
      </c>
      <c r="W504" t="s">
        <v>9674</v>
      </c>
      <c r="X504" t="s">
        <v>9675</v>
      </c>
      <c r="Y504" t="s">
        <v>9676</v>
      </c>
      <c r="Z504" t="s">
        <v>9677</v>
      </c>
      <c r="AA504" t="s">
        <v>9678</v>
      </c>
      <c r="AB504" t="s">
        <v>9679</v>
      </c>
      <c r="AC504" t="s">
        <v>9680</v>
      </c>
      <c r="AD504" t="s">
        <v>9681</v>
      </c>
      <c r="AE504" t="s">
        <v>9682</v>
      </c>
      <c r="AF504" t="s">
        <v>74</v>
      </c>
      <c r="AG504">
        <v>106</v>
      </c>
      <c r="AH504">
        <v>47</v>
      </c>
      <c r="AI504">
        <v>53</v>
      </c>
      <c r="AJ504">
        <v>0</v>
      </c>
      <c r="AK504">
        <v>45</v>
      </c>
      <c r="AL504" t="s">
        <v>118</v>
      </c>
      <c r="AM504" t="s">
        <v>119</v>
      </c>
      <c r="AN504" t="s">
        <v>120</v>
      </c>
      <c r="AO504" t="s">
        <v>3745</v>
      </c>
      <c r="AP504" t="s">
        <v>3746</v>
      </c>
      <c r="AQ504" t="s">
        <v>74</v>
      </c>
      <c r="AR504" t="s">
        <v>3733</v>
      </c>
      <c r="AS504" t="s">
        <v>3747</v>
      </c>
      <c r="AT504" t="s">
        <v>9683</v>
      </c>
      <c r="AU504">
        <v>2012</v>
      </c>
      <c r="AV504">
        <v>27</v>
      </c>
      <c r="AW504" t="s">
        <v>74</v>
      </c>
      <c r="AX504" t="s">
        <v>74</v>
      </c>
      <c r="AY504" t="s">
        <v>74</v>
      </c>
      <c r="AZ504" t="s">
        <v>74</v>
      </c>
      <c r="BA504" t="s">
        <v>74</v>
      </c>
      <c r="BB504" t="s">
        <v>74</v>
      </c>
      <c r="BC504" t="s">
        <v>74</v>
      </c>
      <c r="BD504" t="s">
        <v>9684</v>
      </c>
      <c r="BE504" t="s">
        <v>9685</v>
      </c>
      <c r="BF504" t="str">
        <f>HYPERLINK("http://dx.doi.org/10.1029/2011PA002264","http://dx.doi.org/10.1029/2011PA002264")</f>
        <v>http://dx.doi.org/10.1029/2011PA002264</v>
      </c>
      <c r="BG504" t="s">
        <v>74</v>
      </c>
      <c r="BH504" t="s">
        <v>74</v>
      </c>
      <c r="BI504">
        <v>17</v>
      </c>
      <c r="BJ504" t="s">
        <v>3750</v>
      </c>
      <c r="BK504" t="s">
        <v>98</v>
      </c>
      <c r="BL504" t="s">
        <v>3751</v>
      </c>
      <c r="BM504" t="s">
        <v>9686</v>
      </c>
      <c r="BN504" t="s">
        <v>74</v>
      </c>
      <c r="BO504" t="s">
        <v>5147</v>
      </c>
      <c r="BP504" t="s">
        <v>74</v>
      </c>
      <c r="BQ504" t="s">
        <v>74</v>
      </c>
      <c r="BR504" t="s">
        <v>101</v>
      </c>
      <c r="BS504" t="s">
        <v>9687</v>
      </c>
      <c r="BT504" t="str">
        <f>HYPERLINK("https%3A%2F%2Fwww.webofscience.com%2Fwos%2Fwoscc%2Ffull-record%2FWOS:000308006700001","View Full Record in Web of Science")</f>
        <v>View Full Record in Web of Science</v>
      </c>
    </row>
    <row r="505" spans="1:72" x14ac:dyDescent="0.15">
      <c r="A505" t="s">
        <v>72</v>
      </c>
      <c r="B505" t="s">
        <v>9688</v>
      </c>
      <c r="C505" t="s">
        <v>74</v>
      </c>
      <c r="D505" t="s">
        <v>74</v>
      </c>
      <c r="E505" t="s">
        <v>74</v>
      </c>
      <c r="F505" t="s">
        <v>9689</v>
      </c>
      <c r="G505" t="s">
        <v>74</v>
      </c>
      <c r="H505" t="s">
        <v>74</v>
      </c>
      <c r="I505" t="s">
        <v>9690</v>
      </c>
      <c r="J505" t="s">
        <v>444</v>
      </c>
      <c r="K505" t="s">
        <v>74</v>
      </c>
      <c r="L505" t="s">
        <v>74</v>
      </c>
      <c r="M505" t="s">
        <v>78</v>
      </c>
      <c r="N505" t="s">
        <v>79</v>
      </c>
      <c r="O505" t="s">
        <v>74</v>
      </c>
      <c r="P505" t="s">
        <v>74</v>
      </c>
      <c r="Q505" t="s">
        <v>74</v>
      </c>
      <c r="R505" t="s">
        <v>74</v>
      </c>
      <c r="S505" t="s">
        <v>74</v>
      </c>
      <c r="T505" t="s">
        <v>74</v>
      </c>
      <c r="U505" t="s">
        <v>9691</v>
      </c>
      <c r="V505" t="s">
        <v>9692</v>
      </c>
      <c r="W505" t="s">
        <v>9693</v>
      </c>
      <c r="X505" t="s">
        <v>9694</v>
      </c>
      <c r="Y505" t="s">
        <v>9695</v>
      </c>
      <c r="Z505" t="s">
        <v>9696</v>
      </c>
      <c r="AA505" t="s">
        <v>74</v>
      </c>
      <c r="AB505" t="s">
        <v>74</v>
      </c>
      <c r="AC505" t="s">
        <v>9697</v>
      </c>
      <c r="AD505" t="s">
        <v>2296</v>
      </c>
      <c r="AE505" t="s">
        <v>74</v>
      </c>
      <c r="AF505" t="s">
        <v>74</v>
      </c>
      <c r="AG505">
        <v>48</v>
      </c>
      <c r="AH505">
        <v>58</v>
      </c>
      <c r="AI505">
        <v>60</v>
      </c>
      <c r="AJ505">
        <v>0</v>
      </c>
      <c r="AK505">
        <v>16</v>
      </c>
      <c r="AL505" t="s">
        <v>118</v>
      </c>
      <c r="AM505" t="s">
        <v>119</v>
      </c>
      <c r="AN505" t="s">
        <v>120</v>
      </c>
      <c r="AO505" t="s">
        <v>454</v>
      </c>
      <c r="AP505" t="s">
        <v>455</v>
      </c>
      <c r="AQ505" t="s">
        <v>74</v>
      </c>
      <c r="AR505" t="s">
        <v>456</v>
      </c>
      <c r="AS505" t="s">
        <v>457</v>
      </c>
      <c r="AT505" t="s">
        <v>9698</v>
      </c>
      <c r="AU505">
        <v>2012</v>
      </c>
      <c r="AV505">
        <v>39</v>
      </c>
      <c r="AW505" t="s">
        <v>74</v>
      </c>
      <c r="AX505" t="s">
        <v>74</v>
      </c>
      <c r="AY505" t="s">
        <v>74</v>
      </c>
      <c r="AZ505" t="s">
        <v>74</v>
      </c>
      <c r="BA505" t="s">
        <v>74</v>
      </c>
      <c r="BB505" t="s">
        <v>74</v>
      </c>
      <c r="BC505" t="s">
        <v>74</v>
      </c>
      <c r="BD505" t="s">
        <v>9699</v>
      </c>
      <c r="BE505" t="s">
        <v>9700</v>
      </c>
      <c r="BF505" t="str">
        <f>HYPERLINK("http://dx.doi.org/10.1029/2012GL052290","http://dx.doi.org/10.1029/2012GL052290")</f>
        <v>http://dx.doi.org/10.1029/2012GL052290</v>
      </c>
      <c r="BG505" t="s">
        <v>74</v>
      </c>
      <c r="BH505" t="s">
        <v>74</v>
      </c>
      <c r="BI505">
        <v>8</v>
      </c>
      <c r="BJ505" t="s">
        <v>461</v>
      </c>
      <c r="BK505" t="s">
        <v>98</v>
      </c>
      <c r="BL505" t="s">
        <v>462</v>
      </c>
      <c r="BM505" t="s">
        <v>9701</v>
      </c>
      <c r="BN505" t="s">
        <v>74</v>
      </c>
      <c r="BO505" t="s">
        <v>607</v>
      </c>
      <c r="BP505" t="s">
        <v>74</v>
      </c>
      <c r="BQ505" t="s">
        <v>74</v>
      </c>
      <c r="BR505" t="s">
        <v>101</v>
      </c>
      <c r="BS505" t="s">
        <v>9702</v>
      </c>
      <c r="BT505" t="str">
        <f>HYPERLINK("https%3A%2F%2Fwww.webofscience.com%2Fwos%2Fwoscc%2Ffull-record%2FWOS:000308003300001","View Full Record in Web of Science")</f>
        <v>View Full Record in Web of Science</v>
      </c>
    </row>
    <row r="506" spans="1:72" x14ac:dyDescent="0.15">
      <c r="A506" t="s">
        <v>72</v>
      </c>
      <c r="B506" t="s">
        <v>9703</v>
      </c>
      <c r="C506" t="s">
        <v>74</v>
      </c>
      <c r="D506" t="s">
        <v>74</v>
      </c>
      <c r="E506" t="s">
        <v>74</v>
      </c>
      <c r="F506" t="s">
        <v>9704</v>
      </c>
      <c r="G506" t="s">
        <v>74</v>
      </c>
      <c r="H506" t="s">
        <v>74</v>
      </c>
      <c r="I506" t="s">
        <v>9705</v>
      </c>
      <c r="J506" t="s">
        <v>551</v>
      </c>
      <c r="K506" t="s">
        <v>74</v>
      </c>
      <c r="L506" t="s">
        <v>74</v>
      </c>
      <c r="M506" t="s">
        <v>78</v>
      </c>
      <c r="N506" t="s">
        <v>79</v>
      </c>
      <c r="O506" t="s">
        <v>74</v>
      </c>
      <c r="P506" t="s">
        <v>74</v>
      </c>
      <c r="Q506" t="s">
        <v>74</v>
      </c>
      <c r="R506" t="s">
        <v>74</v>
      </c>
      <c r="S506" t="s">
        <v>74</v>
      </c>
      <c r="T506" t="s">
        <v>74</v>
      </c>
      <c r="U506" t="s">
        <v>9706</v>
      </c>
      <c r="V506" t="s">
        <v>9707</v>
      </c>
      <c r="W506" t="s">
        <v>9708</v>
      </c>
      <c r="X506" t="s">
        <v>9709</v>
      </c>
      <c r="Y506" t="s">
        <v>9710</v>
      </c>
      <c r="Z506" t="s">
        <v>9711</v>
      </c>
      <c r="AA506" t="s">
        <v>9712</v>
      </c>
      <c r="AB506" t="s">
        <v>9713</v>
      </c>
      <c r="AC506" t="s">
        <v>9714</v>
      </c>
      <c r="AD506" t="s">
        <v>9715</v>
      </c>
      <c r="AE506" t="s">
        <v>9716</v>
      </c>
      <c r="AF506" t="s">
        <v>74</v>
      </c>
      <c r="AG506">
        <v>53</v>
      </c>
      <c r="AH506">
        <v>31</v>
      </c>
      <c r="AI506">
        <v>32</v>
      </c>
      <c r="AJ506">
        <v>0</v>
      </c>
      <c r="AK506">
        <v>19</v>
      </c>
      <c r="AL506" t="s">
        <v>118</v>
      </c>
      <c r="AM506" t="s">
        <v>119</v>
      </c>
      <c r="AN506" t="s">
        <v>120</v>
      </c>
      <c r="AO506" t="s">
        <v>563</v>
      </c>
      <c r="AP506" t="s">
        <v>564</v>
      </c>
      <c r="AQ506" t="s">
        <v>74</v>
      </c>
      <c r="AR506" t="s">
        <v>565</v>
      </c>
      <c r="AS506" t="s">
        <v>566</v>
      </c>
      <c r="AT506" t="s">
        <v>9698</v>
      </c>
      <c r="AU506">
        <v>2012</v>
      </c>
      <c r="AV506">
        <v>117</v>
      </c>
      <c r="AW506" t="s">
        <v>74</v>
      </c>
      <c r="AX506" t="s">
        <v>74</v>
      </c>
      <c r="AY506" t="s">
        <v>74</v>
      </c>
      <c r="AZ506" t="s">
        <v>74</v>
      </c>
      <c r="BA506" t="s">
        <v>74</v>
      </c>
      <c r="BB506" t="s">
        <v>74</v>
      </c>
      <c r="BC506" t="s">
        <v>74</v>
      </c>
      <c r="BD506" t="s">
        <v>9717</v>
      </c>
      <c r="BE506" t="s">
        <v>9718</v>
      </c>
      <c r="BF506" t="str">
        <f>HYPERLINK("http://dx.doi.org/10.1029/2011JF002327","http://dx.doi.org/10.1029/2011JF002327")</f>
        <v>http://dx.doi.org/10.1029/2011JF002327</v>
      </c>
      <c r="BG506" t="s">
        <v>74</v>
      </c>
      <c r="BH506" t="s">
        <v>74</v>
      </c>
      <c r="BI506">
        <v>15</v>
      </c>
      <c r="BJ506" t="s">
        <v>461</v>
      </c>
      <c r="BK506" t="s">
        <v>98</v>
      </c>
      <c r="BL506" t="s">
        <v>462</v>
      </c>
      <c r="BM506" t="s">
        <v>9719</v>
      </c>
      <c r="BN506" t="s">
        <v>74</v>
      </c>
      <c r="BO506" t="s">
        <v>1654</v>
      </c>
      <c r="BP506" t="s">
        <v>74</v>
      </c>
      <c r="BQ506" t="s">
        <v>74</v>
      </c>
      <c r="BR506" t="s">
        <v>101</v>
      </c>
      <c r="BS506" t="s">
        <v>9720</v>
      </c>
      <c r="BT506" t="str">
        <f>HYPERLINK("https%3A%2F%2Fwww.webofscience.com%2Fwos%2Fwoscc%2Ffull-record%2FWOS:000308072200002","View Full Record in Web of Science")</f>
        <v>View Full Record in Web of Science</v>
      </c>
    </row>
    <row r="507" spans="1:72" x14ac:dyDescent="0.15">
      <c r="A507" t="s">
        <v>72</v>
      </c>
      <c r="B507" t="s">
        <v>9721</v>
      </c>
      <c r="C507" t="s">
        <v>74</v>
      </c>
      <c r="D507" t="s">
        <v>74</v>
      </c>
      <c r="E507" t="s">
        <v>74</v>
      </c>
      <c r="F507" t="s">
        <v>9722</v>
      </c>
      <c r="G507" t="s">
        <v>74</v>
      </c>
      <c r="H507" t="s">
        <v>74</v>
      </c>
      <c r="I507" t="s">
        <v>9723</v>
      </c>
      <c r="J507" t="s">
        <v>3666</v>
      </c>
      <c r="K507" t="s">
        <v>74</v>
      </c>
      <c r="L507" t="s">
        <v>74</v>
      </c>
      <c r="M507" t="s">
        <v>78</v>
      </c>
      <c r="N507" t="s">
        <v>79</v>
      </c>
      <c r="O507" t="s">
        <v>74</v>
      </c>
      <c r="P507" t="s">
        <v>74</v>
      </c>
      <c r="Q507" t="s">
        <v>74</v>
      </c>
      <c r="R507" t="s">
        <v>74</v>
      </c>
      <c r="S507" t="s">
        <v>74</v>
      </c>
      <c r="T507" t="s">
        <v>74</v>
      </c>
      <c r="U507" t="s">
        <v>9724</v>
      </c>
      <c r="V507" t="s">
        <v>9725</v>
      </c>
      <c r="W507" t="s">
        <v>9726</v>
      </c>
      <c r="X507" t="s">
        <v>9727</v>
      </c>
      <c r="Y507" t="s">
        <v>9728</v>
      </c>
      <c r="Z507" t="s">
        <v>9729</v>
      </c>
      <c r="AA507" t="s">
        <v>9730</v>
      </c>
      <c r="AB507" t="s">
        <v>74</v>
      </c>
      <c r="AC507" t="s">
        <v>74</v>
      </c>
      <c r="AD507" t="s">
        <v>74</v>
      </c>
      <c r="AE507" t="s">
        <v>74</v>
      </c>
      <c r="AF507" t="s">
        <v>74</v>
      </c>
      <c r="AG507">
        <v>45</v>
      </c>
      <c r="AH507">
        <v>145</v>
      </c>
      <c r="AI507">
        <v>166</v>
      </c>
      <c r="AJ507">
        <v>0</v>
      </c>
      <c r="AK507">
        <v>51</v>
      </c>
      <c r="AL507" t="s">
        <v>118</v>
      </c>
      <c r="AM507" t="s">
        <v>119</v>
      </c>
      <c r="AN507" t="s">
        <v>120</v>
      </c>
      <c r="AO507" t="s">
        <v>3678</v>
      </c>
      <c r="AP507" t="s">
        <v>3679</v>
      </c>
      <c r="AQ507" t="s">
        <v>74</v>
      </c>
      <c r="AR507" t="s">
        <v>3680</v>
      </c>
      <c r="AS507" t="s">
        <v>3681</v>
      </c>
      <c r="AT507" t="s">
        <v>9698</v>
      </c>
      <c r="AU507">
        <v>2012</v>
      </c>
      <c r="AV507">
        <v>117</v>
      </c>
      <c r="AW507" t="s">
        <v>74</v>
      </c>
      <c r="AX507" t="s">
        <v>74</v>
      </c>
      <c r="AY507" t="s">
        <v>74</v>
      </c>
      <c r="AZ507" t="s">
        <v>74</v>
      </c>
      <c r="BA507" t="s">
        <v>74</v>
      </c>
      <c r="BB507" t="s">
        <v>74</v>
      </c>
      <c r="BC507" t="s">
        <v>74</v>
      </c>
      <c r="BD507" t="s">
        <v>9731</v>
      </c>
      <c r="BE507" t="s">
        <v>9732</v>
      </c>
      <c r="BF507" t="str">
        <f>HYPERLINK("http://dx.doi.org/10.1029/2012JC008141","http://dx.doi.org/10.1029/2012JC008141")</f>
        <v>http://dx.doi.org/10.1029/2012JC008141</v>
      </c>
      <c r="BG507" t="s">
        <v>74</v>
      </c>
      <c r="BH507" t="s">
        <v>74</v>
      </c>
      <c r="BI507">
        <v>9</v>
      </c>
      <c r="BJ507" t="s">
        <v>941</v>
      </c>
      <c r="BK507" t="s">
        <v>98</v>
      </c>
      <c r="BL507" t="s">
        <v>941</v>
      </c>
      <c r="BM507" t="s">
        <v>9733</v>
      </c>
      <c r="BN507" t="s">
        <v>74</v>
      </c>
      <c r="BO507" t="s">
        <v>1287</v>
      </c>
      <c r="BP507" t="s">
        <v>74</v>
      </c>
      <c r="BQ507" t="s">
        <v>74</v>
      </c>
      <c r="BR507" t="s">
        <v>101</v>
      </c>
      <c r="BS507" t="s">
        <v>9734</v>
      </c>
      <c r="BT507" t="str">
        <f>HYPERLINK("https%3A%2F%2Fwww.webofscience.com%2Fwos%2Fwoscc%2Ffull-record%2FWOS:000308026500003","View Full Record in Web of Science")</f>
        <v>View Full Record in Web of Science</v>
      </c>
    </row>
    <row r="508" spans="1:72" x14ac:dyDescent="0.15">
      <c r="A508" t="s">
        <v>72</v>
      </c>
      <c r="B508" t="s">
        <v>9735</v>
      </c>
      <c r="C508" t="s">
        <v>74</v>
      </c>
      <c r="D508" t="s">
        <v>74</v>
      </c>
      <c r="E508" t="s">
        <v>74</v>
      </c>
      <c r="F508" t="s">
        <v>9736</v>
      </c>
      <c r="G508" t="s">
        <v>74</v>
      </c>
      <c r="H508" t="s">
        <v>74</v>
      </c>
      <c r="I508" t="s">
        <v>9737</v>
      </c>
      <c r="J508" t="s">
        <v>9738</v>
      </c>
      <c r="K508" t="s">
        <v>74</v>
      </c>
      <c r="L508" t="s">
        <v>74</v>
      </c>
      <c r="M508" t="s">
        <v>78</v>
      </c>
      <c r="N508" t="s">
        <v>79</v>
      </c>
      <c r="O508" t="s">
        <v>74</v>
      </c>
      <c r="P508" t="s">
        <v>74</v>
      </c>
      <c r="Q508" t="s">
        <v>74</v>
      </c>
      <c r="R508" t="s">
        <v>74</v>
      </c>
      <c r="S508" t="s">
        <v>74</v>
      </c>
      <c r="T508" t="s">
        <v>9739</v>
      </c>
      <c r="U508" t="s">
        <v>9740</v>
      </c>
      <c r="V508" t="s">
        <v>9741</v>
      </c>
      <c r="W508" t="s">
        <v>9742</v>
      </c>
      <c r="X508" t="s">
        <v>9743</v>
      </c>
      <c r="Y508" t="s">
        <v>9744</v>
      </c>
      <c r="Z508" t="s">
        <v>9745</v>
      </c>
      <c r="AA508" t="s">
        <v>9746</v>
      </c>
      <c r="AB508" t="s">
        <v>74</v>
      </c>
      <c r="AC508" t="s">
        <v>9747</v>
      </c>
      <c r="AD508" t="s">
        <v>9748</v>
      </c>
      <c r="AE508" t="s">
        <v>9749</v>
      </c>
      <c r="AF508" t="s">
        <v>74</v>
      </c>
      <c r="AG508">
        <v>51</v>
      </c>
      <c r="AH508">
        <v>15</v>
      </c>
      <c r="AI508">
        <v>16</v>
      </c>
      <c r="AJ508">
        <v>0</v>
      </c>
      <c r="AK508">
        <v>35</v>
      </c>
      <c r="AL508" t="s">
        <v>188</v>
      </c>
      <c r="AM508" t="s">
        <v>189</v>
      </c>
      <c r="AN508" t="s">
        <v>190</v>
      </c>
      <c r="AO508" t="s">
        <v>9750</v>
      </c>
      <c r="AP508" t="s">
        <v>9751</v>
      </c>
      <c r="AQ508" t="s">
        <v>74</v>
      </c>
      <c r="AR508" t="s">
        <v>9752</v>
      </c>
      <c r="AS508" t="s">
        <v>9753</v>
      </c>
      <c r="AT508" t="s">
        <v>9754</v>
      </c>
      <c r="AU508">
        <v>2012</v>
      </c>
      <c r="AV508">
        <v>140</v>
      </c>
      <c r="AW508" t="s">
        <v>74</v>
      </c>
      <c r="AX508" t="s">
        <v>74</v>
      </c>
      <c r="AY508" t="s">
        <v>74</v>
      </c>
      <c r="AZ508" t="s">
        <v>74</v>
      </c>
      <c r="BA508" t="s">
        <v>74</v>
      </c>
      <c r="BB508">
        <v>1</v>
      </c>
      <c r="BC508">
        <v>9</v>
      </c>
      <c r="BD508" t="s">
        <v>74</v>
      </c>
      <c r="BE508" t="s">
        <v>9755</v>
      </c>
      <c r="BF508" t="str">
        <f>HYPERLINK("http://dx.doi.org/10.1016/j.marchem.2012.07.002","http://dx.doi.org/10.1016/j.marchem.2012.07.002")</f>
        <v>http://dx.doi.org/10.1016/j.marchem.2012.07.002</v>
      </c>
      <c r="BG508" t="s">
        <v>74</v>
      </c>
      <c r="BH508" t="s">
        <v>74</v>
      </c>
      <c r="BI508">
        <v>9</v>
      </c>
      <c r="BJ508" t="s">
        <v>9756</v>
      </c>
      <c r="BK508" t="s">
        <v>98</v>
      </c>
      <c r="BL508" t="s">
        <v>9757</v>
      </c>
      <c r="BM508" t="s">
        <v>9758</v>
      </c>
      <c r="BN508" t="s">
        <v>74</v>
      </c>
      <c r="BO508" t="s">
        <v>217</v>
      </c>
      <c r="BP508" t="s">
        <v>74</v>
      </c>
      <c r="BQ508" t="s">
        <v>74</v>
      </c>
      <c r="BR508" t="s">
        <v>101</v>
      </c>
      <c r="BS508" t="s">
        <v>9759</v>
      </c>
      <c r="BT508" t="str">
        <f>HYPERLINK("https%3A%2F%2Fwww.webofscience.com%2Fwos%2Fwoscc%2Ffull-record%2FWOS:000309618100001","View Full Record in Web of Science")</f>
        <v>View Full Record in Web of Science</v>
      </c>
    </row>
    <row r="509" spans="1:72" x14ac:dyDescent="0.15">
      <c r="A509" t="s">
        <v>72</v>
      </c>
      <c r="B509" t="s">
        <v>9760</v>
      </c>
      <c r="C509" t="s">
        <v>74</v>
      </c>
      <c r="D509" t="s">
        <v>74</v>
      </c>
      <c r="E509" t="s">
        <v>74</v>
      </c>
      <c r="F509" t="s">
        <v>9761</v>
      </c>
      <c r="G509" t="s">
        <v>74</v>
      </c>
      <c r="H509" t="s">
        <v>74</v>
      </c>
      <c r="I509" t="s">
        <v>9762</v>
      </c>
      <c r="J509" t="s">
        <v>134</v>
      </c>
      <c r="K509" t="s">
        <v>74</v>
      </c>
      <c r="L509" t="s">
        <v>74</v>
      </c>
      <c r="M509" t="s">
        <v>78</v>
      </c>
      <c r="N509" t="s">
        <v>79</v>
      </c>
      <c r="O509" t="s">
        <v>74</v>
      </c>
      <c r="P509" t="s">
        <v>74</v>
      </c>
      <c r="Q509" t="s">
        <v>74</v>
      </c>
      <c r="R509" t="s">
        <v>74</v>
      </c>
      <c r="S509" t="s">
        <v>74</v>
      </c>
      <c r="T509" t="s">
        <v>74</v>
      </c>
      <c r="U509" t="s">
        <v>9763</v>
      </c>
      <c r="V509" t="s">
        <v>9764</v>
      </c>
      <c r="W509" t="s">
        <v>9765</v>
      </c>
      <c r="X509" t="s">
        <v>9766</v>
      </c>
      <c r="Y509" t="s">
        <v>9767</v>
      </c>
      <c r="Z509" t="s">
        <v>9768</v>
      </c>
      <c r="AA509" t="s">
        <v>9769</v>
      </c>
      <c r="AB509" t="s">
        <v>9770</v>
      </c>
      <c r="AC509" t="s">
        <v>9771</v>
      </c>
      <c r="AD509" t="s">
        <v>9771</v>
      </c>
      <c r="AE509" t="s">
        <v>9772</v>
      </c>
      <c r="AF509" t="s">
        <v>74</v>
      </c>
      <c r="AG509">
        <v>49</v>
      </c>
      <c r="AH509">
        <v>20</v>
      </c>
      <c r="AI509">
        <v>25</v>
      </c>
      <c r="AJ509">
        <v>2</v>
      </c>
      <c r="AK509">
        <v>44</v>
      </c>
      <c r="AL509" t="s">
        <v>146</v>
      </c>
      <c r="AM509" t="s">
        <v>147</v>
      </c>
      <c r="AN509" t="s">
        <v>148</v>
      </c>
      <c r="AO509" t="s">
        <v>149</v>
      </c>
      <c r="AP509" t="s">
        <v>74</v>
      </c>
      <c r="AQ509" t="s">
        <v>74</v>
      </c>
      <c r="AR509" t="s">
        <v>134</v>
      </c>
      <c r="AS509" t="s">
        <v>150</v>
      </c>
      <c r="AT509" t="s">
        <v>9773</v>
      </c>
      <c r="AU509">
        <v>2012</v>
      </c>
      <c r="AV509">
        <v>7</v>
      </c>
      <c r="AW509">
        <v>8</v>
      </c>
      <c r="AX509" t="s">
        <v>74</v>
      </c>
      <c r="AY509" t="s">
        <v>74</v>
      </c>
      <c r="AZ509" t="s">
        <v>74</v>
      </c>
      <c r="BA509" t="s">
        <v>74</v>
      </c>
      <c r="BB509" t="s">
        <v>74</v>
      </c>
      <c r="BC509" t="s">
        <v>74</v>
      </c>
      <c r="BD509" t="s">
        <v>9774</v>
      </c>
      <c r="BE509" t="s">
        <v>9775</v>
      </c>
      <c r="BF509" t="str">
        <f>HYPERLINK("http://dx.doi.org/10.1371/journal.pone.0043679","http://dx.doi.org/10.1371/journal.pone.0043679")</f>
        <v>http://dx.doi.org/10.1371/journal.pone.0043679</v>
      </c>
      <c r="BG509" t="s">
        <v>74</v>
      </c>
      <c r="BH509" t="s">
        <v>74</v>
      </c>
      <c r="BI509">
        <v>6</v>
      </c>
      <c r="BJ509" t="s">
        <v>153</v>
      </c>
      <c r="BK509" t="s">
        <v>98</v>
      </c>
      <c r="BL509" t="s">
        <v>154</v>
      </c>
      <c r="BM509" t="s">
        <v>9776</v>
      </c>
      <c r="BN509">
        <v>22912898</v>
      </c>
      <c r="BO509" t="s">
        <v>156</v>
      </c>
      <c r="BP509" t="s">
        <v>74</v>
      </c>
      <c r="BQ509" t="s">
        <v>74</v>
      </c>
      <c r="BR509" t="s">
        <v>101</v>
      </c>
      <c r="BS509" t="s">
        <v>9777</v>
      </c>
      <c r="BT509" t="str">
        <f>HYPERLINK("https%3A%2F%2Fwww.webofscience.com%2Fwos%2Fwoscc%2Ffull-record%2FWOS:000308063700126","View Full Record in Web of Science")</f>
        <v>View Full Record in Web of Science</v>
      </c>
    </row>
    <row r="510" spans="1:72" x14ac:dyDescent="0.15">
      <c r="A510" t="s">
        <v>72</v>
      </c>
      <c r="B510" t="s">
        <v>9778</v>
      </c>
      <c r="C510" t="s">
        <v>74</v>
      </c>
      <c r="D510" t="s">
        <v>74</v>
      </c>
      <c r="E510" t="s">
        <v>74</v>
      </c>
      <c r="F510" t="s">
        <v>9779</v>
      </c>
      <c r="G510" t="s">
        <v>74</v>
      </c>
      <c r="H510" t="s">
        <v>74</v>
      </c>
      <c r="I510" t="s">
        <v>9780</v>
      </c>
      <c r="J510" t="s">
        <v>9781</v>
      </c>
      <c r="K510" t="s">
        <v>74</v>
      </c>
      <c r="L510" t="s">
        <v>74</v>
      </c>
      <c r="M510" t="s">
        <v>78</v>
      </c>
      <c r="N510" t="s">
        <v>79</v>
      </c>
      <c r="O510" t="s">
        <v>74</v>
      </c>
      <c r="P510" t="s">
        <v>74</v>
      </c>
      <c r="Q510" t="s">
        <v>74</v>
      </c>
      <c r="R510" t="s">
        <v>74</v>
      </c>
      <c r="S510" t="s">
        <v>74</v>
      </c>
      <c r="T510" t="s">
        <v>9782</v>
      </c>
      <c r="U510" t="s">
        <v>9783</v>
      </c>
      <c r="V510" t="s">
        <v>9784</v>
      </c>
      <c r="W510" t="s">
        <v>9785</v>
      </c>
      <c r="X510" t="s">
        <v>9786</v>
      </c>
      <c r="Y510" t="s">
        <v>9787</v>
      </c>
      <c r="Z510" t="s">
        <v>9788</v>
      </c>
      <c r="AA510" t="s">
        <v>9789</v>
      </c>
      <c r="AB510" t="s">
        <v>9790</v>
      </c>
      <c r="AC510" t="s">
        <v>9791</v>
      </c>
      <c r="AD510" t="s">
        <v>9792</v>
      </c>
      <c r="AE510" t="s">
        <v>9793</v>
      </c>
      <c r="AF510" t="s">
        <v>74</v>
      </c>
      <c r="AG510">
        <v>70</v>
      </c>
      <c r="AH510">
        <v>12</v>
      </c>
      <c r="AI510">
        <v>12</v>
      </c>
      <c r="AJ510">
        <v>0</v>
      </c>
      <c r="AK510">
        <v>30</v>
      </c>
      <c r="AL510" t="s">
        <v>769</v>
      </c>
      <c r="AM510" t="s">
        <v>434</v>
      </c>
      <c r="AN510" t="s">
        <v>770</v>
      </c>
      <c r="AO510" t="s">
        <v>9794</v>
      </c>
      <c r="AP510" t="s">
        <v>74</v>
      </c>
      <c r="AQ510" t="s">
        <v>74</v>
      </c>
      <c r="AR510" t="s">
        <v>9795</v>
      </c>
      <c r="AS510" t="s">
        <v>9796</v>
      </c>
      <c r="AT510" t="s">
        <v>9773</v>
      </c>
      <c r="AU510">
        <v>2012</v>
      </c>
      <c r="AV510">
        <v>12</v>
      </c>
      <c r="AW510" t="s">
        <v>74</v>
      </c>
      <c r="AX510" t="s">
        <v>74</v>
      </c>
      <c r="AY510" t="s">
        <v>74</v>
      </c>
      <c r="AZ510" t="s">
        <v>74</v>
      </c>
      <c r="BA510" t="s">
        <v>74</v>
      </c>
      <c r="BB510" t="s">
        <v>74</v>
      </c>
      <c r="BC510" t="s">
        <v>74</v>
      </c>
      <c r="BD510">
        <v>148</v>
      </c>
      <c r="BE510" t="s">
        <v>9797</v>
      </c>
      <c r="BF510" t="str">
        <f>HYPERLINK("http://dx.doi.org/10.1186/1471-2148-12-148","http://dx.doi.org/10.1186/1471-2148-12-148")</f>
        <v>http://dx.doi.org/10.1186/1471-2148-12-148</v>
      </c>
      <c r="BG510" t="s">
        <v>74</v>
      </c>
      <c r="BH510" t="s">
        <v>74</v>
      </c>
      <c r="BI510">
        <v>15</v>
      </c>
      <c r="BJ510" t="s">
        <v>9798</v>
      </c>
      <c r="BK510" t="s">
        <v>98</v>
      </c>
      <c r="BL510" t="s">
        <v>9798</v>
      </c>
      <c r="BM510" t="s">
        <v>9799</v>
      </c>
      <c r="BN510">
        <v>22901238</v>
      </c>
      <c r="BO510" t="s">
        <v>8954</v>
      </c>
      <c r="BP510" t="s">
        <v>74</v>
      </c>
      <c r="BQ510" t="s">
        <v>74</v>
      </c>
      <c r="BR510" t="s">
        <v>101</v>
      </c>
      <c r="BS510" t="s">
        <v>9800</v>
      </c>
      <c r="BT510" t="str">
        <f>HYPERLINK("https%3A%2F%2Fwww.webofscience.com%2Fwos%2Fwoscc%2Ffull-record%2FWOS:000308815400001","View Full Record in Web of Science")</f>
        <v>View Full Record in Web of Science</v>
      </c>
    </row>
    <row r="511" spans="1:72" x14ac:dyDescent="0.15">
      <c r="A511" t="s">
        <v>72</v>
      </c>
      <c r="B511" t="s">
        <v>9801</v>
      </c>
      <c r="C511" t="s">
        <v>74</v>
      </c>
      <c r="D511" t="s">
        <v>74</v>
      </c>
      <c r="E511" t="s">
        <v>74</v>
      </c>
      <c r="F511" t="s">
        <v>9802</v>
      </c>
      <c r="G511" t="s">
        <v>74</v>
      </c>
      <c r="H511" t="s">
        <v>74</v>
      </c>
      <c r="I511" t="s">
        <v>9803</v>
      </c>
      <c r="J511" t="s">
        <v>3666</v>
      </c>
      <c r="K511" t="s">
        <v>74</v>
      </c>
      <c r="L511" t="s">
        <v>74</v>
      </c>
      <c r="M511" t="s">
        <v>78</v>
      </c>
      <c r="N511" t="s">
        <v>79</v>
      </c>
      <c r="O511" t="s">
        <v>74</v>
      </c>
      <c r="P511" t="s">
        <v>74</v>
      </c>
      <c r="Q511" t="s">
        <v>74</v>
      </c>
      <c r="R511" t="s">
        <v>74</v>
      </c>
      <c r="S511" t="s">
        <v>74</v>
      </c>
      <c r="T511" t="s">
        <v>74</v>
      </c>
      <c r="U511" t="s">
        <v>9804</v>
      </c>
      <c r="V511" t="s">
        <v>9805</v>
      </c>
      <c r="W511" t="s">
        <v>9806</v>
      </c>
      <c r="X511" t="s">
        <v>9807</v>
      </c>
      <c r="Y511" t="s">
        <v>9808</v>
      </c>
      <c r="Z511" t="s">
        <v>9809</v>
      </c>
      <c r="AA511" t="s">
        <v>9810</v>
      </c>
      <c r="AB511" t="s">
        <v>9811</v>
      </c>
      <c r="AC511" t="s">
        <v>9812</v>
      </c>
      <c r="AD511" t="s">
        <v>9813</v>
      </c>
      <c r="AE511" t="s">
        <v>9814</v>
      </c>
      <c r="AF511" t="s">
        <v>74</v>
      </c>
      <c r="AG511">
        <v>45</v>
      </c>
      <c r="AH511">
        <v>92</v>
      </c>
      <c r="AI511">
        <v>103</v>
      </c>
      <c r="AJ511">
        <v>2</v>
      </c>
      <c r="AK511">
        <v>45</v>
      </c>
      <c r="AL511" t="s">
        <v>118</v>
      </c>
      <c r="AM511" t="s">
        <v>119</v>
      </c>
      <c r="AN511" t="s">
        <v>120</v>
      </c>
      <c r="AO511" t="s">
        <v>3678</v>
      </c>
      <c r="AP511" t="s">
        <v>3679</v>
      </c>
      <c r="AQ511" t="s">
        <v>74</v>
      </c>
      <c r="AR511" t="s">
        <v>3680</v>
      </c>
      <c r="AS511" t="s">
        <v>3681</v>
      </c>
      <c r="AT511" t="s">
        <v>9773</v>
      </c>
      <c r="AU511">
        <v>2012</v>
      </c>
      <c r="AV511">
        <v>117</v>
      </c>
      <c r="AW511" t="s">
        <v>74</v>
      </c>
      <c r="AX511" t="s">
        <v>74</v>
      </c>
      <c r="AY511" t="s">
        <v>74</v>
      </c>
      <c r="AZ511" t="s">
        <v>74</v>
      </c>
      <c r="BA511" t="s">
        <v>74</v>
      </c>
      <c r="BB511" t="s">
        <v>74</v>
      </c>
      <c r="BC511" t="s">
        <v>74</v>
      </c>
      <c r="BD511" t="s">
        <v>9815</v>
      </c>
      <c r="BE511" t="s">
        <v>9816</v>
      </c>
      <c r="BF511" t="str">
        <f>HYPERLINK("http://dx.doi.org/10.1029/2012JC007887","http://dx.doi.org/10.1029/2012JC007887")</f>
        <v>http://dx.doi.org/10.1029/2012JC007887</v>
      </c>
      <c r="BG511" t="s">
        <v>74</v>
      </c>
      <c r="BH511" t="s">
        <v>74</v>
      </c>
      <c r="BI511">
        <v>14</v>
      </c>
      <c r="BJ511" t="s">
        <v>941</v>
      </c>
      <c r="BK511" t="s">
        <v>98</v>
      </c>
      <c r="BL511" t="s">
        <v>941</v>
      </c>
      <c r="BM511" t="s">
        <v>9817</v>
      </c>
      <c r="BN511" t="s">
        <v>74</v>
      </c>
      <c r="BO511" t="s">
        <v>416</v>
      </c>
      <c r="BP511" t="s">
        <v>74</v>
      </c>
      <c r="BQ511" t="s">
        <v>74</v>
      </c>
      <c r="BR511" t="s">
        <v>101</v>
      </c>
      <c r="BS511" t="s">
        <v>9818</v>
      </c>
      <c r="BT511" t="str">
        <f>HYPERLINK("https%3A%2F%2Fwww.webofscience.com%2Fwos%2Fwoscc%2Ffull-record%2FWOS:000307731700001","View Full Record in Web of Science")</f>
        <v>View Full Record in Web of Science</v>
      </c>
    </row>
    <row r="512" spans="1:72" x14ac:dyDescent="0.15">
      <c r="A512" t="s">
        <v>72</v>
      </c>
      <c r="B512" t="s">
        <v>9819</v>
      </c>
      <c r="C512" t="s">
        <v>74</v>
      </c>
      <c r="D512" t="s">
        <v>74</v>
      </c>
      <c r="E512" t="s">
        <v>74</v>
      </c>
      <c r="F512" t="s">
        <v>9820</v>
      </c>
      <c r="G512" t="s">
        <v>74</v>
      </c>
      <c r="H512" t="s">
        <v>74</v>
      </c>
      <c r="I512" t="s">
        <v>9821</v>
      </c>
      <c r="J512" t="s">
        <v>539</v>
      </c>
      <c r="K512" t="s">
        <v>74</v>
      </c>
      <c r="L512" t="s">
        <v>74</v>
      </c>
      <c r="M512" t="s">
        <v>78</v>
      </c>
      <c r="N512" t="s">
        <v>79</v>
      </c>
      <c r="O512" t="s">
        <v>74</v>
      </c>
      <c r="P512" t="s">
        <v>74</v>
      </c>
      <c r="Q512" t="s">
        <v>74</v>
      </c>
      <c r="R512" t="s">
        <v>74</v>
      </c>
      <c r="S512" t="s">
        <v>74</v>
      </c>
      <c r="T512" t="s">
        <v>74</v>
      </c>
      <c r="U512" t="s">
        <v>9822</v>
      </c>
      <c r="V512" t="s">
        <v>9823</v>
      </c>
      <c r="W512" t="s">
        <v>9824</v>
      </c>
      <c r="X512" t="s">
        <v>9825</v>
      </c>
      <c r="Y512" t="s">
        <v>9826</v>
      </c>
      <c r="Z512" t="s">
        <v>9827</v>
      </c>
      <c r="AA512" t="s">
        <v>74</v>
      </c>
      <c r="AB512" t="s">
        <v>9828</v>
      </c>
      <c r="AC512" t="s">
        <v>9829</v>
      </c>
      <c r="AD512" t="s">
        <v>830</v>
      </c>
      <c r="AE512" t="s">
        <v>9830</v>
      </c>
      <c r="AF512" t="s">
        <v>74</v>
      </c>
      <c r="AG512">
        <v>49</v>
      </c>
      <c r="AH512">
        <v>157</v>
      </c>
      <c r="AI512">
        <v>180</v>
      </c>
      <c r="AJ512">
        <v>1</v>
      </c>
      <c r="AK512">
        <v>115</v>
      </c>
      <c r="AL512" t="s">
        <v>541</v>
      </c>
      <c r="AM512" t="s">
        <v>119</v>
      </c>
      <c r="AN512" t="s">
        <v>542</v>
      </c>
      <c r="AO512" t="s">
        <v>543</v>
      </c>
      <c r="AP512" t="s">
        <v>74</v>
      </c>
      <c r="AQ512" t="s">
        <v>74</v>
      </c>
      <c r="AR512" t="s">
        <v>539</v>
      </c>
      <c r="AS512" t="s">
        <v>544</v>
      </c>
      <c r="AT512" t="s">
        <v>9773</v>
      </c>
      <c r="AU512">
        <v>2012</v>
      </c>
      <c r="AV512">
        <v>337</v>
      </c>
      <c r="AW512">
        <v>6096</v>
      </c>
      <c r="AX512" t="s">
        <v>74</v>
      </c>
      <c r="AY512" t="s">
        <v>74</v>
      </c>
      <c r="AZ512" t="s">
        <v>74</v>
      </c>
      <c r="BA512" t="s">
        <v>74</v>
      </c>
      <c r="BB512">
        <v>835</v>
      </c>
      <c r="BC512">
        <v>839</v>
      </c>
      <c r="BD512" t="s">
        <v>74</v>
      </c>
      <c r="BE512" t="s">
        <v>9831</v>
      </c>
      <c r="BF512" t="str">
        <f>HYPERLINK("http://dx.doi.org/10.1126/science.1222978","http://dx.doi.org/10.1126/science.1222978")</f>
        <v>http://dx.doi.org/10.1126/science.1222978</v>
      </c>
      <c r="BG512" t="s">
        <v>74</v>
      </c>
      <c r="BH512" t="s">
        <v>74</v>
      </c>
      <c r="BI512">
        <v>5</v>
      </c>
      <c r="BJ512" t="s">
        <v>153</v>
      </c>
      <c r="BK512" t="s">
        <v>98</v>
      </c>
      <c r="BL512" t="s">
        <v>154</v>
      </c>
      <c r="BM512" t="s">
        <v>9832</v>
      </c>
      <c r="BN512">
        <v>22837384</v>
      </c>
      <c r="BO512" t="s">
        <v>74</v>
      </c>
      <c r="BP512" t="s">
        <v>74</v>
      </c>
      <c r="BQ512" t="s">
        <v>74</v>
      </c>
      <c r="BR512" t="s">
        <v>101</v>
      </c>
      <c r="BS512" t="s">
        <v>9833</v>
      </c>
      <c r="BT512" t="str">
        <f>HYPERLINK("https%3A%2F%2Fwww.webofscience.com%2Fwos%2Fwoscc%2Ffull-record%2FWOS:000307535600041","View Full Record in Web of Science")</f>
        <v>View Full Record in Web of Science</v>
      </c>
    </row>
    <row r="513" spans="1:72" x14ac:dyDescent="0.15">
      <c r="A513" t="s">
        <v>72</v>
      </c>
      <c r="B513" t="s">
        <v>9834</v>
      </c>
      <c r="C513" t="s">
        <v>74</v>
      </c>
      <c r="D513" t="s">
        <v>74</v>
      </c>
      <c r="E513" t="s">
        <v>74</v>
      </c>
      <c r="F513" t="s">
        <v>9835</v>
      </c>
      <c r="G513" t="s">
        <v>74</v>
      </c>
      <c r="H513" t="s">
        <v>74</v>
      </c>
      <c r="I513" t="s">
        <v>9836</v>
      </c>
      <c r="J513" t="s">
        <v>134</v>
      </c>
      <c r="K513" t="s">
        <v>74</v>
      </c>
      <c r="L513" t="s">
        <v>74</v>
      </c>
      <c r="M513" t="s">
        <v>78</v>
      </c>
      <c r="N513" t="s">
        <v>79</v>
      </c>
      <c r="O513" t="s">
        <v>74</v>
      </c>
      <c r="P513" t="s">
        <v>74</v>
      </c>
      <c r="Q513" t="s">
        <v>74</v>
      </c>
      <c r="R513" t="s">
        <v>74</v>
      </c>
      <c r="S513" t="s">
        <v>74</v>
      </c>
      <c r="T513" t="s">
        <v>74</v>
      </c>
      <c r="U513" t="s">
        <v>9837</v>
      </c>
      <c r="V513" t="s">
        <v>9838</v>
      </c>
      <c r="W513" t="s">
        <v>9839</v>
      </c>
      <c r="X513" t="s">
        <v>9840</v>
      </c>
      <c r="Y513" t="s">
        <v>9841</v>
      </c>
      <c r="Z513" t="s">
        <v>9842</v>
      </c>
      <c r="AA513" t="s">
        <v>74</v>
      </c>
      <c r="AB513" t="s">
        <v>9843</v>
      </c>
      <c r="AC513" t="s">
        <v>9844</v>
      </c>
      <c r="AD513" t="s">
        <v>9845</v>
      </c>
      <c r="AE513" t="s">
        <v>9846</v>
      </c>
      <c r="AF513" t="s">
        <v>74</v>
      </c>
      <c r="AG513">
        <v>38</v>
      </c>
      <c r="AH513">
        <v>59</v>
      </c>
      <c r="AI513">
        <v>65</v>
      </c>
      <c r="AJ513">
        <v>0</v>
      </c>
      <c r="AK513">
        <v>48</v>
      </c>
      <c r="AL513" t="s">
        <v>146</v>
      </c>
      <c r="AM513" t="s">
        <v>147</v>
      </c>
      <c r="AN513" t="s">
        <v>148</v>
      </c>
      <c r="AO513" t="s">
        <v>149</v>
      </c>
      <c r="AP513" t="s">
        <v>74</v>
      </c>
      <c r="AQ513" t="s">
        <v>74</v>
      </c>
      <c r="AR513" t="s">
        <v>134</v>
      </c>
      <c r="AS513" t="s">
        <v>150</v>
      </c>
      <c r="AT513" t="s">
        <v>9847</v>
      </c>
      <c r="AU513">
        <v>2012</v>
      </c>
      <c r="AV513">
        <v>7</v>
      </c>
      <c r="AW513">
        <v>8</v>
      </c>
      <c r="AX513" t="s">
        <v>74</v>
      </c>
      <c r="AY513" t="s">
        <v>74</v>
      </c>
      <c r="AZ513" t="s">
        <v>74</v>
      </c>
      <c r="BA513" t="s">
        <v>74</v>
      </c>
      <c r="BB513" t="s">
        <v>74</v>
      </c>
      <c r="BC513" t="s">
        <v>74</v>
      </c>
      <c r="BD513" t="s">
        <v>9848</v>
      </c>
      <c r="BE513" t="s">
        <v>9849</v>
      </c>
      <c r="BF513" t="str">
        <f>HYPERLINK("http://dx.doi.org/10.1371/journal.pone.0043762","http://dx.doi.org/10.1371/journal.pone.0043762")</f>
        <v>http://dx.doi.org/10.1371/journal.pone.0043762</v>
      </c>
      <c r="BG513" t="s">
        <v>74</v>
      </c>
      <c r="BH513" t="s">
        <v>74</v>
      </c>
      <c r="BI513">
        <v>9</v>
      </c>
      <c r="BJ513" t="s">
        <v>153</v>
      </c>
      <c r="BK513" t="s">
        <v>98</v>
      </c>
      <c r="BL513" t="s">
        <v>154</v>
      </c>
      <c r="BM513" t="s">
        <v>9850</v>
      </c>
      <c r="BN513">
        <v>22916302</v>
      </c>
      <c r="BO513" t="s">
        <v>626</v>
      </c>
      <c r="BP513" t="s">
        <v>74</v>
      </c>
      <c r="BQ513" t="s">
        <v>74</v>
      </c>
      <c r="BR513" t="s">
        <v>101</v>
      </c>
      <c r="BS513" t="s">
        <v>9851</v>
      </c>
      <c r="BT513" t="str">
        <f>HYPERLINK("https%3A%2F%2Fwww.webofscience.com%2Fwos%2Fwoscc%2Ffull-record%2FWOS:000307824300057","View Full Record in Web of Science")</f>
        <v>View Full Record in Web of Science</v>
      </c>
    </row>
    <row r="514" spans="1:72" x14ac:dyDescent="0.15">
      <c r="A514" t="s">
        <v>72</v>
      </c>
      <c r="B514" t="s">
        <v>9852</v>
      </c>
      <c r="C514" t="s">
        <v>74</v>
      </c>
      <c r="D514" t="s">
        <v>74</v>
      </c>
      <c r="E514" t="s">
        <v>74</v>
      </c>
      <c r="F514" t="s">
        <v>9853</v>
      </c>
      <c r="G514" t="s">
        <v>74</v>
      </c>
      <c r="H514" t="s">
        <v>74</v>
      </c>
      <c r="I514" t="s">
        <v>9854</v>
      </c>
      <c r="J514" t="s">
        <v>657</v>
      </c>
      <c r="K514" t="s">
        <v>74</v>
      </c>
      <c r="L514" t="s">
        <v>74</v>
      </c>
      <c r="M514" t="s">
        <v>78</v>
      </c>
      <c r="N514" t="s">
        <v>79</v>
      </c>
      <c r="O514" t="s">
        <v>74</v>
      </c>
      <c r="P514" t="s">
        <v>74</v>
      </c>
      <c r="Q514" t="s">
        <v>74</v>
      </c>
      <c r="R514" t="s">
        <v>74</v>
      </c>
      <c r="S514" t="s">
        <v>74</v>
      </c>
      <c r="T514" t="s">
        <v>9855</v>
      </c>
      <c r="U514" t="s">
        <v>9856</v>
      </c>
      <c r="V514" t="s">
        <v>9857</v>
      </c>
      <c r="W514" t="s">
        <v>9858</v>
      </c>
      <c r="X514" t="s">
        <v>9859</v>
      </c>
      <c r="Y514" t="s">
        <v>9860</v>
      </c>
      <c r="Z514" t="s">
        <v>9861</v>
      </c>
      <c r="AA514" t="s">
        <v>74</v>
      </c>
      <c r="AB514" t="s">
        <v>74</v>
      </c>
      <c r="AC514" t="s">
        <v>9862</v>
      </c>
      <c r="AD514" t="s">
        <v>9862</v>
      </c>
      <c r="AE514" t="s">
        <v>9863</v>
      </c>
      <c r="AF514" t="s">
        <v>74</v>
      </c>
      <c r="AG514">
        <v>55</v>
      </c>
      <c r="AH514">
        <v>16</v>
      </c>
      <c r="AI514">
        <v>19</v>
      </c>
      <c r="AJ514">
        <v>0</v>
      </c>
      <c r="AK514">
        <v>1</v>
      </c>
      <c r="AL514" t="s">
        <v>668</v>
      </c>
      <c r="AM514" t="s">
        <v>669</v>
      </c>
      <c r="AN514" t="s">
        <v>670</v>
      </c>
      <c r="AO514" t="s">
        <v>671</v>
      </c>
      <c r="AP514" t="s">
        <v>672</v>
      </c>
      <c r="AQ514" t="s">
        <v>74</v>
      </c>
      <c r="AR514" t="s">
        <v>657</v>
      </c>
      <c r="AS514" t="s">
        <v>673</v>
      </c>
      <c r="AT514" t="s">
        <v>9847</v>
      </c>
      <c r="AU514">
        <v>2012</v>
      </c>
      <c r="AV514" t="s">
        <v>74</v>
      </c>
      <c r="AW514">
        <v>3425</v>
      </c>
      <c r="AX514" t="s">
        <v>74</v>
      </c>
      <c r="AY514" t="s">
        <v>74</v>
      </c>
      <c r="AZ514" t="s">
        <v>74</v>
      </c>
      <c r="BA514" t="s">
        <v>74</v>
      </c>
      <c r="BB514">
        <v>1</v>
      </c>
      <c r="BC514">
        <v>22</v>
      </c>
      <c r="BD514" t="s">
        <v>74</v>
      </c>
      <c r="BE514" t="s">
        <v>74</v>
      </c>
      <c r="BF514" t="s">
        <v>74</v>
      </c>
      <c r="BG514" t="s">
        <v>74</v>
      </c>
      <c r="BH514" t="s">
        <v>74</v>
      </c>
      <c r="BI514">
        <v>22</v>
      </c>
      <c r="BJ514" t="s">
        <v>675</v>
      </c>
      <c r="BK514" t="s">
        <v>98</v>
      </c>
      <c r="BL514" t="s">
        <v>675</v>
      </c>
      <c r="BM514" t="s">
        <v>9864</v>
      </c>
      <c r="BN514" t="s">
        <v>74</v>
      </c>
      <c r="BO514" t="s">
        <v>74</v>
      </c>
      <c r="BP514" t="s">
        <v>74</v>
      </c>
      <c r="BQ514" t="s">
        <v>74</v>
      </c>
      <c r="BR514" t="s">
        <v>101</v>
      </c>
      <c r="BS514" t="s">
        <v>9865</v>
      </c>
      <c r="BT514" t="str">
        <f>HYPERLINK("https%3A%2F%2Fwww.webofscience.com%2Fwos%2Fwoscc%2Ffull-record%2FWOS:000307885100001","View Full Record in Web of Science")</f>
        <v>View Full Record in Web of Science</v>
      </c>
    </row>
    <row r="515" spans="1:72" x14ac:dyDescent="0.15">
      <c r="A515" t="s">
        <v>72</v>
      </c>
      <c r="B515" t="s">
        <v>9866</v>
      </c>
      <c r="C515" t="s">
        <v>74</v>
      </c>
      <c r="D515" t="s">
        <v>74</v>
      </c>
      <c r="E515" t="s">
        <v>74</v>
      </c>
      <c r="F515" t="s">
        <v>9867</v>
      </c>
      <c r="G515" t="s">
        <v>74</v>
      </c>
      <c r="H515" t="s">
        <v>74</v>
      </c>
      <c r="I515" t="s">
        <v>9868</v>
      </c>
      <c r="J515" t="s">
        <v>9869</v>
      </c>
      <c r="K515" t="s">
        <v>74</v>
      </c>
      <c r="L515" t="s">
        <v>74</v>
      </c>
      <c r="M515" t="s">
        <v>78</v>
      </c>
      <c r="N515" t="s">
        <v>79</v>
      </c>
      <c r="O515" t="s">
        <v>74</v>
      </c>
      <c r="P515" t="s">
        <v>74</v>
      </c>
      <c r="Q515" t="s">
        <v>74</v>
      </c>
      <c r="R515" t="s">
        <v>74</v>
      </c>
      <c r="S515" t="s">
        <v>74</v>
      </c>
      <c r="T515" t="s">
        <v>9870</v>
      </c>
      <c r="U515" t="s">
        <v>9871</v>
      </c>
      <c r="V515" t="s">
        <v>9872</v>
      </c>
      <c r="W515" t="s">
        <v>9873</v>
      </c>
      <c r="X515" t="s">
        <v>9874</v>
      </c>
      <c r="Y515" t="s">
        <v>5280</v>
      </c>
      <c r="Z515" t="s">
        <v>5281</v>
      </c>
      <c r="AA515" t="s">
        <v>9875</v>
      </c>
      <c r="AB515" t="s">
        <v>9876</v>
      </c>
      <c r="AC515" t="s">
        <v>9877</v>
      </c>
      <c r="AD515" t="s">
        <v>9878</v>
      </c>
      <c r="AE515" t="s">
        <v>9879</v>
      </c>
      <c r="AF515" t="s">
        <v>74</v>
      </c>
      <c r="AG515">
        <v>24</v>
      </c>
      <c r="AH515">
        <v>18</v>
      </c>
      <c r="AI515">
        <v>21</v>
      </c>
      <c r="AJ515">
        <v>0</v>
      </c>
      <c r="AK515">
        <v>20</v>
      </c>
      <c r="AL515" t="s">
        <v>89</v>
      </c>
      <c r="AM515" t="s">
        <v>90</v>
      </c>
      <c r="AN515" t="s">
        <v>91</v>
      </c>
      <c r="AO515" t="s">
        <v>9880</v>
      </c>
      <c r="AP515" t="s">
        <v>9881</v>
      </c>
      <c r="AQ515" t="s">
        <v>74</v>
      </c>
      <c r="AR515" t="s">
        <v>9882</v>
      </c>
      <c r="AS515" t="s">
        <v>9883</v>
      </c>
      <c r="AT515" t="s">
        <v>9884</v>
      </c>
      <c r="AU515">
        <v>2012</v>
      </c>
      <c r="AV515">
        <v>45</v>
      </c>
      <c r="AW515" t="s">
        <v>74</v>
      </c>
      <c r="AX515" t="s">
        <v>74</v>
      </c>
      <c r="AY515" t="s">
        <v>74</v>
      </c>
      <c r="AZ515" t="s">
        <v>74</v>
      </c>
      <c r="BA515" t="s">
        <v>74</v>
      </c>
      <c r="BB515">
        <v>87</v>
      </c>
      <c r="BC515">
        <v>97</v>
      </c>
      <c r="BD515" t="s">
        <v>74</v>
      </c>
      <c r="BE515" t="s">
        <v>9885</v>
      </c>
      <c r="BF515" t="str">
        <f>HYPERLINK("http://dx.doi.org/10.1016/j.csr.2012.06.003","http://dx.doi.org/10.1016/j.csr.2012.06.003")</f>
        <v>http://dx.doi.org/10.1016/j.csr.2012.06.003</v>
      </c>
      <c r="BG515" t="s">
        <v>74</v>
      </c>
      <c r="BH515" t="s">
        <v>74</v>
      </c>
      <c r="BI515">
        <v>11</v>
      </c>
      <c r="BJ515" t="s">
        <v>941</v>
      </c>
      <c r="BK515" t="s">
        <v>98</v>
      </c>
      <c r="BL515" t="s">
        <v>941</v>
      </c>
      <c r="BM515" t="s">
        <v>9886</v>
      </c>
      <c r="BN515" t="s">
        <v>74</v>
      </c>
      <c r="BO515" t="s">
        <v>74</v>
      </c>
      <c r="BP515" t="s">
        <v>74</v>
      </c>
      <c r="BQ515" t="s">
        <v>74</v>
      </c>
      <c r="BR515" t="s">
        <v>101</v>
      </c>
      <c r="BS515" t="s">
        <v>9887</v>
      </c>
      <c r="BT515" t="str">
        <f>HYPERLINK("https%3A%2F%2Fwww.webofscience.com%2Fwos%2Fwoscc%2Ffull-record%2FWOS:000308899500009","View Full Record in Web of Science")</f>
        <v>View Full Record in Web of Science</v>
      </c>
    </row>
    <row r="516" spans="1:72" x14ac:dyDescent="0.15">
      <c r="A516" t="s">
        <v>72</v>
      </c>
      <c r="B516" t="s">
        <v>9888</v>
      </c>
      <c r="C516" t="s">
        <v>74</v>
      </c>
      <c r="D516" t="s">
        <v>74</v>
      </c>
      <c r="E516" t="s">
        <v>74</v>
      </c>
      <c r="F516" t="s">
        <v>9889</v>
      </c>
      <c r="G516" t="s">
        <v>74</v>
      </c>
      <c r="H516" t="s">
        <v>74</v>
      </c>
      <c r="I516" t="s">
        <v>9890</v>
      </c>
      <c r="J516" t="s">
        <v>315</v>
      </c>
      <c r="K516" t="s">
        <v>74</v>
      </c>
      <c r="L516" t="s">
        <v>74</v>
      </c>
      <c r="M516" t="s">
        <v>78</v>
      </c>
      <c r="N516" t="s">
        <v>79</v>
      </c>
      <c r="O516" t="s">
        <v>74</v>
      </c>
      <c r="P516" t="s">
        <v>74</v>
      </c>
      <c r="Q516" t="s">
        <v>74</v>
      </c>
      <c r="R516" t="s">
        <v>74</v>
      </c>
      <c r="S516" t="s">
        <v>74</v>
      </c>
      <c r="T516" t="s">
        <v>9891</v>
      </c>
      <c r="U516" t="s">
        <v>9892</v>
      </c>
      <c r="V516" t="s">
        <v>9893</v>
      </c>
      <c r="W516" t="s">
        <v>9894</v>
      </c>
      <c r="X516" t="s">
        <v>9895</v>
      </c>
      <c r="Y516" t="s">
        <v>9896</v>
      </c>
      <c r="Z516" t="s">
        <v>9897</v>
      </c>
      <c r="AA516" t="s">
        <v>9898</v>
      </c>
      <c r="AB516" t="s">
        <v>9899</v>
      </c>
      <c r="AC516" t="s">
        <v>9900</v>
      </c>
      <c r="AD516" t="s">
        <v>9901</v>
      </c>
      <c r="AE516" t="s">
        <v>9902</v>
      </c>
      <c r="AF516" t="s">
        <v>74</v>
      </c>
      <c r="AG516">
        <v>52</v>
      </c>
      <c r="AH516">
        <v>50</v>
      </c>
      <c r="AI516">
        <v>63</v>
      </c>
      <c r="AJ516">
        <v>4</v>
      </c>
      <c r="AK516">
        <v>41</v>
      </c>
      <c r="AL516" t="s">
        <v>259</v>
      </c>
      <c r="AM516" t="s">
        <v>189</v>
      </c>
      <c r="AN516" t="s">
        <v>260</v>
      </c>
      <c r="AO516" t="s">
        <v>328</v>
      </c>
      <c r="AP516" t="s">
        <v>74</v>
      </c>
      <c r="AQ516" t="s">
        <v>74</v>
      </c>
      <c r="AR516" t="s">
        <v>329</v>
      </c>
      <c r="AS516" t="s">
        <v>330</v>
      </c>
      <c r="AT516" t="s">
        <v>9884</v>
      </c>
      <c r="AU516">
        <v>2012</v>
      </c>
      <c r="AV516">
        <v>432</v>
      </c>
      <c r="AW516" t="s">
        <v>74</v>
      </c>
      <c r="AX516" t="s">
        <v>74</v>
      </c>
      <c r="AY516" t="s">
        <v>74</v>
      </c>
      <c r="AZ516" t="s">
        <v>74</v>
      </c>
      <c r="BA516" t="s">
        <v>74</v>
      </c>
      <c r="BB516">
        <v>65</v>
      </c>
      <c r="BC516">
        <v>77</v>
      </c>
      <c r="BD516" t="s">
        <v>74</v>
      </c>
      <c r="BE516" t="s">
        <v>9903</v>
      </c>
      <c r="BF516" t="str">
        <f>HYPERLINK("http://dx.doi.org/10.1016/j.scitotenv.2012.05.077","http://dx.doi.org/10.1016/j.scitotenv.2012.05.077")</f>
        <v>http://dx.doi.org/10.1016/j.scitotenv.2012.05.077</v>
      </c>
      <c r="BG516" t="s">
        <v>74</v>
      </c>
      <c r="BH516" t="s">
        <v>74</v>
      </c>
      <c r="BI516">
        <v>13</v>
      </c>
      <c r="BJ516" t="s">
        <v>332</v>
      </c>
      <c r="BK516" t="s">
        <v>98</v>
      </c>
      <c r="BL516" t="s">
        <v>333</v>
      </c>
      <c r="BM516" t="s">
        <v>9904</v>
      </c>
      <c r="BN516">
        <v>22717607</v>
      </c>
      <c r="BO516" t="s">
        <v>74</v>
      </c>
      <c r="BP516" t="s">
        <v>74</v>
      </c>
      <c r="BQ516" t="s">
        <v>74</v>
      </c>
      <c r="BR516" t="s">
        <v>101</v>
      </c>
      <c r="BS516" t="s">
        <v>9905</v>
      </c>
      <c r="BT516" t="str">
        <f>HYPERLINK("https%3A%2F%2Fwww.webofscience.com%2Fwos%2Fwoscc%2Ffull-record%2FWOS:000308270700007","View Full Record in Web of Science")</f>
        <v>View Full Record in Web of Science</v>
      </c>
    </row>
    <row r="517" spans="1:72" x14ac:dyDescent="0.15">
      <c r="A517" t="s">
        <v>72</v>
      </c>
      <c r="B517" t="s">
        <v>9906</v>
      </c>
      <c r="C517" t="s">
        <v>74</v>
      </c>
      <c r="D517" t="s">
        <v>74</v>
      </c>
      <c r="E517" t="s">
        <v>74</v>
      </c>
      <c r="F517" t="s">
        <v>9907</v>
      </c>
      <c r="G517" t="s">
        <v>74</v>
      </c>
      <c r="H517" t="s">
        <v>74</v>
      </c>
      <c r="I517" t="s">
        <v>9908</v>
      </c>
      <c r="J517" t="s">
        <v>3489</v>
      </c>
      <c r="K517" t="s">
        <v>74</v>
      </c>
      <c r="L517" t="s">
        <v>74</v>
      </c>
      <c r="M517" t="s">
        <v>78</v>
      </c>
      <c r="N517" t="s">
        <v>79</v>
      </c>
      <c r="O517" t="s">
        <v>74</v>
      </c>
      <c r="P517" t="s">
        <v>74</v>
      </c>
      <c r="Q517" t="s">
        <v>74</v>
      </c>
      <c r="R517" t="s">
        <v>74</v>
      </c>
      <c r="S517" t="s">
        <v>74</v>
      </c>
      <c r="T517" t="s">
        <v>9909</v>
      </c>
      <c r="U517" t="s">
        <v>9910</v>
      </c>
      <c r="V517" t="s">
        <v>9911</v>
      </c>
      <c r="W517" t="s">
        <v>9912</v>
      </c>
      <c r="X517" t="s">
        <v>3864</v>
      </c>
      <c r="Y517" t="s">
        <v>9913</v>
      </c>
      <c r="Z517" t="s">
        <v>9914</v>
      </c>
      <c r="AA517" t="s">
        <v>9915</v>
      </c>
      <c r="AB517" t="s">
        <v>9916</v>
      </c>
      <c r="AC517" t="s">
        <v>74</v>
      </c>
      <c r="AD517" t="s">
        <v>74</v>
      </c>
      <c r="AE517" t="s">
        <v>74</v>
      </c>
      <c r="AF517" t="s">
        <v>74</v>
      </c>
      <c r="AG517">
        <v>30</v>
      </c>
      <c r="AH517">
        <v>11</v>
      </c>
      <c r="AI517">
        <v>13</v>
      </c>
      <c r="AJ517">
        <v>0</v>
      </c>
      <c r="AK517">
        <v>17</v>
      </c>
      <c r="AL517" t="s">
        <v>1034</v>
      </c>
      <c r="AM517" t="s">
        <v>90</v>
      </c>
      <c r="AN517" t="s">
        <v>1035</v>
      </c>
      <c r="AO517" t="s">
        <v>3499</v>
      </c>
      <c r="AP517" t="s">
        <v>3522</v>
      </c>
      <c r="AQ517" t="s">
        <v>74</v>
      </c>
      <c r="AR517" t="s">
        <v>3500</v>
      </c>
      <c r="AS517" t="s">
        <v>3501</v>
      </c>
      <c r="AT517" t="s">
        <v>9884</v>
      </c>
      <c r="AU517">
        <v>2012</v>
      </c>
      <c r="AV517">
        <v>50</v>
      </c>
      <c r="AW517">
        <v>4</v>
      </c>
      <c r="AX517" t="s">
        <v>74</v>
      </c>
      <c r="AY517" t="s">
        <v>74</v>
      </c>
      <c r="AZ517" t="s">
        <v>74</v>
      </c>
      <c r="BA517" t="s">
        <v>74</v>
      </c>
      <c r="BB517">
        <v>457</v>
      </c>
      <c r="BC517">
        <v>470</v>
      </c>
      <c r="BD517" t="s">
        <v>74</v>
      </c>
      <c r="BE517" t="s">
        <v>9917</v>
      </c>
      <c r="BF517" t="str">
        <f>HYPERLINK("http://dx.doi.org/10.1016/j.asr.2012.05.004","http://dx.doi.org/10.1016/j.asr.2012.05.004")</f>
        <v>http://dx.doi.org/10.1016/j.asr.2012.05.004</v>
      </c>
      <c r="BG517" t="s">
        <v>74</v>
      </c>
      <c r="BH517" t="s">
        <v>74</v>
      </c>
      <c r="BI517">
        <v>14</v>
      </c>
      <c r="BJ517" t="s">
        <v>3503</v>
      </c>
      <c r="BK517" t="s">
        <v>98</v>
      </c>
      <c r="BL517" t="s">
        <v>3504</v>
      </c>
      <c r="BM517" t="s">
        <v>9918</v>
      </c>
      <c r="BN517" t="s">
        <v>74</v>
      </c>
      <c r="BO517" t="s">
        <v>74</v>
      </c>
      <c r="BP517" t="s">
        <v>74</v>
      </c>
      <c r="BQ517" t="s">
        <v>74</v>
      </c>
      <c r="BR517" t="s">
        <v>101</v>
      </c>
      <c r="BS517" t="s">
        <v>9919</v>
      </c>
      <c r="BT517" t="str">
        <f>HYPERLINK("https%3A%2F%2Fwww.webofscience.com%2Fwos%2Fwoscc%2Ffull-record%2FWOS:000306872600005","View Full Record in Web of Science")</f>
        <v>View Full Record in Web of Science</v>
      </c>
    </row>
    <row r="518" spans="1:72" x14ac:dyDescent="0.15">
      <c r="A518" t="s">
        <v>72</v>
      </c>
      <c r="B518" t="s">
        <v>9920</v>
      </c>
      <c r="C518" t="s">
        <v>74</v>
      </c>
      <c r="D518" t="s">
        <v>74</v>
      </c>
      <c r="E518" t="s">
        <v>74</v>
      </c>
      <c r="F518" t="s">
        <v>9921</v>
      </c>
      <c r="G518" t="s">
        <v>74</v>
      </c>
      <c r="H518" t="s">
        <v>74</v>
      </c>
      <c r="I518" t="s">
        <v>9922</v>
      </c>
      <c r="J518" t="s">
        <v>2580</v>
      </c>
      <c r="K518" t="s">
        <v>74</v>
      </c>
      <c r="L518" t="s">
        <v>74</v>
      </c>
      <c r="M518" t="s">
        <v>78</v>
      </c>
      <c r="N518" t="s">
        <v>79</v>
      </c>
      <c r="O518" t="s">
        <v>74</v>
      </c>
      <c r="P518" t="s">
        <v>74</v>
      </c>
      <c r="Q518" t="s">
        <v>74</v>
      </c>
      <c r="R518" t="s">
        <v>74</v>
      </c>
      <c r="S518" t="s">
        <v>74</v>
      </c>
      <c r="T518" t="s">
        <v>74</v>
      </c>
      <c r="U518" t="s">
        <v>9923</v>
      </c>
      <c r="V518" t="s">
        <v>9924</v>
      </c>
      <c r="W518" t="s">
        <v>9925</v>
      </c>
      <c r="X518" t="s">
        <v>9926</v>
      </c>
      <c r="Y518" t="s">
        <v>9927</v>
      </c>
      <c r="Z518" t="s">
        <v>9928</v>
      </c>
      <c r="AA518" t="s">
        <v>9929</v>
      </c>
      <c r="AB518" t="s">
        <v>9930</v>
      </c>
      <c r="AC518" t="s">
        <v>9931</v>
      </c>
      <c r="AD518" t="s">
        <v>9932</v>
      </c>
      <c r="AE518" t="s">
        <v>9933</v>
      </c>
      <c r="AF518" t="s">
        <v>74</v>
      </c>
      <c r="AG518">
        <v>101</v>
      </c>
      <c r="AH518">
        <v>33</v>
      </c>
      <c r="AI518">
        <v>35</v>
      </c>
      <c r="AJ518">
        <v>0</v>
      </c>
      <c r="AK518">
        <v>33</v>
      </c>
      <c r="AL518" t="s">
        <v>89</v>
      </c>
      <c r="AM518" t="s">
        <v>90</v>
      </c>
      <c r="AN518" t="s">
        <v>91</v>
      </c>
      <c r="AO518" t="s">
        <v>2592</v>
      </c>
      <c r="AP518" t="s">
        <v>2593</v>
      </c>
      <c r="AQ518" t="s">
        <v>74</v>
      </c>
      <c r="AR518" t="s">
        <v>2594</v>
      </c>
      <c r="AS518" t="s">
        <v>2595</v>
      </c>
      <c r="AT518" t="s">
        <v>9884</v>
      </c>
      <c r="AU518">
        <v>2012</v>
      </c>
      <c r="AV518">
        <v>91</v>
      </c>
      <c r="AW518" t="s">
        <v>74</v>
      </c>
      <c r="AX518" t="s">
        <v>74</v>
      </c>
      <c r="AY518" t="s">
        <v>74</v>
      </c>
      <c r="AZ518" t="s">
        <v>74</v>
      </c>
      <c r="BA518" t="s">
        <v>74</v>
      </c>
      <c r="BB518">
        <v>60</v>
      </c>
      <c r="BC518">
        <v>74</v>
      </c>
      <c r="BD518" t="s">
        <v>74</v>
      </c>
      <c r="BE518" t="s">
        <v>9934</v>
      </c>
      <c r="BF518" t="str">
        <f>HYPERLINK("http://dx.doi.org/10.1016/j.gca.2012.05.017","http://dx.doi.org/10.1016/j.gca.2012.05.017")</f>
        <v>http://dx.doi.org/10.1016/j.gca.2012.05.017</v>
      </c>
      <c r="BG518" t="s">
        <v>74</v>
      </c>
      <c r="BH518" t="s">
        <v>74</v>
      </c>
      <c r="BI518">
        <v>15</v>
      </c>
      <c r="BJ518" t="s">
        <v>241</v>
      </c>
      <c r="BK518" t="s">
        <v>98</v>
      </c>
      <c r="BL518" t="s">
        <v>241</v>
      </c>
      <c r="BM518" t="s">
        <v>9935</v>
      </c>
      <c r="BN518" t="s">
        <v>74</v>
      </c>
      <c r="BO518" t="s">
        <v>74</v>
      </c>
      <c r="BP518" t="s">
        <v>74</v>
      </c>
      <c r="BQ518" t="s">
        <v>74</v>
      </c>
      <c r="BR518" t="s">
        <v>101</v>
      </c>
      <c r="BS518" t="s">
        <v>9936</v>
      </c>
      <c r="BT518" t="str">
        <f>HYPERLINK("https%3A%2F%2Fwww.webofscience.com%2Fwos%2Fwoscc%2Ffull-record%2FWOS:000307120800005","View Full Record in Web of Science")</f>
        <v>View Full Record in Web of Science</v>
      </c>
    </row>
    <row r="519" spans="1:72" x14ac:dyDescent="0.15">
      <c r="A519" t="s">
        <v>72</v>
      </c>
      <c r="B519" t="s">
        <v>9937</v>
      </c>
      <c r="C519" t="s">
        <v>74</v>
      </c>
      <c r="D519" t="s">
        <v>74</v>
      </c>
      <c r="E519" t="s">
        <v>74</v>
      </c>
      <c r="F519" t="s">
        <v>9938</v>
      </c>
      <c r="G519" t="s">
        <v>74</v>
      </c>
      <c r="H519" t="s">
        <v>74</v>
      </c>
      <c r="I519" t="s">
        <v>9939</v>
      </c>
      <c r="J519" t="s">
        <v>178</v>
      </c>
      <c r="K519" t="s">
        <v>74</v>
      </c>
      <c r="L519" t="s">
        <v>74</v>
      </c>
      <c r="M519" t="s">
        <v>78</v>
      </c>
      <c r="N519" t="s">
        <v>79</v>
      </c>
      <c r="O519" t="s">
        <v>74</v>
      </c>
      <c r="P519" t="s">
        <v>74</v>
      </c>
      <c r="Q519" t="s">
        <v>74</v>
      </c>
      <c r="R519" t="s">
        <v>74</v>
      </c>
      <c r="S519" t="s">
        <v>74</v>
      </c>
      <c r="T519" t="s">
        <v>9940</v>
      </c>
      <c r="U519" t="s">
        <v>9941</v>
      </c>
      <c r="V519" t="s">
        <v>9942</v>
      </c>
      <c r="W519" t="s">
        <v>9943</v>
      </c>
      <c r="X519" t="s">
        <v>9944</v>
      </c>
      <c r="Y519" t="s">
        <v>8825</v>
      </c>
      <c r="Z519" t="s">
        <v>8826</v>
      </c>
      <c r="AA519" t="s">
        <v>74</v>
      </c>
      <c r="AB519" t="s">
        <v>8827</v>
      </c>
      <c r="AC519" t="s">
        <v>9945</v>
      </c>
      <c r="AD519" t="s">
        <v>9946</v>
      </c>
      <c r="AE519" t="s">
        <v>9947</v>
      </c>
      <c r="AF519" t="s">
        <v>74</v>
      </c>
      <c r="AG519">
        <v>58</v>
      </c>
      <c r="AH519">
        <v>2</v>
      </c>
      <c r="AI519">
        <v>3</v>
      </c>
      <c r="AJ519">
        <v>1</v>
      </c>
      <c r="AK519">
        <v>10</v>
      </c>
      <c r="AL519" t="s">
        <v>188</v>
      </c>
      <c r="AM519" t="s">
        <v>189</v>
      </c>
      <c r="AN519" t="s">
        <v>190</v>
      </c>
      <c r="AO519" t="s">
        <v>191</v>
      </c>
      <c r="AP519" t="s">
        <v>192</v>
      </c>
      <c r="AQ519" t="s">
        <v>74</v>
      </c>
      <c r="AR519" t="s">
        <v>193</v>
      </c>
      <c r="AS519" t="s">
        <v>194</v>
      </c>
      <c r="AT519" t="s">
        <v>9884</v>
      </c>
      <c r="AU519">
        <v>2012</v>
      </c>
      <c r="AV519">
        <v>346</v>
      </c>
      <c r="AW519" t="s">
        <v>74</v>
      </c>
      <c r="AX519" t="s">
        <v>74</v>
      </c>
      <c r="AY519" t="s">
        <v>74</v>
      </c>
      <c r="AZ519" t="s">
        <v>74</v>
      </c>
      <c r="BA519" t="s">
        <v>74</v>
      </c>
      <c r="BB519">
        <v>87</v>
      </c>
      <c r="BC519">
        <v>94</v>
      </c>
      <c r="BD519" t="s">
        <v>74</v>
      </c>
      <c r="BE519" t="s">
        <v>9948</v>
      </c>
      <c r="BF519" t="str">
        <f>HYPERLINK("http://dx.doi.org/10.1016/j.palaeo.2012.05.027","http://dx.doi.org/10.1016/j.palaeo.2012.05.027")</f>
        <v>http://dx.doi.org/10.1016/j.palaeo.2012.05.027</v>
      </c>
      <c r="BG519" t="s">
        <v>74</v>
      </c>
      <c r="BH519" t="s">
        <v>74</v>
      </c>
      <c r="BI519">
        <v>8</v>
      </c>
      <c r="BJ519" t="s">
        <v>197</v>
      </c>
      <c r="BK519" t="s">
        <v>98</v>
      </c>
      <c r="BL519" t="s">
        <v>198</v>
      </c>
      <c r="BM519" t="s">
        <v>9949</v>
      </c>
      <c r="BN519" t="s">
        <v>74</v>
      </c>
      <c r="BO519" t="s">
        <v>74</v>
      </c>
      <c r="BP519" t="s">
        <v>74</v>
      </c>
      <c r="BQ519" t="s">
        <v>74</v>
      </c>
      <c r="BR519" t="s">
        <v>101</v>
      </c>
      <c r="BS519" t="s">
        <v>9950</v>
      </c>
      <c r="BT519" t="str">
        <f>HYPERLINK("https%3A%2F%2Fwww.webofscience.com%2Fwos%2Fwoscc%2Ffull-record%2FWOS:000306679600007","View Full Record in Web of Science")</f>
        <v>View Full Record in Web of Science</v>
      </c>
    </row>
    <row r="520" spans="1:72" x14ac:dyDescent="0.15">
      <c r="A520" t="s">
        <v>72</v>
      </c>
      <c r="B520" t="s">
        <v>9951</v>
      </c>
      <c r="C520" t="s">
        <v>74</v>
      </c>
      <c r="D520" t="s">
        <v>74</v>
      </c>
      <c r="E520" t="s">
        <v>74</v>
      </c>
      <c r="F520" t="s">
        <v>9952</v>
      </c>
      <c r="G520" t="s">
        <v>74</v>
      </c>
      <c r="H520" t="s">
        <v>74</v>
      </c>
      <c r="I520" t="s">
        <v>9953</v>
      </c>
      <c r="J520" t="s">
        <v>1417</v>
      </c>
      <c r="K520" t="s">
        <v>74</v>
      </c>
      <c r="L520" t="s">
        <v>74</v>
      </c>
      <c r="M520" t="s">
        <v>78</v>
      </c>
      <c r="N520" t="s">
        <v>79</v>
      </c>
      <c r="O520" t="s">
        <v>74</v>
      </c>
      <c r="P520" t="s">
        <v>74</v>
      </c>
      <c r="Q520" t="s">
        <v>74</v>
      </c>
      <c r="R520" t="s">
        <v>74</v>
      </c>
      <c r="S520" t="s">
        <v>74</v>
      </c>
      <c r="T520" t="s">
        <v>74</v>
      </c>
      <c r="U520" t="s">
        <v>9954</v>
      </c>
      <c r="V520" t="s">
        <v>9955</v>
      </c>
      <c r="W520" t="s">
        <v>9956</v>
      </c>
      <c r="X520" t="s">
        <v>9957</v>
      </c>
      <c r="Y520" t="s">
        <v>9958</v>
      </c>
      <c r="Z520" t="s">
        <v>9959</v>
      </c>
      <c r="AA520" t="s">
        <v>9960</v>
      </c>
      <c r="AB520" t="s">
        <v>9961</v>
      </c>
      <c r="AC520" t="s">
        <v>9962</v>
      </c>
      <c r="AD520" t="s">
        <v>9963</v>
      </c>
      <c r="AE520" t="s">
        <v>9964</v>
      </c>
      <c r="AF520" t="s">
        <v>74</v>
      </c>
      <c r="AG520">
        <v>54</v>
      </c>
      <c r="AH520">
        <v>119</v>
      </c>
      <c r="AI520">
        <v>128</v>
      </c>
      <c r="AJ520">
        <v>1</v>
      </c>
      <c r="AK520">
        <v>52</v>
      </c>
      <c r="AL520" t="s">
        <v>1429</v>
      </c>
      <c r="AM520" t="s">
        <v>1430</v>
      </c>
      <c r="AN520" t="s">
        <v>1431</v>
      </c>
      <c r="AO520" t="s">
        <v>1432</v>
      </c>
      <c r="AP520" t="s">
        <v>1433</v>
      </c>
      <c r="AQ520" t="s">
        <v>74</v>
      </c>
      <c r="AR520" t="s">
        <v>1434</v>
      </c>
      <c r="AS520" t="s">
        <v>1435</v>
      </c>
      <c r="AT520" t="s">
        <v>9884</v>
      </c>
      <c r="AU520">
        <v>2012</v>
      </c>
      <c r="AV520">
        <v>25</v>
      </c>
      <c r="AW520">
        <v>16</v>
      </c>
      <c r="AX520" t="s">
        <v>74</v>
      </c>
      <c r="AY520" t="s">
        <v>74</v>
      </c>
      <c r="AZ520" t="s">
        <v>74</v>
      </c>
      <c r="BA520" t="s">
        <v>74</v>
      </c>
      <c r="BB520">
        <v>5451</v>
      </c>
      <c r="BC520">
        <v>5469</v>
      </c>
      <c r="BD520" t="s">
        <v>74</v>
      </c>
      <c r="BE520" t="s">
        <v>9965</v>
      </c>
      <c r="BF520" t="str">
        <f>HYPERLINK("http://dx.doi.org/10.1175/JCLI-D-11-00367.1","http://dx.doi.org/10.1175/JCLI-D-11-00367.1")</f>
        <v>http://dx.doi.org/10.1175/JCLI-D-11-00367.1</v>
      </c>
      <c r="BG520" t="s">
        <v>74</v>
      </c>
      <c r="BH520" t="s">
        <v>74</v>
      </c>
      <c r="BI520">
        <v>19</v>
      </c>
      <c r="BJ520" t="s">
        <v>378</v>
      </c>
      <c r="BK520" t="s">
        <v>98</v>
      </c>
      <c r="BL520" t="s">
        <v>378</v>
      </c>
      <c r="BM520" t="s">
        <v>9966</v>
      </c>
      <c r="BN520" t="s">
        <v>74</v>
      </c>
      <c r="BO520" t="s">
        <v>607</v>
      </c>
      <c r="BP520" t="s">
        <v>74</v>
      </c>
      <c r="BQ520" t="s">
        <v>74</v>
      </c>
      <c r="BR520" t="s">
        <v>101</v>
      </c>
      <c r="BS520" t="s">
        <v>9967</v>
      </c>
      <c r="BT520" t="str">
        <f>HYPERLINK("https%3A%2F%2Fwww.webofscience.com%2Fwos%2Fwoscc%2Ffull-record%2FWOS:000307793900002","View Full Record in Web of Science")</f>
        <v>View Full Record in Web of Science</v>
      </c>
    </row>
    <row r="521" spans="1:72" x14ac:dyDescent="0.15">
      <c r="A521" t="s">
        <v>72</v>
      </c>
      <c r="B521" t="s">
        <v>9968</v>
      </c>
      <c r="C521" t="s">
        <v>74</v>
      </c>
      <c r="D521" t="s">
        <v>74</v>
      </c>
      <c r="E521" t="s">
        <v>74</v>
      </c>
      <c r="F521" t="s">
        <v>9969</v>
      </c>
      <c r="G521" t="s">
        <v>74</v>
      </c>
      <c r="H521" t="s">
        <v>74</v>
      </c>
      <c r="I521" t="s">
        <v>9970</v>
      </c>
      <c r="J521" t="s">
        <v>9971</v>
      </c>
      <c r="K521" t="s">
        <v>74</v>
      </c>
      <c r="L521" t="s">
        <v>74</v>
      </c>
      <c r="M521" t="s">
        <v>78</v>
      </c>
      <c r="N521" t="s">
        <v>79</v>
      </c>
      <c r="O521" t="s">
        <v>74</v>
      </c>
      <c r="P521" t="s">
        <v>74</v>
      </c>
      <c r="Q521" t="s">
        <v>74</v>
      </c>
      <c r="R521" t="s">
        <v>74</v>
      </c>
      <c r="S521" t="s">
        <v>74</v>
      </c>
      <c r="T521" t="s">
        <v>74</v>
      </c>
      <c r="U521" t="s">
        <v>9972</v>
      </c>
      <c r="V521" t="s">
        <v>9973</v>
      </c>
      <c r="W521" t="s">
        <v>9974</v>
      </c>
      <c r="X521" t="s">
        <v>9975</v>
      </c>
      <c r="Y521" t="s">
        <v>9976</v>
      </c>
      <c r="Z521" t="s">
        <v>9977</v>
      </c>
      <c r="AA521" t="s">
        <v>9978</v>
      </c>
      <c r="AB521" t="s">
        <v>9979</v>
      </c>
      <c r="AC521" t="s">
        <v>9980</v>
      </c>
      <c r="AD521" t="s">
        <v>9980</v>
      </c>
      <c r="AE521" t="s">
        <v>9981</v>
      </c>
      <c r="AF521" t="s">
        <v>74</v>
      </c>
      <c r="AG521">
        <v>28</v>
      </c>
      <c r="AH521">
        <v>91</v>
      </c>
      <c r="AI521">
        <v>92</v>
      </c>
      <c r="AJ521">
        <v>0</v>
      </c>
      <c r="AK521">
        <v>13</v>
      </c>
      <c r="AL521" t="s">
        <v>118</v>
      </c>
      <c r="AM521" t="s">
        <v>119</v>
      </c>
      <c r="AN521" t="s">
        <v>120</v>
      </c>
      <c r="AO521" t="s">
        <v>74</v>
      </c>
      <c r="AP521" t="s">
        <v>9982</v>
      </c>
      <c r="AQ521" t="s">
        <v>74</v>
      </c>
      <c r="AR521" t="s">
        <v>9983</v>
      </c>
      <c r="AS521" t="s">
        <v>9984</v>
      </c>
      <c r="AT521" t="s">
        <v>9985</v>
      </c>
      <c r="AU521">
        <v>2012</v>
      </c>
      <c r="AV521">
        <v>10</v>
      </c>
      <c r="AW521" t="s">
        <v>74</v>
      </c>
      <c r="AX521" t="s">
        <v>74</v>
      </c>
      <c r="AY521" t="s">
        <v>74</v>
      </c>
      <c r="AZ521" t="s">
        <v>74</v>
      </c>
      <c r="BA521" t="s">
        <v>74</v>
      </c>
      <c r="BB521" t="s">
        <v>74</v>
      </c>
      <c r="BC521" t="s">
        <v>74</v>
      </c>
      <c r="BD521" t="s">
        <v>9986</v>
      </c>
      <c r="BE521" t="s">
        <v>9987</v>
      </c>
      <c r="BF521" t="str">
        <f>HYPERLINK("http://dx.doi.org/10.1029/2012SW000806","http://dx.doi.org/10.1029/2012SW000806")</f>
        <v>http://dx.doi.org/10.1029/2012SW000806</v>
      </c>
      <c r="BG521" t="s">
        <v>74</v>
      </c>
      <c r="BH521" t="s">
        <v>74</v>
      </c>
      <c r="BI521">
        <v>13</v>
      </c>
      <c r="BJ521" t="s">
        <v>9988</v>
      </c>
      <c r="BK521" t="s">
        <v>98</v>
      </c>
      <c r="BL521" t="s">
        <v>9988</v>
      </c>
      <c r="BM521" t="s">
        <v>9989</v>
      </c>
      <c r="BN521" t="s">
        <v>74</v>
      </c>
      <c r="BO521" t="s">
        <v>1254</v>
      </c>
      <c r="BP521" t="s">
        <v>74</v>
      </c>
      <c r="BQ521" t="s">
        <v>74</v>
      </c>
      <c r="BR521" t="s">
        <v>101</v>
      </c>
      <c r="BS521" t="s">
        <v>9990</v>
      </c>
      <c r="BT521" t="str">
        <f>HYPERLINK("https%3A%2F%2Fwww.webofscience.com%2Fwos%2Fwoscc%2Ffull-record%2FWOS:000307470800001","View Full Record in Web of Science")</f>
        <v>View Full Record in Web of Science</v>
      </c>
    </row>
    <row r="522" spans="1:72" x14ac:dyDescent="0.15">
      <c r="A522" t="s">
        <v>72</v>
      </c>
      <c r="B522" t="s">
        <v>9991</v>
      </c>
      <c r="C522" t="s">
        <v>74</v>
      </c>
      <c r="D522" t="s">
        <v>74</v>
      </c>
      <c r="E522" t="s">
        <v>74</v>
      </c>
      <c r="F522" t="s">
        <v>9992</v>
      </c>
      <c r="G522" t="s">
        <v>74</v>
      </c>
      <c r="H522" t="s">
        <v>74</v>
      </c>
      <c r="I522" t="s">
        <v>9993</v>
      </c>
      <c r="J522" t="s">
        <v>77</v>
      </c>
      <c r="K522" t="s">
        <v>74</v>
      </c>
      <c r="L522" t="s">
        <v>74</v>
      </c>
      <c r="M522" t="s">
        <v>78</v>
      </c>
      <c r="N522" t="s">
        <v>79</v>
      </c>
      <c r="O522" t="s">
        <v>74</v>
      </c>
      <c r="P522" t="s">
        <v>74</v>
      </c>
      <c r="Q522" t="s">
        <v>74</v>
      </c>
      <c r="R522" t="s">
        <v>74</v>
      </c>
      <c r="S522" t="s">
        <v>74</v>
      </c>
      <c r="T522" t="s">
        <v>9994</v>
      </c>
      <c r="U522" t="s">
        <v>9995</v>
      </c>
      <c r="V522" t="s">
        <v>9996</v>
      </c>
      <c r="W522" t="s">
        <v>9997</v>
      </c>
      <c r="X522" t="s">
        <v>9998</v>
      </c>
      <c r="Y522" t="s">
        <v>9999</v>
      </c>
      <c r="Z522" t="s">
        <v>10000</v>
      </c>
      <c r="AA522" t="s">
        <v>10001</v>
      </c>
      <c r="AB522" t="s">
        <v>74</v>
      </c>
      <c r="AC522" t="s">
        <v>10002</v>
      </c>
      <c r="AD522" t="s">
        <v>10003</v>
      </c>
      <c r="AE522" t="s">
        <v>10004</v>
      </c>
      <c r="AF522" t="s">
        <v>74</v>
      </c>
      <c r="AG522">
        <v>81</v>
      </c>
      <c r="AH522">
        <v>28</v>
      </c>
      <c r="AI522">
        <v>33</v>
      </c>
      <c r="AJ522">
        <v>2</v>
      </c>
      <c r="AK522">
        <v>21</v>
      </c>
      <c r="AL522" t="s">
        <v>89</v>
      </c>
      <c r="AM522" t="s">
        <v>90</v>
      </c>
      <c r="AN522" t="s">
        <v>91</v>
      </c>
      <c r="AO522" t="s">
        <v>92</v>
      </c>
      <c r="AP522" t="s">
        <v>74</v>
      </c>
      <c r="AQ522" t="s">
        <v>74</v>
      </c>
      <c r="AR522" t="s">
        <v>93</v>
      </c>
      <c r="AS522" t="s">
        <v>94</v>
      </c>
      <c r="AT522" t="s">
        <v>10005</v>
      </c>
      <c r="AU522">
        <v>2012</v>
      </c>
      <c r="AV522">
        <v>48</v>
      </c>
      <c r="AW522" t="s">
        <v>74</v>
      </c>
      <c r="AX522" t="s">
        <v>74</v>
      </c>
      <c r="AY522" t="s">
        <v>74</v>
      </c>
      <c r="AZ522" t="s">
        <v>74</v>
      </c>
      <c r="BA522" t="s">
        <v>74</v>
      </c>
      <c r="BB522">
        <v>20</v>
      </c>
      <c r="BC522">
        <v>31</v>
      </c>
      <c r="BD522" t="s">
        <v>74</v>
      </c>
      <c r="BE522" t="s">
        <v>10006</v>
      </c>
      <c r="BF522" t="str">
        <f>HYPERLINK("http://dx.doi.org/10.1016/j.quascirev.2012.05.017","http://dx.doi.org/10.1016/j.quascirev.2012.05.017")</f>
        <v>http://dx.doi.org/10.1016/j.quascirev.2012.05.017</v>
      </c>
      <c r="BG522" t="s">
        <v>74</v>
      </c>
      <c r="BH522" t="s">
        <v>74</v>
      </c>
      <c r="BI522">
        <v>12</v>
      </c>
      <c r="BJ522" t="s">
        <v>97</v>
      </c>
      <c r="BK522" t="s">
        <v>98</v>
      </c>
      <c r="BL522" t="s">
        <v>99</v>
      </c>
      <c r="BM522" t="s">
        <v>10007</v>
      </c>
      <c r="BN522" t="s">
        <v>74</v>
      </c>
      <c r="BO522" t="s">
        <v>74</v>
      </c>
      <c r="BP522" t="s">
        <v>74</v>
      </c>
      <c r="BQ522" t="s">
        <v>74</v>
      </c>
      <c r="BR522" t="s">
        <v>101</v>
      </c>
      <c r="BS522" t="s">
        <v>10008</v>
      </c>
      <c r="BT522" t="str">
        <f>HYPERLINK("https%3A%2F%2Fwww.webofscience.com%2Fwos%2Fwoscc%2Ffull-record%2FWOS:000308052100003","View Full Record in Web of Science")</f>
        <v>View Full Record in Web of Science</v>
      </c>
    </row>
    <row r="523" spans="1:72" x14ac:dyDescent="0.15">
      <c r="A523" t="s">
        <v>72</v>
      </c>
      <c r="B523" t="s">
        <v>10009</v>
      </c>
      <c r="C523" t="s">
        <v>74</v>
      </c>
      <c r="D523" t="s">
        <v>74</v>
      </c>
      <c r="E523" t="s">
        <v>74</v>
      </c>
      <c r="F523" t="s">
        <v>10010</v>
      </c>
      <c r="G523" t="s">
        <v>74</v>
      </c>
      <c r="H523" t="s">
        <v>74</v>
      </c>
      <c r="I523" t="s">
        <v>10011</v>
      </c>
      <c r="J523" t="s">
        <v>77</v>
      </c>
      <c r="K523" t="s">
        <v>74</v>
      </c>
      <c r="L523" t="s">
        <v>74</v>
      </c>
      <c r="M523" t="s">
        <v>78</v>
      </c>
      <c r="N523" t="s">
        <v>79</v>
      </c>
      <c r="O523" t="s">
        <v>74</v>
      </c>
      <c r="P523" t="s">
        <v>74</v>
      </c>
      <c r="Q523" t="s">
        <v>74</v>
      </c>
      <c r="R523" t="s">
        <v>74</v>
      </c>
      <c r="S523" t="s">
        <v>74</v>
      </c>
      <c r="T523" t="s">
        <v>10012</v>
      </c>
      <c r="U523" t="s">
        <v>10013</v>
      </c>
      <c r="V523" t="s">
        <v>10014</v>
      </c>
      <c r="W523" t="s">
        <v>10015</v>
      </c>
      <c r="X523" t="s">
        <v>10016</v>
      </c>
      <c r="Y523" t="s">
        <v>10017</v>
      </c>
      <c r="Z523" t="s">
        <v>10018</v>
      </c>
      <c r="AA523" t="s">
        <v>10019</v>
      </c>
      <c r="AB523" t="s">
        <v>10020</v>
      </c>
      <c r="AC523" t="s">
        <v>10021</v>
      </c>
      <c r="AD523" t="s">
        <v>10022</v>
      </c>
      <c r="AE523" t="s">
        <v>10023</v>
      </c>
      <c r="AF523" t="s">
        <v>74</v>
      </c>
      <c r="AG523">
        <v>111</v>
      </c>
      <c r="AH523">
        <v>238</v>
      </c>
      <c r="AI523">
        <v>258</v>
      </c>
      <c r="AJ523">
        <v>3</v>
      </c>
      <c r="AK523">
        <v>116</v>
      </c>
      <c r="AL523" t="s">
        <v>89</v>
      </c>
      <c r="AM523" t="s">
        <v>90</v>
      </c>
      <c r="AN523" t="s">
        <v>91</v>
      </c>
      <c r="AO523" t="s">
        <v>92</v>
      </c>
      <c r="AP523" t="s">
        <v>10024</v>
      </c>
      <c r="AQ523" t="s">
        <v>74</v>
      </c>
      <c r="AR523" t="s">
        <v>93</v>
      </c>
      <c r="AS523" t="s">
        <v>94</v>
      </c>
      <c r="AT523" t="s">
        <v>10005</v>
      </c>
      <c r="AU523">
        <v>2012</v>
      </c>
      <c r="AV523">
        <v>48</v>
      </c>
      <c r="AW523" t="s">
        <v>74</v>
      </c>
      <c r="AX523" t="s">
        <v>74</v>
      </c>
      <c r="AY523" t="s">
        <v>74</v>
      </c>
      <c r="AZ523" t="s">
        <v>74</v>
      </c>
      <c r="BA523" t="s">
        <v>74</v>
      </c>
      <c r="BB523">
        <v>7</v>
      </c>
      <c r="BC523">
        <v>19</v>
      </c>
      <c r="BD523" t="s">
        <v>74</v>
      </c>
      <c r="BE523" t="s">
        <v>10025</v>
      </c>
      <c r="BF523" t="str">
        <f>HYPERLINK("http://dx.doi.org/10.1016/j.quascirev.2012.05.022","http://dx.doi.org/10.1016/j.quascirev.2012.05.022")</f>
        <v>http://dx.doi.org/10.1016/j.quascirev.2012.05.022</v>
      </c>
      <c r="BG523" t="s">
        <v>74</v>
      </c>
      <c r="BH523" t="s">
        <v>74</v>
      </c>
      <c r="BI523">
        <v>13</v>
      </c>
      <c r="BJ523" t="s">
        <v>97</v>
      </c>
      <c r="BK523" t="s">
        <v>98</v>
      </c>
      <c r="BL523" t="s">
        <v>99</v>
      </c>
      <c r="BM523" t="s">
        <v>10007</v>
      </c>
      <c r="BN523" t="s">
        <v>74</v>
      </c>
      <c r="BO523" t="s">
        <v>74</v>
      </c>
      <c r="BP523" t="s">
        <v>74</v>
      </c>
      <c r="BQ523" t="s">
        <v>74</v>
      </c>
      <c r="BR523" t="s">
        <v>101</v>
      </c>
      <c r="BS523" t="s">
        <v>10026</v>
      </c>
      <c r="BT523" t="str">
        <f>HYPERLINK("https%3A%2F%2Fwww.webofscience.com%2Fwos%2Fwoscc%2Ffull-record%2FWOS:000308052100002","View Full Record in Web of Science")</f>
        <v>View Full Record in Web of Science</v>
      </c>
    </row>
    <row r="524" spans="1:72" x14ac:dyDescent="0.15">
      <c r="A524" t="s">
        <v>72</v>
      </c>
      <c r="B524" t="s">
        <v>10027</v>
      </c>
      <c r="C524" t="s">
        <v>74</v>
      </c>
      <c r="D524" t="s">
        <v>74</v>
      </c>
      <c r="E524" t="s">
        <v>74</v>
      </c>
      <c r="F524" t="s">
        <v>10028</v>
      </c>
      <c r="G524" t="s">
        <v>74</v>
      </c>
      <c r="H524" t="s">
        <v>74</v>
      </c>
      <c r="I524" t="s">
        <v>10029</v>
      </c>
      <c r="J524" t="s">
        <v>77</v>
      </c>
      <c r="K524" t="s">
        <v>74</v>
      </c>
      <c r="L524" t="s">
        <v>74</v>
      </c>
      <c r="M524" t="s">
        <v>78</v>
      </c>
      <c r="N524" t="s">
        <v>79</v>
      </c>
      <c r="O524" t="s">
        <v>74</v>
      </c>
      <c r="P524" t="s">
        <v>74</v>
      </c>
      <c r="Q524" t="s">
        <v>74</v>
      </c>
      <c r="R524" t="s">
        <v>74</v>
      </c>
      <c r="S524" t="s">
        <v>74</v>
      </c>
      <c r="T524" t="s">
        <v>10030</v>
      </c>
      <c r="U524" t="s">
        <v>10031</v>
      </c>
      <c r="V524" t="s">
        <v>10032</v>
      </c>
      <c r="W524" t="s">
        <v>10033</v>
      </c>
      <c r="X524" t="s">
        <v>10034</v>
      </c>
      <c r="Y524" t="s">
        <v>10035</v>
      </c>
      <c r="Z524" t="s">
        <v>10036</v>
      </c>
      <c r="AA524" t="s">
        <v>10037</v>
      </c>
      <c r="AB524" t="s">
        <v>10038</v>
      </c>
      <c r="AC524" t="s">
        <v>10039</v>
      </c>
      <c r="AD524" t="s">
        <v>10040</v>
      </c>
      <c r="AE524" t="s">
        <v>10041</v>
      </c>
      <c r="AF524" t="s">
        <v>74</v>
      </c>
      <c r="AG524">
        <v>109</v>
      </c>
      <c r="AH524">
        <v>27</v>
      </c>
      <c r="AI524">
        <v>27</v>
      </c>
      <c r="AJ524">
        <v>0</v>
      </c>
      <c r="AK524">
        <v>35</v>
      </c>
      <c r="AL524" t="s">
        <v>89</v>
      </c>
      <c r="AM524" t="s">
        <v>90</v>
      </c>
      <c r="AN524" t="s">
        <v>91</v>
      </c>
      <c r="AO524" t="s">
        <v>92</v>
      </c>
      <c r="AP524" t="s">
        <v>74</v>
      </c>
      <c r="AQ524" t="s">
        <v>74</v>
      </c>
      <c r="AR524" t="s">
        <v>93</v>
      </c>
      <c r="AS524" t="s">
        <v>94</v>
      </c>
      <c r="AT524" t="s">
        <v>10005</v>
      </c>
      <c r="AU524">
        <v>2012</v>
      </c>
      <c r="AV524">
        <v>48</v>
      </c>
      <c r="AW524" t="s">
        <v>74</v>
      </c>
      <c r="AX524" t="s">
        <v>74</v>
      </c>
      <c r="AY524" t="s">
        <v>74</v>
      </c>
      <c r="AZ524" t="s">
        <v>74</v>
      </c>
      <c r="BA524" t="s">
        <v>74</v>
      </c>
      <c r="BB524">
        <v>80</v>
      </c>
      <c r="BC524">
        <v>98</v>
      </c>
      <c r="BD524" t="s">
        <v>74</v>
      </c>
      <c r="BE524" t="s">
        <v>10042</v>
      </c>
      <c r="BF524" t="str">
        <f>HYPERLINK("http://dx.doi.org/10.1016/j.quascirev.2012.06.001","http://dx.doi.org/10.1016/j.quascirev.2012.06.001")</f>
        <v>http://dx.doi.org/10.1016/j.quascirev.2012.06.001</v>
      </c>
      <c r="BG524" t="s">
        <v>74</v>
      </c>
      <c r="BH524" t="s">
        <v>74</v>
      </c>
      <c r="BI524">
        <v>19</v>
      </c>
      <c r="BJ524" t="s">
        <v>97</v>
      </c>
      <c r="BK524" t="s">
        <v>98</v>
      </c>
      <c r="BL524" t="s">
        <v>99</v>
      </c>
      <c r="BM524" t="s">
        <v>10007</v>
      </c>
      <c r="BN524" t="s">
        <v>74</v>
      </c>
      <c r="BO524" t="s">
        <v>74</v>
      </c>
      <c r="BP524" t="s">
        <v>74</v>
      </c>
      <c r="BQ524" t="s">
        <v>74</v>
      </c>
      <c r="BR524" t="s">
        <v>101</v>
      </c>
      <c r="BS524" t="s">
        <v>10043</v>
      </c>
      <c r="BT524" t="str">
        <f>HYPERLINK("https%3A%2F%2Fwww.webofscience.com%2Fwos%2Fwoscc%2Ffull-record%2FWOS:000308052100009","View Full Record in Web of Science")</f>
        <v>View Full Record in Web of Science</v>
      </c>
    </row>
    <row r="525" spans="1:72" x14ac:dyDescent="0.15">
      <c r="A525" t="s">
        <v>72</v>
      </c>
      <c r="B525" t="s">
        <v>10044</v>
      </c>
      <c r="C525" t="s">
        <v>74</v>
      </c>
      <c r="D525" t="s">
        <v>74</v>
      </c>
      <c r="E525" t="s">
        <v>74</v>
      </c>
      <c r="F525" t="s">
        <v>10045</v>
      </c>
      <c r="G525" t="s">
        <v>74</v>
      </c>
      <c r="H525" t="s">
        <v>74</v>
      </c>
      <c r="I525" t="s">
        <v>10046</v>
      </c>
      <c r="J525" t="s">
        <v>77</v>
      </c>
      <c r="K525" t="s">
        <v>74</v>
      </c>
      <c r="L525" t="s">
        <v>74</v>
      </c>
      <c r="M525" t="s">
        <v>78</v>
      </c>
      <c r="N525" t="s">
        <v>79</v>
      </c>
      <c r="O525" t="s">
        <v>74</v>
      </c>
      <c r="P525" t="s">
        <v>74</v>
      </c>
      <c r="Q525" t="s">
        <v>74</v>
      </c>
      <c r="R525" t="s">
        <v>74</v>
      </c>
      <c r="S525" t="s">
        <v>74</v>
      </c>
      <c r="T525" t="s">
        <v>10047</v>
      </c>
      <c r="U525" t="s">
        <v>10048</v>
      </c>
      <c r="V525" t="s">
        <v>10049</v>
      </c>
      <c r="W525" t="s">
        <v>10050</v>
      </c>
      <c r="X525" t="s">
        <v>10051</v>
      </c>
      <c r="Y525" t="s">
        <v>10052</v>
      </c>
      <c r="Z525" t="s">
        <v>10053</v>
      </c>
      <c r="AA525" t="s">
        <v>10054</v>
      </c>
      <c r="AB525" t="s">
        <v>10055</v>
      </c>
      <c r="AC525" t="s">
        <v>10056</v>
      </c>
      <c r="AD525" t="s">
        <v>2296</v>
      </c>
      <c r="AE525" t="s">
        <v>74</v>
      </c>
      <c r="AF525" t="s">
        <v>74</v>
      </c>
      <c r="AG525">
        <v>104</v>
      </c>
      <c r="AH525">
        <v>36</v>
      </c>
      <c r="AI525">
        <v>38</v>
      </c>
      <c r="AJ525">
        <v>1</v>
      </c>
      <c r="AK525">
        <v>58</v>
      </c>
      <c r="AL525" t="s">
        <v>89</v>
      </c>
      <c r="AM525" t="s">
        <v>90</v>
      </c>
      <c r="AN525" t="s">
        <v>91</v>
      </c>
      <c r="AO525" t="s">
        <v>92</v>
      </c>
      <c r="AP525" t="s">
        <v>74</v>
      </c>
      <c r="AQ525" t="s">
        <v>74</v>
      </c>
      <c r="AR525" t="s">
        <v>93</v>
      </c>
      <c r="AS525" t="s">
        <v>94</v>
      </c>
      <c r="AT525" t="s">
        <v>10005</v>
      </c>
      <c r="AU525">
        <v>2012</v>
      </c>
      <c r="AV525">
        <v>48</v>
      </c>
      <c r="AW525" t="s">
        <v>74</v>
      </c>
      <c r="AX525" t="s">
        <v>74</v>
      </c>
      <c r="AY525" t="s">
        <v>74</v>
      </c>
      <c r="AZ525" t="s">
        <v>74</v>
      </c>
      <c r="BA525" t="s">
        <v>74</v>
      </c>
      <c r="BB525">
        <v>99</v>
      </c>
      <c r="BC525">
        <v>112</v>
      </c>
      <c r="BD525" t="s">
        <v>74</v>
      </c>
      <c r="BE525" t="s">
        <v>10057</v>
      </c>
      <c r="BF525" t="str">
        <f>HYPERLINK("http://dx.doi.org/10.1016/j.quascirev.2012.05.023","http://dx.doi.org/10.1016/j.quascirev.2012.05.023")</f>
        <v>http://dx.doi.org/10.1016/j.quascirev.2012.05.023</v>
      </c>
      <c r="BG525" t="s">
        <v>74</v>
      </c>
      <c r="BH525" t="s">
        <v>74</v>
      </c>
      <c r="BI525">
        <v>14</v>
      </c>
      <c r="BJ525" t="s">
        <v>97</v>
      </c>
      <c r="BK525" t="s">
        <v>98</v>
      </c>
      <c r="BL525" t="s">
        <v>99</v>
      </c>
      <c r="BM525" t="s">
        <v>10007</v>
      </c>
      <c r="BN525" t="s">
        <v>74</v>
      </c>
      <c r="BO525" t="s">
        <v>74</v>
      </c>
      <c r="BP525" t="s">
        <v>74</v>
      </c>
      <c r="BQ525" t="s">
        <v>74</v>
      </c>
      <c r="BR525" t="s">
        <v>101</v>
      </c>
      <c r="BS525" t="s">
        <v>10058</v>
      </c>
      <c r="BT525" t="str">
        <f>HYPERLINK("https%3A%2F%2Fwww.webofscience.com%2Fwos%2Fwoscc%2Ffull-record%2FWOS:000308052100010","View Full Record in Web of Science")</f>
        <v>View Full Record in Web of Science</v>
      </c>
    </row>
    <row r="526" spans="1:72" x14ac:dyDescent="0.15">
      <c r="A526" t="s">
        <v>72</v>
      </c>
      <c r="B526" t="s">
        <v>10059</v>
      </c>
      <c r="C526" t="s">
        <v>74</v>
      </c>
      <c r="D526" t="s">
        <v>74</v>
      </c>
      <c r="E526" t="s">
        <v>74</v>
      </c>
      <c r="F526" t="s">
        <v>10060</v>
      </c>
      <c r="G526" t="s">
        <v>74</v>
      </c>
      <c r="H526" t="s">
        <v>74</v>
      </c>
      <c r="I526" t="s">
        <v>10061</v>
      </c>
      <c r="J526" t="s">
        <v>539</v>
      </c>
      <c r="K526" t="s">
        <v>74</v>
      </c>
      <c r="L526" t="s">
        <v>74</v>
      </c>
      <c r="M526" t="s">
        <v>78</v>
      </c>
      <c r="N526" t="s">
        <v>79</v>
      </c>
      <c r="O526" t="s">
        <v>74</v>
      </c>
      <c r="P526" t="s">
        <v>74</v>
      </c>
      <c r="Q526" t="s">
        <v>74</v>
      </c>
      <c r="R526" t="s">
        <v>74</v>
      </c>
      <c r="S526" t="s">
        <v>74</v>
      </c>
      <c r="T526" t="s">
        <v>74</v>
      </c>
      <c r="U526" t="s">
        <v>10062</v>
      </c>
      <c r="V526" t="s">
        <v>10063</v>
      </c>
      <c r="W526" t="s">
        <v>10064</v>
      </c>
      <c r="X526" t="s">
        <v>10065</v>
      </c>
      <c r="Y526" t="s">
        <v>10066</v>
      </c>
      <c r="Z526" t="s">
        <v>10067</v>
      </c>
      <c r="AA526" t="s">
        <v>10068</v>
      </c>
      <c r="AB526" t="s">
        <v>10069</v>
      </c>
      <c r="AC526" t="s">
        <v>10070</v>
      </c>
      <c r="AD526" t="s">
        <v>10071</v>
      </c>
      <c r="AE526" t="s">
        <v>10072</v>
      </c>
      <c r="AF526" t="s">
        <v>74</v>
      </c>
      <c r="AG526">
        <v>47</v>
      </c>
      <c r="AH526">
        <v>557</v>
      </c>
      <c r="AI526">
        <v>620</v>
      </c>
      <c r="AJ526">
        <v>12</v>
      </c>
      <c r="AK526">
        <v>331</v>
      </c>
      <c r="AL526" t="s">
        <v>541</v>
      </c>
      <c r="AM526" t="s">
        <v>119</v>
      </c>
      <c r="AN526" t="s">
        <v>542</v>
      </c>
      <c r="AO526" t="s">
        <v>543</v>
      </c>
      <c r="AP526" t="s">
        <v>10073</v>
      </c>
      <c r="AQ526" t="s">
        <v>74</v>
      </c>
      <c r="AR526" t="s">
        <v>539</v>
      </c>
      <c r="AS526" t="s">
        <v>544</v>
      </c>
      <c r="AT526" t="s">
        <v>10005</v>
      </c>
      <c r="AU526">
        <v>2012</v>
      </c>
      <c r="AV526">
        <v>337</v>
      </c>
      <c r="AW526">
        <v>6095</v>
      </c>
      <c r="AX526" t="s">
        <v>74</v>
      </c>
      <c r="AY526" t="s">
        <v>74</v>
      </c>
      <c r="AZ526" t="s">
        <v>74</v>
      </c>
      <c r="BA526" t="s">
        <v>74</v>
      </c>
      <c r="BB526">
        <v>704</v>
      </c>
      <c r="BC526">
        <v>709</v>
      </c>
      <c r="BD526" t="s">
        <v>74</v>
      </c>
      <c r="BE526" t="s">
        <v>10074</v>
      </c>
      <c r="BF526" t="str">
        <f>HYPERLINK("http://dx.doi.org/10.1126/science.1221294","http://dx.doi.org/10.1126/science.1221294")</f>
        <v>http://dx.doi.org/10.1126/science.1221294</v>
      </c>
      <c r="BG526" t="s">
        <v>74</v>
      </c>
      <c r="BH526" t="s">
        <v>74</v>
      </c>
      <c r="BI526">
        <v>6</v>
      </c>
      <c r="BJ526" t="s">
        <v>153</v>
      </c>
      <c r="BK526" t="s">
        <v>98</v>
      </c>
      <c r="BL526" t="s">
        <v>154</v>
      </c>
      <c r="BM526" t="s">
        <v>10075</v>
      </c>
      <c r="BN526">
        <v>22879512</v>
      </c>
      <c r="BO526" t="s">
        <v>74</v>
      </c>
      <c r="BP526" t="s">
        <v>74</v>
      </c>
      <c r="BQ526" t="s">
        <v>74</v>
      </c>
      <c r="BR526" t="s">
        <v>101</v>
      </c>
      <c r="BS526" t="s">
        <v>10076</v>
      </c>
      <c r="BT526" t="str">
        <f>HYPERLINK("https%3A%2F%2Fwww.webofscience.com%2Fwos%2Fwoscc%2Ffull-record%2FWOS:000307354500047","View Full Record in Web of Science")</f>
        <v>View Full Record in Web of Science</v>
      </c>
    </row>
    <row r="527" spans="1:72" x14ac:dyDescent="0.15">
      <c r="A527" t="s">
        <v>72</v>
      </c>
      <c r="B527" t="s">
        <v>10077</v>
      </c>
      <c r="C527" t="s">
        <v>74</v>
      </c>
      <c r="D527" t="s">
        <v>74</v>
      </c>
      <c r="E527" t="s">
        <v>74</v>
      </c>
      <c r="F527" t="s">
        <v>10078</v>
      </c>
      <c r="G527" t="s">
        <v>74</v>
      </c>
      <c r="H527" t="s">
        <v>74</v>
      </c>
      <c r="I527" t="s">
        <v>10079</v>
      </c>
      <c r="J527" t="s">
        <v>3207</v>
      </c>
      <c r="K527" t="s">
        <v>74</v>
      </c>
      <c r="L527" t="s">
        <v>74</v>
      </c>
      <c r="M527" t="s">
        <v>78</v>
      </c>
      <c r="N527" t="s">
        <v>79</v>
      </c>
      <c r="O527" t="s">
        <v>74</v>
      </c>
      <c r="P527" t="s">
        <v>74</v>
      </c>
      <c r="Q527" t="s">
        <v>74</v>
      </c>
      <c r="R527" t="s">
        <v>74</v>
      </c>
      <c r="S527" t="s">
        <v>74</v>
      </c>
      <c r="T527" t="s">
        <v>74</v>
      </c>
      <c r="U527" t="s">
        <v>10080</v>
      </c>
      <c r="V527" t="s">
        <v>10081</v>
      </c>
      <c r="W527" t="s">
        <v>10082</v>
      </c>
      <c r="X527" t="s">
        <v>10083</v>
      </c>
      <c r="Y527" t="s">
        <v>10084</v>
      </c>
      <c r="Z527" t="s">
        <v>10085</v>
      </c>
      <c r="AA527" t="s">
        <v>10086</v>
      </c>
      <c r="AB527" t="s">
        <v>10087</v>
      </c>
      <c r="AC527" t="s">
        <v>10088</v>
      </c>
      <c r="AD527" t="s">
        <v>10089</v>
      </c>
      <c r="AE527" t="s">
        <v>10090</v>
      </c>
      <c r="AF527" t="s">
        <v>74</v>
      </c>
      <c r="AG527">
        <v>40</v>
      </c>
      <c r="AH527">
        <v>20</v>
      </c>
      <c r="AI527">
        <v>21</v>
      </c>
      <c r="AJ527">
        <v>1</v>
      </c>
      <c r="AK527">
        <v>28</v>
      </c>
      <c r="AL527" t="s">
        <v>118</v>
      </c>
      <c r="AM527" t="s">
        <v>119</v>
      </c>
      <c r="AN527" t="s">
        <v>120</v>
      </c>
      <c r="AO527" t="s">
        <v>3219</v>
      </c>
      <c r="AP527" t="s">
        <v>3220</v>
      </c>
      <c r="AQ527" t="s">
        <v>74</v>
      </c>
      <c r="AR527" t="s">
        <v>3221</v>
      </c>
      <c r="AS527" t="s">
        <v>3222</v>
      </c>
      <c r="AT527" t="s">
        <v>10091</v>
      </c>
      <c r="AU527">
        <v>2012</v>
      </c>
      <c r="AV527">
        <v>117</v>
      </c>
      <c r="AW527" t="s">
        <v>74</v>
      </c>
      <c r="AX527" t="s">
        <v>74</v>
      </c>
      <c r="AY527" t="s">
        <v>74</v>
      </c>
      <c r="AZ527" t="s">
        <v>74</v>
      </c>
      <c r="BA527" t="s">
        <v>74</v>
      </c>
      <c r="BB527" t="s">
        <v>74</v>
      </c>
      <c r="BC527" t="s">
        <v>74</v>
      </c>
      <c r="BD527" t="s">
        <v>10092</v>
      </c>
      <c r="BE527" t="s">
        <v>10093</v>
      </c>
      <c r="BF527" t="str">
        <f>HYPERLINK("http://dx.doi.org/10.1029/2011JD017145","http://dx.doi.org/10.1029/2011JD017145")</f>
        <v>http://dx.doi.org/10.1029/2011JD017145</v>
      </c>
      <c r="BG527" t="s">
        <v>74</v>
      </c>
      <c r="BH527" t="s">
        <v>74</v>
      </c>
      <c r="BI527">
        <v>12</v>
      </c>
      <c r="BJ527" t="s">
        <v>378</v>
      </c>
      <c r="BK527" t="s">
        <v>98</v>
      </c>
      <c r="BL527" t="s">
        <v>378</v>
      </c>
      <c r="BM527" t="s">
        <v>10094</v>
      </c>
      <c r="BN527" t="s">
        <v>74</v>
      </c>
      <c r="BO527" t="s">
        <v>1499</v>
      </c>
      <c r="BP527" t="s">
        <v>74</v>
      </c>
      <c r="BQ527" t="s">
        <v>74</v>
      </c>
      <c r="BR527" t="s">
        <v>101</v>
      </c>
      <c r="BS527" t="s">
        <v>10095</v>
      </c>
      <c r="BT527" t="str">
        <f>HYPERLINK("https%3A%2F%2Fwww.webofscience.com%2Fwos%2Fwoscc%2Ffull-record%2FWOS:000307460600002","View Full Record in Web of Science")</f>
        <v>View Full Record in Web of Science</v>
      </c>
    </row>
    <row r="528" spans="1:72" x14ac:dyDescent="0.15">
      <c r="A528" t="s">
        <v>72</v>
      </c>
      <c r="B528" t="s">
        <v>10096</v>
      </c>
      <c r="C528" t="s">
        <v>74</v>
      </c>
      <c r="D528" t="s">
        <v>74</v>
      </c>
      <c r="E528" t="s">
        <v>74</v>
      </c>
      <c r="F528" t="s">
        <v>10097</v>
      </c>
      <c r="G528" t="s">
        <v>74</v>
      </c>
      <c r="H528" t="s">
        <v>74</v>
      </c>
      <c r="I528" t="s">
        <v>10098</v>
      </c>
      <c r="J528" t="s">
        <v>106</v>
      </c>
      <c r="K528" t="s">
        <v>74</v>
      </c>
      <c r="L528" t="s">
        <v>74</v>
      </c>
      <c r="M528" t="s">
        <v>78</v>
      </c>
      <c r="N528" t="s">
        <v>79</v>
      </c>
      <c r="O528" t="s">
        <v>74</v>
      </c>
      <c r="P528" t="s">
        <v>74</v>
      </c>
      <c r="Q528" t="s">
        <v>74</v>
      </c>
      <c r="R528" t="s">
        <v>74</v>
      </c>
      <c r="S528" t="s">
        <v>74</v>
      </c>
      <c r="T528" t="s">
        <v>74</v>
      </c>
      <c r="U528" t="s">
        <v>10099</v>
      </c>
      <c r="V528" t="s">
        <v>10100</v>
      </c>
      <c r="W528" t="s">
        <v>10101</v>
      </c>
      <c r="X528" t="s">
        <v>10102</v>
      </c>
      <c r="Y528" t="s">
        <v>10103</v>
      </c>
      <c r="Z528" t="s">
        <v>10104</v>
      </c>
      <c r="AA528" t="s">
        <v>10105</v>
      </c>
      <c r="AB528" t="s">
        <v>10106</v>
      </c>
      <c r="AC528" t="s">
        <v>10107</v>
      </c>
      <c r="AD528" t="s">
        <v>7239</v>
      </c>
      <c r="AE528" t="s">
        <v>10108</v>
      </c>
      <c r="AF528" t="s">
        <v>74</v>
      </c>
      <c r="AG528">
        <v>31</v>
      </c>
      <c r="AH528">
        <v>13</v>
      </c>
      <c r="AI528">
        <v>14</v>
      </c>
      <c r="AJ528">
        <v>0</v>
      </c>
      <c r="AK528">
        <v>8</v>
      </c>
      <c r="AL528" t="s">
        <v>118</v>
      </c>
      <c r="AM528" t="s">
        <v>119</v>
      </c>
      <c r="AN528" t="s">
        <v>120</v>
      </c>
      <c r="AO528" t="s">
        <v>121</v>
      </c>
      <c r="AP528" t="s">
        <v>122</v>
      </c>
      <c r="AQ528" t="s">
        <v>74</v>
      </c>
      <c r="AR528" t="s">
        <v>123</v>
      </c>
      <c r="AS528" t="s">
        <v>124</v>
      </c>
      <c r="AT528" t="s">
        <v>10091</v>
      </c>
      <c r="AU528">
        <v>2012</v>
      </c>
      <c r="AV528">
        <v>117</v>
      </c>
      <c r="AW528" t="s">
        <v>74</v>
      </c>
      <c r="AX528" t="s">
        <v>74</v>
      </c>
      <c r="AY528" t="s">
        <v>74</v>
      </c>
      <c r="AZ528" t="s">
        <v>74</v>
      </c>
      <c r="BA528" t="s">
        <v>74</v>
      </c>
      <c r="BB528" t="s">
        <v>74</v>
      </c>
      <c r="BC528" t="s">
        <v>74</v>
      </c>
      <c r="BD528" t="s">
        <v>10109</v>
      </c>
      <c r="BE528" t="s">
        <v>10110</v>
      </c>
      <c r="BF528" t="str">
        <f>HYPERLINK("http://dx.doi.org/10.1029/2011JA017478","http://dx.doi.org/10.1029/2011JA017478")</f>
        <v>http://dx.doi.org/10.1029/2011JA017478</v>
      </c>
      <c r="BG528" t="s">
        <v>74</v>
      </c>
      <c r="BH528" t="s">
        <v>74</v>
      </c>
      <c r="BI528">
        <v>6</v>
      </c>
      <c r="BJ528" t="s">
        <v>127</v>
      </c>
      <c r="BK528" t="s">
        <v>98</v>
      </c>
      <c r="BL528" t="s">
        <v>127</v>
      </c>
      <c r="BM528" t="s">
        <v>10111</v>
      </c>
      <c r="BN528" t="s">
        <v>74</v>
      </c>
      <c r="BO528" t="s">
        <v>1458</v>
      </c>
      <c r="BP528" t="s">
        <v>74</v>
      </c>
      <c r="BQ528" t="s">
        <v>74</v>
      </c>
      <c r="BR528" t="s">
        <v>101</v>
      </c>
      <c r="BS528" t="s">
        <v>10112</v>
      </c>
      <c r="BT528" t="str">
        <f>HYPERLINK("https%3A%2F%2Fwww.webofscience.com%2Fwos%2Fwoscc%2Ffull-record%2FWOS:000307459300001","View Full Record in Web of Science")</f>
        <v>View Full Record in Web of Science</v>
      </c>
    </row>
    <row r="529" spans="1:72" x14ac:dyDescent="0.15">
      <c r="A529" t="s">
        <v>72</v>
      </c>
      <c r="B529" t="s">
        <v>10113</v>
      </c>
      <c r="C529" t="s">
        <v>74</v>
      </c>
      <c r="D529" t="s">
        <v>74</v>
      </c>
      <c r="E529" t="s">
        <v>74</v>
      </c>
      <c r="F529" t="s">
        <v>10114</v>
      </c>
      <c r="G529" t="s">
        <v>74</v>
      </c>
      <c r="H529" t="s">
        <v>74</v>
      </c>
      <c r="I529" t="s">
        <v>10115</v>
      </c>
      <c r="J529" t="s">
        <v>3733</v>
      </c>
      <c r="K529" t="s">
        <v>74</v>
      </c>
      <c r="L529" t="s">
        <v>74</v>
      </c>
      <c r="M529" t="s">
        <v>78</v>
      </c>
      <c r="N529" t="s">
        <v>79</v>
      </c>
      <c r="O529" t="s">
        <v>74</v>
      </c>
      <c r="P529" t="s">
        <v>74</v>
      </c>
      <c r="Q529" t="s">
        <v>74</v>
      </c>
      <c r="R529" t="s">
        <v>74</v>
      </c>
      <c r="S529" t="s">
        <v>74</v>
      </c>
      <c r="T529" t="s">
        <v>74</v>
      </c>
      <c r="U529" t="s">
        <v>10116</v>
      </c>
      <c r="V529" t="s">
        <v>10117</v>
      </c>
      <c r="W529" t="s">
        <v>10118</v>
      </c>
      <c r="X529" t="s">
        <v>10119</v>
      </c>
      <c r="Y529" t="s">
        <v>10120</v>
      </c>
      <c r="Z529" t="s">
        <v>10121</v>
      </c>
      <c r="AA529" t="s">
        <v>10122</v>
      </c>
      <c r="AB529" t="s">
        <v>10123</v>
      </c>
      <c r="AC529" t="s">
        <v>10124</v>
      </c>
      <c r="AD529" t="s">
        <v>10125</v>
      </c>
      <c r="AE529" t="s">
        <v>10126</v>
      </c>
      <c r="AF529" t="s">
        <v>74</v>
      </c>
      <c r="AG529">
        <v>93</v>
      </c>
      <c r="AH529">
        <v>15</v>
      </c>
      <c r="AI529">
        <v>16</v>
      </c>
      <c r="AJ529">
        <v>0</v>
      </c>
      <c r="AK529">
        <v>27</v>
      </c>
      <c r="AL529" t="s">
        <v>118</v>
      </c>
      <c r="AM529" t="s">
        <v>119</v>
      </c>
      <c r="AN529" t="s">
        <v>120</v>
      </c>
      <c r="AO529" t="s">
        <v>3745</v>
      </c>
      <c r="AP529" t="s">
        <v>3746</v>
      </c>
      <c r="AQ529" t="s">
        <v>74</v>
      </c>
      <c r="AR529" t="s">
        <v>3733</v>
      </c>
      <c r="AS529" t="s">
        <v>3747</v>
      </c>
      <c r="AT529" t="s">
        <v>10091</v>
      </c>
      <c r="AU529">
        <v>2012</v>
      </c>
      <c r="AV529">
        <v>27</v>
      </c>
      <c r="AW529" t="s">
        <v>74</v>
      </c>
      <c r="AX529" t="s">
        <v>74</v>
      </c>
      <c r="AY529" t="s">
        <v>74</v>
      </c>
      <c r="AZ529" t="s">
        <v>74</v>
      </c>
      <c r="BA529" t="s">
        <v>74</v>
      </c>
      <c r="BB529" t="s">
        <v>74</v>
      </c>
      <c r="BC529" t="s">
        <v>74</v>
      </c>
      <c r="BD529" t="s">
        <v>10127</v>
      </c>
      <c r="BE529" t="s">
        <v>10128</v>
      </c>
      <c r="BF529" t="str">
        <f>HYPERLINK("http://dx.doi.org/10.1029/2012PA002312","http://dx.doi.org/10.1029/2012PA002312")</f>
        <v>http://dx.doi.org/10.1029/2012PA002312</v>
      </c>
      <c r="BG529" t="s">
        <v>74</v>
      </c>
      <c r="BH529" t="s">
        <v>74</v>
      </c>
      <c r="BI529">
        <v>24</v>
      </c>
      <c r="BJ529" t="s">
        <v>3750</v>
      </c>
      <c r="BK529" t="s">
        <v>98</v>
      </c>
      <c r="BL529" t="s">
        <v>3751</v>
      </c>
      <c r="BM529" t="s">
        <v>10129</v>
      </c>
      <c r="BN529" t="s">
        <v>74</v>
      </c>
      <c r="BO529" t="s">
        <v>1458</v>
      </c>
      <c r="BP529" t="s">
        <v>74</v>
      </c>
      <c r="BQ529" t="s">
        <v>74</v>
      </c>
      <c r="BR529" t="s">
        <v>101</v>
      </c>
      <c r="BS529" t="s">
        <v>10130</v>
      </c>
      <c r="BT529" t="str">
        <f>HYPERLINK("https%3A%2F%2Fwww.webofscience.com%2Fwos%2Fwoscc%2Ffull-record%2FWOS:000307460800001","View Full Record in Web of Science")</f>
        <v>View Full Record in Web of Science</v>
      </c>
    </row>
    <row r="530" spans="1:72" x14ac:dyDescent="0.15">
      <c r="A530" t="s">
        <v>72</v>
      </c>
      <c r="B530" t="s">
        <v>10131</v>
      </c>
      <c r="C530" t="s">
        <v>74</v>
      </c>
      <c r="D530" t="s">
        <v>74</v>
      </c>
      <c r="E530" t="s">
        <v>74</v>
      </c>
      <c r="F530" t="s">
        <v>10132</v>
      </c>
      <c r="G530" t="s">
        <v>74</v>
      </c>
      <c r="H530" t="s">
        <v>74</v>
      </c>
      <c r="I530" t="s">
        <v>10133</v>
      </c>
      <c r="J530" t="s">
        <v>106</v>
      </c>
      <c r="K530" t="s">
        <v>74</v>
      </c>
      <c r="L530" t="s">
        <v>74</v>
      </c>
      <c r="M530" t="s">
        <v>78</v>
      </c>
      <c r="N530" t="s">
        <v>79</v>
      </c>
      <c r="O530" t="s">
        <v>74</v>
      </c>
      <c r="P530" t="s">
        <v>74</v>
      </c>
      <c r="Q530" t="s">
        <v>74</v>
      </c>
      <c r="R530" t="s">
        <v>74</v>
      </c>
      <c r="S530" t="s">
        <v>74</v>
      </c>
      <c r="T530" t="s">
        <v>74</v>
      </c>
      <c r="U530" t="s">
        <v>10134</v>
      </c>
      <c r="V530" t="s">
        <v>10135</v>
      </c>
      <c r="W530" t="s">
        <v>10136</v>
      </c>
      <c r="X530" t="s">
        <v>10137</v>
      </c>
      <c r="Y530" t="s">
        <v>10138</v>
      </c>
      <c r="Z530" t="s">
        <v>10139</v>
      </c>
      <c r="AA530" t="s">
        <v>10140</v>
      </c>
      <c r="AB530" t="s">
        <v>10141</v>
      </c>
      <c r="AC530" t="s">
        <v>10142</v>
      </c>
      <c r="AD530" t="s">
        <v>10143</v>
      </c>
      <c r="AE530" t="s">
        <v>10144</v>
      </c>
      <c r="AF530" t="s">
        <v>74</v>
      </c>
      <c r="AG530">
        <v>114</v>
      </c>
      <c r="AH530">
        <v>130</v>
      </c>
      <c r="AI530">
        <v>136</v>
      </c>
      <c r="AJ530">
        <v>0</v>
      </c>
      <c r="AK530">
        <v>16</v>
      </c>
      <c r="AL530" t="s">
        <v>118</v>
      </c>
      <c r="AM530" t="s">
        <v>119</v>
      </c>
      <c r="AN530" t="s">
        <v>120</v>
      </c>
      <c r="AO530" t="s">
        <v>121</v>
      </c>
      <c r="AP530" t="s">
        <v>122</v>
      </c>
      <c r="AQ530" t="s">
        <v>74</v>
      </c>
      <c r="AR530" t="s">
        <v>123</v>
      </c>
      <c r="AS530" t="s">
        <v>124</v>
      </c>
      <c r="AT530" t="s">
        <v>10091</v>
      </c>
      <c r="AU530">
        <v>2012</v>
      </c>
      <c r="AV530">
        <v>117</v>
      </c>
      <c r="AW530" t="s">
        <v>74</v>
      </c>
      <c r="AX530" t="s">
        <v>74</v>
      </c>
      <c r="AY530" t="s">
        <v>74</v>
      </c>
      <c r="AZ530" t="s">
        <v>74</v>
      </c>
      <c r="BA530" t="s">
        <v>74</v>
      </c>
      <c r="BB530" t="s">
        <v>74</v>
      </c>
      <c r="BC530" t="s">
        <v>74</v>
      </c>
      <c r="BD530" t="s">
        <v>10145</v>
      </c>
      <c r="BE530" t="s">
        <v>10146</v>
      </c>
      <c r="BF530" t="str">
        <f>HYPERLINK("http://dx.doi.org/10.1029/2012JA017706","http://dx.doi.org/10.1029/2012JA017706")</f>
        <v>http://dx.doi.org/10.1029/2012JA017706</v>
      </c>
      <c r="BG530" t="s">
        <v>74</v>
      </c>
      <c r="BH530" t="s">
        <v>74</v>
      </c>
      <c r="BI530">
        <v>17</v>
      </c>
      <c r="BJ530" t="s">
        <v>127</v>
      </c>
      <c r="BK530" t="s">
        <v>98</v>
      </c>
      <c r="BL530" t="s">
        <v>127</v>
      </c>
      <c r="BM530" t="s">
        <v>10111</v>
      </c>
      <c r="BN530" t="s">
        <v>74</v>
      </c>
      <c r="BO530" t="s">
        <v>10147</v>
      </c>
      <c r="BP530" t="s">
        <v>74</v>
      </c>
      <c r="BQ530" t="s">
        <v>74</v>
      </c>
      <c r="BR530" t="s">
        <v>101</v>
      </c>
      <c r="BS530" t="s">
        <v>10148</v>
      </c>
      <c r="BT530" t="str">
        <f>HYPERLINK("https%3A%2F%2Fwww.webofscience.com%2Fwos%2Fwoscc%2Ffull-record%2FWOS:000307459300005","View Full Record in Web of Science")</f>
        <v>View Full Record in Web of Science</v>
      </c>
    </row>
    <row r="531" spans="1:72" x14ac:dyDescent="0.15">
      <c r="A531" t="s">
        <v>72</v>
      </c>
      <c r="B531" t="s">
        <v>10149</v>
      </c>
      <c r="C531" t="s">
        <v>74</v>
      </c>
      <c r="D531" t="s">
        <v>74</v>
      </c>
      <c r="E531" t="s">
        <v>74</v>
      </c>
      <c r="F531" t="s">
        <v>10150</v>
      </c>
      <c r="G531" t="s">
        <v>74</v>
      </c>
      <c r="H531" t="s">
        <v>74</v>
      </c>
      <c r="I531" t="s">
        <v>10151</v>
      </c>
      <c r="J531" t="s">
        <v>9971</v>
      </c>
      <c r="K531" t="s">
        <v>74</v>
      </c>
      <c r="L531" t="s">
        <v>74</v>
      </c>
      <c r="M531" t="s">
        <v>78</v>
      </c>
      <c r="N531" t="s">
        <v>2829</v>
      </c>
      <c r="O531" t="s">
        <v>74</v>
      </c>
      <c r="P531" t="s">
        <v>74</v>
      </c>
      <c r="Q531" t="s">
        <v>74</v>
      </c>
      <c r="R531" t="s">
        <v>74</v>
      </c>
      <c r="S531" t="s">
        <v>74</v>
      </c>
      <c r="T531" t="s">
        <v>74</v>
      </c>
      <c r="U531" t="s">
        <v>74</v>
      </c>
      <c r="V531" t="s">
        <v>74</v>
      </c>
      <c r="W531" t="s">
        <v>10152</v>
      </c>
      <c r="X531" t="s">
        <v>636</v>
      </c>
      <c r="Y531" t="s">
        <v>10153</v>
      </c>
      <c r="Z531" t="s">
        <v>10154</v>
      </c>
      <c r="AA531" t="s">
        <v>10155</v>
      </c>
      <c r="AB531" t="s">
        <v>10156</v>
      </c>
      <c r="AC531" t="s">
        <v>3997</v>
      </c>
      <c r="AD531" t="s">
        <v>2296</v>
      </c>
      <c r="AE531" t="s">
        <v>74</v>
      </c>
      <c r="AF531" t="s">
        <v>74</v>
      </c>
      <c r="AG531">
        <v>1</v>
      </c>
      <c r="AH531">
        <v>0</v>
      </c>
      <c r="AI531">
        <v>0</v>
      </c>
      <c r="AJ531">
        <v>0</v>
      </c>
      <c r="AK531">
        <v>4</v>
      </c>
      <c r="AL531" t="s">
        <v>118</v>
      </c>
      <c r="AM531" t="s">
        <v>119</v>
      </c>
      <c r="AN531" t="s">
        <v>120</v>
      </c>
      <c r="AO531" t="s">
        <v>10157</v>
      </c>
      <c r="AP531" t="s">
        <v>74</v>
      </c>
      <c r="AQ531" t="s">
        <v>74</v>
      </c>
      <c r="AR531" t="s">
        <v>9983</v>
      </c>
      <c r="AS531" t="s">
        <v>9984</v>
      </c>
      <c r="AT531" t="s">
        <v>10091</v>
      </c>
      <c r="AU531">
        <v>2012</v>
      </c>
      <c r="AV531">
        <v>10</v>
      </c>
      <c r="AW531" t="s">
        <v>74</v>
      </c>
      <c r="AX531" t="s">
        <v>74</v>
      </c>
      <c r="AY531" t="s">
        <v>74</v>
      </c>
      <c r="AZ531" t="s">
        <v>74</v>
      </c>
      <c r="BA531" t="s">
        <v>74</v>
      </c>
      <c r="BB531" t="s">
        <v>74</v>
      </c>
      <c r="BC531" t="s">
        <v>74</v>
      </c>
      <c r="BD531" t="s">
        <v>10158</v>
      </c>
      <c r="BE531" t="s">
        <v>10159</v>
      </c>
      <c r="BF531" t="str">
        <f>HYPERLINK("http://dx.doi.org/10.1029/2012SW000808","http://dx.doi.org/10.1029/2012SW000808")</f>
        <v>http://dx.doi.org/10.1029/2012SW000808</v>
      </c>
      <c r="BG531" t="s">
        <v>74</v>
      </c>
      <c r="BH531" t="s">
        <v>74</v>
      </c>
      <c r="BI531">
        <v>1</v>
      </c>
      <c r="BJ531" t="s">
        <v>9988</v>
      </c>
      <c r="BK531" t="s">
        <v>98</v>
      </c>
      <c r="BL531" t="s">
        <v>9988</v>
      </c>
      <c r="BM531" t="s">
        <v>10160</v>
      </c>
      <c r="BN531" t="s">
        <v>74</v>
      </c>
      <c r="BO531" t="s">
        <v>416</v>
      </c>
      <c r="BP531" t="s">
        <v>74</v>
      </c>
      <c r="BQ531" t="s">
        <v>74</v>
      </c>
      <c r="BR531" t="s">
        <v>101</v>
      </c>
      <c r="BS531" t="s">
        <v>10161</v>
      </c>
      <c r="BT531" t="str">
        <f>HYPERLINK("https%3A%2F%2Fwww.webofscience.com%2Fwos%2Fwoscc%2Ffull-record%2FWOS:000307470600001","View Full Record in Web of Science")</f>
        <v>View Full Record in Web of Science</v>
      </c>
    </row>
    <row r="532" spans="1:72" x14ac:dyDescent="0.15">
      <c r="A532" t="s">
        <v>72</v>
      </c>
      <c r="B532" t="s">
        <v>10162</v>
      </c>
      <c r="C532" t="s">
        <v>74</v>
      </c>
      <c r="D532" t="s">
        <v>74</v>
      </c>
      <c r="E532" t="s">
        <v>74</v>
      </c>
      <c r="F532" t="s">
        <v>10163</v>
      </c>
      <c r="G532" t="s">
        <v>74</v>
      </c>
      <c r="H532" t="s">
        <v>74</v>
      </c>
      <c r="I532" t="s">
        <v>10164</v>
      </c>
      <c r="J532" t="s">
        <v>9781</v>
      </c>
      <c r="K532" t="s">
        <v>74</v>
      </c>
      <c r="L532" t="s">
        <v>74</v>
      </c>
      <c r="M532" t="s">
        <v>78</v>
      </c>
      <c r="N532" t="s">
        <v>79</v>
      </c>
      <c r="O532" t="s">
        <v>74</v>
      </c>
      <c r="P532" t="s">
        <v>74</v>
      </c>
      <c r="Q532" t="s">
        <v>74</v>
      </c>
      <c r="R532" t="s">
        <v>74</v>
      </c>
      <c r="S532" t="s">
        <v>74</v>
      </c>
      <c r="T532" t="s">
        <v>10165</v>
      </c>
      <c r="U532" t="s">
        <v>10166</v>
      </c>
      <c r="V532" t="s">
        <v>10167</v>
      </c>
      <c r="W532" t="s">
        <v>10168</v>
      </c>
      <c r="X532" t="s">
        <v>10169</v>
      </c>
      <c r="Y532" t="s">
        <v>10170</v>
      </c>
      <c r="Z532" t="s">
        <v>10171</v>
      </c>
      <c r="AA532" t="s">
        <v>10172</v>
      </c>
      <c r="AB532" t="s">
        <v>10173</v>
      </c>
      <c r="AC532" t="s">
        <v>10174</v>
      </c>
      <c r="AD532" t="s">
        <v>10175</v>
      </c>
      <c r="AE532" t="s">
        <v>10176</v>
      </c>
      <c r="AF532" t="s">
        <v>74</v>
      </c>
      <c r="AG532">
        <v>138</v>
      </c>
      <c r="AH532">
        <v>51</v>
      </c>
      <c r="AI532">
        <v>56</v>
      </c>
      <c r="AJ532">
        <v>3</v>
      </c>
      <c r="AK532">
        <v>44</v>
      </c>
      <c r="AL532" t="s">
        <v>3402</v>
      </c>
      <c r="AM532" t="s">
        <v>434</v>
      </c>
      <c r="AN532" t="s">
        <v>3403</v>
      </c>
      <c r="AO532" t="s">
        <v>9794</v>
      </c>
      <c r="AP532" t="s">
        <v>74</v>
      </c>
      <c r="AQ532" t="s">
        <v>74</v>
      </c>
      <c r="AR532" t="s">
        <v>9795</v>
      </c>
      <c r="AS532" t="s">
        <v>9796</v>
      </c>
      <c r="AT532" t="s">
        <v>10177</v>
      </c>
      <c r="AU532">
        <v>2012</v>
      </c>
      <c r="AV532">
        <v>12</v>
      </c>
      <c r="AW532" t="s">
        <v>74</v>
      </c>
      <c r="AX532" t="s">
        <v>74</v>
      </c>
      <c r="AY532" t="s">
        <v>74</v>
      </c>
      <c r="AZ532" t="s">
        <v>74</v>
      </c>
      <c r="BA532" t="s">
        <v>74</v>
      </c>
      <c r="BB532" t="s">
        <v>74</v>
      </c>
      <c r="BC532" t="s">
        <v>74</v>
      </c>
      <c r="BD532">
        <v>139</v>
      </c>
      <c r="BE532" t="s">
        <v>10178</v>
      </c>
      <c r="BF532" t="str">
        <f>HYPERLINK("http://dx.doi.org/10.1186/1471-2148-12-139","http://dx.doi.org/10.1186/1471-2148-12-139")</f>
        <v>http://dx.doi.org/10.1186/1471-2148-12-139</v>
      </c>
      <c r="BG532" t="s">
        <v>74</v>
      </c>
      <c r="BH532" t="s">
        <v>74</v>
      </c>
      <c r="BI532">
        <v>16</v>
      </c>
      <c r="BJ532" t="s">
        <v>9798</v>
      </c>
      <c r="BK532" t="s">
        <v>98</v>
      </c>
      <c r="BL532" t="s">
        <v>9798</v>
      </c>
      <c r="BM532" t="s">
        <v>10179</v>
      </c>
      <c r="BN532">
        <v>22871029</v>
      </c>
      <c r="BO532" t="s">
        <v>777</v>
      </c>
      <c r="BP532" t="s">
        <v>74</v>
      </c>
      <c r="BQ532" t="s">
        <v>74</v>
      </c>
      <c r="BR532" t="s">
        <v>101</v>
      </c>
      <c r="BS532" t="s">
        <v>10180</v>
      </c>
      <c r="BT532" t="str">
        <f>HYPERLINK("https%3A%2F%2Fwww.webofscience.com%2Fwos%2Fwoscc%2Ffull-record%2FWOS:000315453900001","View Full Record in Web of Science")</f>
        <v>View Full Record in Web of Science</v>
      </c>
    </row>
    <row r="533" spans="1:72" x14ac:dyDescent="0.15">
      <c r="A533" t="s">
        <v>72</v>
      </c>
      <c r="B533" t="s">
        <v>10181</v>
      </c>
      <c r="C533" t="s">
        <v>74</v>
      </c>
      <c r="D533" t="s">
        <v>74</v>
      </c>
      <c r="E533" t="s">
        <v>74</v>
      </c>
      <c r="F533" t="s">
        <v>10182</v>
      </c>
      <c r="G533" t="s">
        <v>74</v>
      </c>
      <c r="H533" t="s">
        <v>74</v>
      </c>
      <c r="I533" t="s">
        <v>10183</v>
      </c>
      <c r="J533" t="s">
        <v>10184</v>
      </c>
      <c r="K533" t="s">
        <v>74</v>
      </c>
      <c r="L533" t="s">
        <v>74</v>
      </c>
      <c r="M533" t="s">
        <v>78</v>
      </c>
      <c r="N533" t="s">
        <v>79</v>
      </c>
      <c r="O533" t="s">
        <v>74</v>
      </c>
      <c r="P533" t="s">
        <v>74</v>
      </c>
      <c r="Q533" t="s">
        <v>74</v>
      </c>
      <c r="R533" t="s">
        <v>74</v>
      </c>
      <c r="S533" t="s">
        <v>74</v>
      </c>
      <c r="T533" t="s">
        <v>74</v>
      </c>
      <c r="U533" t="s">
        <v>10185</v>
      </c>
      <c r="V533" t="s">
        <v>10186</v>
      </c>
      <c r="W533" t="s">
        <v>10187</v>
      </c>
      <c r="X533" t="s">
        <v>3103</v>
      </c>
      <c r="Y533" t="s">
        <v>10188</v>
      </c>
      <c r="Z533" t="s">
        <v>10189</v>
      </c>
      <c r="AA533" t="s">
        <v>10190</v>
      </c>
      <c r="AB533" t="s">
        <v>10191</v>
      </c>
      <c r="AC533" t="s">
        <v>10192</v>
      </c>
      <c r="AD533" t="s">
        <v>10193</v>
      </c>
      <c r="AE533" t="s">
        <v>10194</v>
      </c>
      <c r="AF533" t="s">
        <v>74</v>
      </c>
      <c r="AG533">
        <v>32</v>
      </c>
      <c r="AH533">
        <v>19</v>
      </c>
      <c r="AI533">
        <v>25</v>
      </c>
      <c r="AJ533">
        <v>0</v>
      </c>
      <c r="AK533">
        <v>29</v>
      </c>
      <c r="AL533" t="s">
        <v>741</v>
      </c>
      <c r="AM533" t="s">
        <v>119</v>
      </c>
      <c r="AN533" t="s">
        <v>742</v>
      </c>
      <c r="AO533" t="s">
        <v>10195</v>
      </c>
      <c r="AP533" t="s">
        <v>74</v>
      </c>
      <c r="AQ533" t="s">
        <v>74</v>
      </c>
      <c r="AR533" t="s">
        <v>10196</v>
      </c>
      <c r="AS533" t="s">
        <v>10197</v>
      </c>
      <c r="AT533" t="s">
        <v>10177</v>
      </c>
      <c r="AU533">
        <v>2012</v>
      </c>
      <c r="AV533">
        <v>84</v>
      </c>
      <c r="AW533">
        <v>15</v>
      </c>
      <c r="AX533" t="s">
        <v>74</v>
      </c>
      <c r="AY533" t="s">
        <v>74</v>
      </c>
      <c r="AZ533" t="s">
        <v>74</v>
      </c>
      <c r="BA533" t="s">
        <v>74</v>
      </c>
      <c r="BB533">
        <v>6501</v>
      </c>
      <c r="BC533">
        <v>6507</v>
      </c>
      <c r="BD533" t="s">
        <v>74</v>
      </c>
      <c r="BE533" t="s">
        <v>10198</v>
      </c>
      <c r="BF533" t="str">
        <f>HYPERLINK("http://dx.doi.org/10.1021/ac300664h","http://dx.doi.org/10.1021/ac300664h")</f>
        <v>http://dx.doi.org/10.1021/ac300664h</v>
      </c>
      <c r="BG533" t="s">
        <v>74</v>
      </c>
      <c r="BH533" t="s">
        <v>74</v>
      </c>
      <c r="BI533">
        <v>7</v>
      </c>
      <c r="BJ533" t="s">
        <v>10199</v>
      </c>
      <c r="BK533" t="s">
        <v>98</v>
      </c>
      <c r="BL533" t="s">
        <v>801</v>
      </c>
      <c r="BM533" t="s">
        <v>10200</v>
      </c>
      <c r="BN533">
        <v>22788980</v>
      </c>
      <c r="BO533" t="s">
        <v>74</v>
      </c>
      <c r="BP533" t="s">
        <v>74</v>
      </c>
      <c r="BQ533" t="s">
        <v>74</v>
      </c>
      <c r="BR533" t="s">
        <v>101</v>
      </c>
      <c r="BS533" t="s">
        <v>10201</v>
      </c>
      <c r="BT533" t="str">
        <f>HYPERLINK("https%3A%2F%2Fwww.webofscience.com%2Fwos%2Fwoscc%2Ffull-record%2FWOS:000307159200037","View Full Record in Web of Science")</f>
        <v>View Full Record in Web of Science</v>
      </c>
    </row>
    <row r="534" spans="1:72" x14ac:dyDescent="0.15">
      <c r="A534" t="s">
        <v>72</v>
      </c>
      <c r="B534" t="s">
        <v>10202</v>
      </c>
      <c r="C534" t="s">
        <v>74</v>
      </c>
      <c r="D534" t="s">
        <v>74</v>
      </c>
      <c r="E534" t="s">
        <v>74</v>
      </c>
      <c r="F534" t="s">
        <v>10203</v>
      </c>
      <c r="G534" t="s">
        <v>74</v>
      </c>
      <c r="H534" t="s">
        <v>74</v>
      </c>
      <c r="I534" t="s">
        <v>10204</v>
      </c>
      <c r="J534" t="s">
        <v>3733</v>
      </c>
      <c r="K534" t="s">
        <v>74</v>
      </c>
      <c r="L534" t="s">
        <v>74</v>
      </c>
      <c r="M534" t="s">
        <v>78</v>
      </c>
      <c r="N534" t="s">
        <v>79</v>
      </c>
      <c r="O534" t="s">
        <v>74</v>
      </c>
      <c r="P534" t="s">
        <v>74</v>
      </c>
      <c r="Q534" t="s">
        <v>74</v>
      </c>
      <c r="R534" t="s">
        <v>74</v>
      </c>
      <c r="S534" t="s">
        <v>74</v>
      </c>
      <c r="T534" t="s">
        <v>74</v>
      </c>
      <c r="U534" t="s">
        <v>10205</v>
      </c>
      <c r="V534" t="s">
        <v>10206</v>
      </c>
      <c r="W534" t="s">
        <v>10207</v>
      </c>
      <c r="X534" t="s">
        <v>10208</v>
      </c>
      <c r="Y534" t="s">
        <v>10209</v>
      </c>
      <c r="Z534" t="s">
        <v>10210</v>
      </c>
      <c r="AA534" t="s">
        <v>10211</v>
      </c>
      <c r="AB534" t="s">
        <v>10212</v>
      </c>
      <c r="AC534" t="s">
        <v>10213</v>
      </c>
      <c r="AD534" t="s">
        <v>10214</v>
      </c>
      <c r="AE534" t="s">
        <v>10215</v>
      </c>
      <c r="AF534" t="s">
        <v>74</v>
      </c>
      <c r="AG534">
        <v>66</v>
      </c>
      <c r="AH534">
        <v>21</v>
      </c>
      <c r="AI534">
        <v>21</v>
      </c>
      <c r="AJ534">
        <v>0</v>
      </c>
      <c r="AK534">
        <v>34</v>
      </c>
      <c r="AL534" t="s">
        <v>118</v>
      </c>
      <c r="AM534" t="s">
        <v>119</v>
      </c>
      <c r="AN534" t="s">
        <v>120</v>
      </c>
      <c r="AO534" t="s">
        <v>3745</v>
      </c>
      <c r="AP534" t="s">
        <v>74</v>
      </c>
      <c r="AQ534" t="s">
        <v>74</v>
      </c>
      <c r="AR534" t="s">
        <v>3733</v>
      </c>
      <c r="AS534" t="s">
        <v>3747</v>
      </c>
      <c r="AT534" t="s">
        <v>10216</v>
      </c>
      <c r="AU534">
        <v>2012</v>
      </c>
      <c r="AV534">
        <v>27</v>
      </c>
      <c r="AW534" t="s">
        <v>74</v>
      </c>
      <c r="AX534" t="s">
        <v>74</v>
      </c>
      <c r="AY534" t="s">
        <v>74</v>
      </c>
      <c r="AZ534" t="s">
        <v>74</v>
      </c>
      <c r="BA534" t="s">
        <v>74</v>
      </c>
      <c r="BB534" t="s">
        <v>74</v>
      </c>
      <c r="BC534" t="s">
        <v>74</v>
      </c>
      <c r="BD534" t="s">
        <v>10217</v>
      </c>
      <c r="BE534" t="s">
        <v>10218</v>
      </c>
      <c r="BF534" t="str">
        <f>HYPERLINK("http://dx.doi.org/10.1029/2012PA002297","http://dx.doi.org/10.1029/2012PA002297")</f>
        <v>http://dx.doi.org/10.1029/2012PA002297</v>
      </c>
      <c r="BG534" t="s">
        <v>74</v>
      </c>
      <c r="BH534" t="s">
        <v>74</v>
      </c>
      <c r="BI534">
        <v>16</v>
      </c>
      <c r="BJ534" t="s">
        <v>3750</v>
      </c>
      <c r="BK534" t="s">
        <v>98</v>
      </c>
      <c r="BL534" t="s">
        <v>3751</v>
      </c>
      <c r="BM534" t="s">
        <v>10219</v>
      </c>
      <c r="BN534" t="s">
        <v>74</v>
      </c>
      <c r="BO534" t="s">
        <v>129</v>
      </c>
      <c r="BP534" t="s">
        <v>74</v>
      </c>
      <c r="BQ534" t="s">
        <v>74</v>
      </c>
      <c r="BR534" t="s">
        <v>101</v>
      </c>
      <c r="BS534" t="s">
        <v>10220</v>
      </c>
      <c r="BT534" t="str">
        <f>HYPERLINK("https%3A%2F%2Fwww.webofscience.com%2Fwos%2Fwoscc%2Ffull-record%2FWOS:000307181900001","View Full Record in Web of Science")</f>
        <v>View Full Record in Web of Science</v>
      </c>
    </row>
    <row r="535" spans="1:72" x14ac:dyDescent="0.15">
      <c r="A535" t="s">
        <v>72</v>
      </c>
      <c r="B535" t="s">
        <v>10221</v>
      </c>
      <c r="C535" t="s">
        <v>74</v>
      </c>
      <c r="D535" t="s">
        <v>74</v>
      </c>
      <c r="E535" t="s">
        <v>74</v>
      </c>
      <c r="F535" t="s">
        <v>10222</v>
      </c>
      <c r="G535" t="s">
        <v>74</v>
      </c>
      <c r="H535" t="s">
        <v>74</v>
      </c>
      <c r="I535" t="s">
        <v>10223</v>
      </c>
      <c r="J535" t="s">
        <v>444</v>
      </c>
      <c r="K535" t="s">
        <v>74</v>
      </c>
      <c r="L535" t="s">
        <v>74</v>
      </c>
      <c r="M535" t="s">
        <v>78</v>
      </c>
      <c r="N535" t="s">
        <v>79</v>
      </c>
      <c r="O535" t="s">
        <v>74</v>
      </c>
      <c r="P535" t="s">
        <v>74</v>
      </c>
      <c r="Q535" t="s">
        <v>74</v>
      </c>
      <c r="R535" t="s">
        <v>74</v>
      </c>
      <c r="S535" t="s">
        <v>74</v>
      </c>
      <c r="T535" t="s">
        <v>74</v>
      </c>
      <c r="U535" t="s">
        <v>10224</v>
      </c>
      <c r="V535" t="s">
        <v>10225</v>
      </c>
      <c r="W535" t="s">
        <v>10226</v>
      </c>
      <c r="X535" t="s">
        <v>10227</v>
      </c>
      <c r="Y535" t="s">
        <v>10228</v>
      </c>
      <c r="Z535" t="s">
        <v>10229</v>
      </c>
      <c r="AA535" t="s">
        <v>10230</v>
      </c>
      <c r="AB535" t="s">
        <v>10231</v>
      </c>
      <c r="AC535" t="s">
        <v>10232</v>
      </c>
      <c r="AD535" t="s">
        <v>10233</v>
      </c>
      <c r="AE535" t="s">
        <v>10234</v>
      </c>
      <c r="AF535" t="s">
        <v>74</v>
      </c>
      <c r="AG535">
        <v>53</v>
      </c>
      <c r="AH535">
        <v>32</v>
      </c>
      <c r="AI535">
        <v>37</v>
      </c>
      <c r="AJ535">
        <v>1</v>
      </c>
      <c r="AK535">
        <v>36</v>
      </c>
      <c r="AL535" t="s">
        <v>118</v>
      </c>
      <c r="AM535" t="s">
        <v>119</v>
      </c>
      <c r="AN535" t="s">
        <v>120</v>
      </c>
      <c r="AO535" t="s">
        <v>454</v>
      </c>
      <c r="AP535" t="s">
        <v>455</v>
      </c>
      <c r="AQ535" t="s">
        <v>74</v>
      </c>
      <c r="AR535" t="s">
        <v>456</v>
      </c>
      <c r="AS535" t="s">
        <v>457</v>
      </c>
      <c r="AT535" t="s">
        <v>10216</v>
      </c>
      <c r="AU535">
        <v>2012</v>
      </c>
      <c r="AV535">
        <v>39</v>
      </c>
      <c r="AW535" t="s">
        <v>74</v>
      </c>
      <c r="AX535" t="s">
        <v>74</v>
      </c>
      <c r="AY535" t="s">
        <v>74</v>
      </c>
      <c r="AZ535" t="s">
        <v>74</v>
      </c>
      <c r="BA535" t="s">
        <v>74</v>
      </c>
      <c r="BB535" t="s">
        <v>74</v>
      </c>
      <c r="BC535" t="s">
        <v>74</v>
      </c>
      <c r="BD535" t="s">
        <v>10235</v>
      </c>
      <c r="BE535" t="s">
        <v>10236</v>
      </c>
      <c r="BF535" t="str">
        <f>HYPERLINK("http://dx.doi.org/10.1029/2012GL052656","http://dx.doi.org/10.1029/2012GL052656")</f>
        <v>http://dx.doi.org/10.1029/2012GL052656</v>
      </c>
      <c r="BG535" t="s">
        <v>74</v>
      </c>
      <c r="BH535" t="s">
        <v>74</v>
      </c>
      <c r="BI535">
        <v>8</v>
      </c>
      <c r="BJ535" t="s">
        <v>461</v>
      </c>
      <c r="BK535" t="s">
        <v>98</v>
      </c>
      <c r="BL535" t="s">
        <v>462</v>
      </c>
      <c r="BM535" t="s">
        <v>10237</v>
      </c>
      <c r="BN535" t="s">
        <v>74</v>
      </c>
      <c r="BO535" t="s">
        <v>10238</v>
      </c>
      <c r="BP535" t="s">
        <v>74</v>
      </c>
      <c r="BQ535" t="s">
        <v>74</v>
      </c>
      <c r="BR535" t="s">
        <v>101</v>
      </c>
      <c r="BS535" t="s">
        <v>10239</v>
      </c>
      <c r="BT535" t="str">
        <f>HYPERLINK("https%3A%2F%2Fwww.webofscience.com%2Fwos%2Fwoscc%2Ffull-record%2FWOS:000307474900003","View Full Record in Web of Science")</f>
        <v>View Full Record in Web of Science</v>
      </c>
    </row>
    <row r="536" spans="1:72" x14ac:dyDescent="0.15">
      <c r="A536" t="s">
        <v>72</v>
      </c>
      <c r="B536" t="s">
        <v>10240</v>
      </c>
      <c r="C536" t="s">
        <v>74</v>
      </c>
      <c r="D536" t="s">
        <v>74</v>
      </c>
      <c r="E536" t="s">
        <v>74</v>
      </c>
      <c r="F536" t="s">
        <v>10241</v>
      </c>
      <c r="G536" t="s">
        <v>74</v>
      </c>
      <c r="H536" t="s">
        <v>74</v>
      </c>
      <c r="I536" t="s">
        <v>10242</v>
      </c>
      <c r="J536" t="s">
        <v>444</v>
      </c>
      <c r="K536" t="s">
        <v>74</v>
      </c>
      <c r="L536" t="s">
        <v>74</v>
      </c>
      <c r="M536" t="s">
        <v>78</v>
      </c>
      <c r="N536" t="s">
        <v>79</v>
      </c>
      <c r="O536" t="s">
        <v>74</v>
      </c>
      <c r="P536" t="s">
        <v>74</v>
      </c>
      <c r="Q536" t="s">
        <v>74</v>
      </c>
      <c r="R536" t="s">
        <v>74</v>
      </c>
      <c r="S536" t="s">
        <v>74</v>
      </c>
      <c r="T536" t="s">
        <v>74</v>
      </c>
      <c r="U536" t="s">
        <v>10243</v>
      </c>
      <c r="V536" t="s">
        <v>10244</v>
      </c>
      <c r="W536" t="s">
        <v>10245</v>
      </c>
      <c r="X536" t="s">
        <v>10246</v>
      </c>
      <c r="Y536" t="s">
        <v>10247</v>
      </c>
      <c r="Z536" t="s">
        <v>10248</v>
      </c>
      <c r="AA536" t="s">
        <v>10249</v>
      </c>
      <c r="AB536" t="s">
        <v>10250</v>
      </c>
      <c r="AC536" t="s">
        <v>10251</v>
      </c>
      <c r="AD536" t="s">
        <v>10251</v>
      </c>
      <c r="AE536" t="s">
        <v>10252</v>
      </c>
      <c r="AF536" t="s">
        <v>74</v>
      </c>
      <c r="AG536">
        <v>33</v>
      </c>
      <c r="AH536">
        <v>93</v>
      </c>
      <c r="AI536">
        <v>103</v>
      </c>
      <c r="AJ536">
        <v>0</v>
      </c>
      <c r="AK536">
        <v>23</v>
      </c>
      <c r="AL536" t="s">
        <v>118</v>
      </c>
      <c r="AM536" t="s">
        <v>119</v>
      </c>
      <c r="AN536" t="s">
        <v>120</v>
      </c>
      <c r="AO536" t="s">
        <v>454</v>
      </c>
      <c r="AP536" t="s">
        <v>74</v>
      </c>
      <c r="AQ536" t="s">
        <v>74</v>
      </c>
      <c r="AR536" t="s">
        <v>456</v>
      </c>
      <c r="AS536" t="s">
        <v>457</v>
      </c>
      <c r="AT536" t="s">
        <v>10253</v>
      </c>
      <c r="AU536">
        <v>2012</v>
      </c>
      <c r="AV536">
        <v>39</v>
      </c>
      <c r="AW536" t="s">
        <v>74</v>
      </c>
      <c r="AX536" t="s">
        <v>74</v>
      </c>
      <c r="AY536" t="s">
        <v>74</v>
      </c>
      <c r="AZ536" t="s">
        <v>74</v>
      </c>
      <c r="BA536" t="s">
        <v>74</v>
      </c>
      <c r="BB536" t="s">
        <v>74</v>
      </c>
      <c r="BC536" t="s">
        <v>74</v>
      </c>
      <c r="BD536" t="s">
        <v>10254</v>
      </c>
      <c r="BE536" t="s">
        <v>10255</v>
      </c>
      <c r="BF536" t="str">
        <f>HYPERLINK("http://dx.doi.org/10.1029/2012GL052387","http://dx.doi.org/10.1029/2012GL052387")</f>
        <v>http://dx.doi.org/10.1029/2012GL052387</v>
      </c>
      <c r="BG536" t="s">
        <v>74</v>
      </c>
      <c r="BH536" t="s">
        <v>74</v>
      </c>
      <c r="BI536">
        <v>6</v>
      </c>
      <c r="BJ536" t="s">
        <v>461</v>
      </c>
      <c r="BK536" t="s">
        <v>98</v>
      </c>
      <c r="BL536" t="s">
        <v>462</v>
      </c>
      <c r="BM536" t="s">
        <v>10256</v>
      </c>
      <c r="BN536" t="s">
        <v>74</v>
      </c>
      <c r="BO536" t="s">
        <v>1458</v>
      </c>
      <c r="BP536" t="s">
        <v>74</v>
      </c>
      <c r="BQ536" t="s">
        <v>74</v>
      </c>
      <c r="BR536" t="s">
        <v>101</v>
      </c>
      <c r="BS536" t="s">
        <v>10257</v>
      </c>
      <c r="BT536" t="str">
        <f>HYPERLINK("https%3A%2F%2Fwww.webofscience.com%2Fwos%2Fwoscc%2Ffull-record%2FWOS:000307474500003","View Full Record in Web of Science")</f>
        <v>View Full Record in Web of Science</v>
      </c>
    </row>
    <row r="537" spans="1:72" x14ac:dyDescent="0.15">
      <c r="A537" t="s">
        <v>72</v>
      </c>
      <c r="B537" t="s">
        <v>10258</v>
      </c>
      <c r="C537" t="s">
        <v>74</v>
      </c>
      <c r="D537" t="s">
        <v>74</v>
      </c>
      <c r="E537" t="s">
        <v>74</v>
      </c>
      <c r="F537" t="s">
        <v>10259</v>
      </c>
      <c r="G537" t="s">
        <v>74</v>
      </c>
      <c r="H537" t="s">
        <v>74</v>
      </c>
      <c r="I537" t="s">
        <v>10260</v>
      </c>
      <c r="J537" t="s">
        <v>551</v>
      </c>
      <c r="K537" t="s">
        <v>74</v>
      </c>
      <c r="L537" t="s">
        <v>74</v>
      </c>
      <c r="M537" t="s">
        <v>78</v>
      </c>
      <c r="N537" t="s">
        <v>79</v>
      </c>
      <c r="O537" t="s">
        <v>74</v>
      </c>
      <c r="P537" t="s">
        <v>74</v>
      </c>
      <c r="Q537" t="s">
        <v>74</v>
      </c>
      <c r="R537" t="s">
        <v>74</v>
      </c>
      <c r="S537" t="s">
        <v>74</v>
      </c>
      <c r="T537" t="s">
        <v>74</v>
      </c>
      <c r="U537" t="s">
        <v>10261</v>
      </c>
      <c r="V537" t="s">
        <v>10262</v>
      </c>
      <c r="W537" t="s">
        <v>10263</v>
      </c>
      <c r="X537" t="s">
        <v>10264</v>
      </c>
      <c r="Y537" t="s">
        <v>10265</v>
      </c>
      <c r="Z537" t="s">
        <v>10266</v>
      </c>
      <c r="AA537" t="s">
        <v>10267</v>
      </c>
      <c r="AB537" t="s">
        <v>10268</v>
      </c>
      <c r="AC537" t="s">
        <v>10269</v>
      </c>
      <c r="AD537" t="s">
        <v>10270</v>
      </c>
      <c r="AE537" t="s">
        <v>10271</v>
      </c>
      <c r="AF537" t="s">
        <v>74</v>
      </c>
      <c r="AG537">
        <v>56</v>
      </c>
      <c r="AH537">
        <v>103</v>
      </c>
      <c r="AI537">
        <v>115</v>
      </c>
      <c r="AJ537">
        <v>1</v>
      </c>
      <c r="AK537">
        <v>33</v>
      </c>
      <c r="AL537" t="s">
        <v>118</v>
      </c>
      <c r="AM537" t="s">
        <v>119</v>
      </c>
      <c r="AN537" t="s">
        <v>120</v>
      </c>
      <c r="AO537" t="s">
        <v>563</v>
      </c>
      <c r="AP537" t="s">
        <v>564</v>
      </c>
      <c r="AQ537" t="s">
        <v>74</v>
      </c>
      <c r="AR537" t="s">
        <v>565</v>
      </c>
      <c r="AS537" t="s">
        <v>566</v>
      </c>
      <c r="AT537" t="s">
        <v>10253</v>
      </c>
      <c r="AU537">
        <v>2012</v>
      </c>
      <c r="AV537">
        <v>117</v>
      </c>
      <c r="AW537" t="s">
        <v>74</v>
      </c>
      <c r="AX537" t="s">
        <v>74</v>
      </c>
      <c r="AY537" t="s">
        <v>74</v>
      </c>
      <c r="AZ537" t="s">
        <v>74</v>
      </c>
      <c r="BA537" t="s">
        <v>74</v>
      </c>
      <c r="BB537" t="s">
        <v>74</v>
      </c>
      <c r="BC537" t="s">
        <v>74</v>
      </c>
      <c r="BD537" t="s">
        <v>10272</v>
      </c>
      <c r="BE537" t="s">
        <v>10273</v>
      </c>
      <c r="BF537" t="str">
        <f>HYPERLINK("http://dx.doi.org/10.1029/2012JF002360","http://dx.doi.org/10.1029/2012JF002360")</f>
        <v>http://dx.doi.org/10.1029/2012JF002360</v>
      </c>
      <c r="BG537" t="s">
        <v>74</v>
      </c>
      <c r="BH537" t="s">
        <v>74</v>
      </c>
      <c r="BI537">
        <v>10</v>
      </c>
      <c r="BJ537" t="s">
        <v>461</v>
      </c>
      <c r="BK537" t="s">
        <v>98</v>
      </c>
      <c r="BL537" t="s">
        <v>462</v>
      </c>
      <c r="BM537" t="s">
        <v>10274</v>
      </c>
      <c r="BN537" t="s">
        <v>74</v>
      </c>
      <c r="BO537" t="s">
        <v>416</v>
      </c>
      <c r="BP537" t="s">
        <v>74</v>
      </c>
      <c r="BQ537" t="s">
        <v>74</v>
      </c>
      <c r="BR537" t="s">
        <v>101</v>
      </c>
      <c r="BS537" t="s">
        <v>10275</v>
      </c>
      <c r="BT537" t="str">
        <f>HYPERLINK("https%3A%2F%2Fwww.webofscience.com%2Fwos%2Fwoscc%2Ffull-record%2FWOS:000307467500002","View Full Record in Web of Science")</f>
        <v>View Full Record in Web of Science</v>
      </c>
    </row>
    <row r="538" spans="1:72" x14ac:dyDescent="0.15">
      <c r="A538" t="s">
        <v>72</v>
      </c>
      <c r="B538" t="s">
        <v>10276</v>
      </c>
      <c r="C538" t="s">
        <v>74</v>
      </c>
      <c r="D538" t="s">
        <v>74</v>
      </c>
      <c r="E538" t="s">
        <v>74</v>
      </c>
      <c r="F538" t="s">
        <v>10277</v>
      </c>
      <c r="G538" t="s">
        <v>74</v>
      </c>
      <c r="H538" t="s">
        <v>74</v>
      </c>
      <c r="I538" t="s">
        <v>10278</v>
      </c>
      <c r="J538" t="s">
        <v>106</v>
      </c>
      <c r="K538" t="s">
        <v>74</v>
      </c>
      <c r="L538" t="s">
        <v>74</v>
      </c>
      <c r="M538" t="s">
        <v>78</v>
      </c>
      <c r="N538" t="s">
        <v>79</v>
      </c>
      <c r="O538" t="s">
        <v>74</v>
      </c>
      <c r="P538" t="s">
        <v>74</v>
      </c>
      <c r="Q538" t="s">
        <v>74</v>
      </c>
      <c r="R538" t="s">
        <v>74</v>
      </c>
      <c r="S538" t="s">
        <v>74</v>
      </c>
      <c r="T538" t="s">
        <v>74</v>
      </c>
      <c r="U538" t="s">
        <v>10279</v>
      </c>
      <c r="V538" t="s">
        <v>10280</v>
      </c>
      <c r="W538" t="s">
        <v>10281</v>
      </c>
      <c r="X538" t="s">
        <v>10282</v>
      </c>
      <c r="Y538" t="s">
        <v>10283</v>
      </c>
      <c r="Z538" t="s">
        <v>10284</v>
      </c>
      <c r="AA538" t="s">
        <v>10285</v>
      </c>
      <c r="AB538" t="s">
        <v>10286</v>
      </c>
      <c r="AC538" t="s">
        <v>10287</v>
      </c>
      <c r="AD538" t="s">
        <v>10288</v>
      </c>
      <c r="AE538" t="s">
        <v>10289</v>
      </c>
      <c r="AF538" t="s">
        <v>74</v>
      </c>
      <c r="AG538">
        <v>61</v>
      </c>
      <c r="AH538">
        <v>8</v>
      </c>
      <c r="AI538">
        <v>10</v>
      </c>
      <c r="AJ538">
        <v>1</v>
      </c>
      <c r="AK538">
        <v>34</v>
      </c>
      <c r="AL538" t="s">
        <v>118</v>
      </c>
      <c r="AM538" t="s">
        <v>119</v>
      </c>
      <c r="AN538" t="s">
        <v>120</v>
      </c>
      <c r="AO538" t="s">
        <v>121</v>
      </c>
      <c r="AP538" t="s">
        <v>122</v>
      </c>
      <c r="AQ538" t="s">
        <v>74</v>
      </c>
      <c r="AR538" t="s">
        <v>123</v>
      </c>
      <c r="AS538" t="s">
        <v>124</v>
      </c>
      <c r="AT538" t="s">
        <v>10253</v>
      </c>
      <c r="AU538">
        <v>2012</v>
      </c>
      <c r="AV538">
        <v>117</v>
      </c>
      <c r="AW538" t="s">
        <v>74</v>
      </c>
      <c r="AX538" t="s">
        <v>74</v>
      </c>
      <c r="AY538" t="s">
        <v>74</v>
      </c>
      <c r="AZ538" t="s">
        <v>74</v>
      </c>
      <c r="BA538" t="s">
        <v>74</v>
      </c>
      <c r="BB538" t="s">
        <v>74</v>
      </c>
      <c r="BC538" t="s">
        <v>74</v>
      </c>
      <c r="BD538" t="s">
        <v>10290</v>
      </c>
      <c r="BE538" t="s">
        <v>10291</v>
      </c>
      <c r="BF538" t="str">
        <f>HYPERLINK("http://dx.doi.org/10.1029/2012JA017622","http://dx.doi.org/10.1029/2012JA017622")</f>
        <v>http://dx.doi.org/10.1029/2012JA017622</v>
      </c>
      <c r="BG538" t="s">
        <v>74</v>
      </c>
      <c r="BH538" t="s">
        <v>74</v>
      </c>
      <c r="BI538">
        <v>14</v>
      </c>
      <c r="BJ538" t="s">
        <v>127</v>
      </c>
      <c r="BK538" t="s">
        <v>98</v>
      </c>
      <c r="BL538" t="s">
        <v>127</v>
      </c>
      <c r="BM538" t="s">
        <v>10292</v>
      </c>
      <c r="BN538" t="s">
        <v>74</v>
      </c>
      <c r="BO538" t="s">
        <v>10293</v>
      </c>
      <c r="BP538" t="s">
        <v>74</v>
      </c>
      <c r="BQ538" t="s">
        <v>74</v>
      </c>
      <c r="BR538" t="s">
        <v>101</v>
      </c>
      <c r="BS538" t="s">
        <v>10294</v>
      </c>
      <c r="BT538" t="str">
        <f>HYPERLINK("https%3A%2F%2Fwww.webofscience.com%2Fwos%2Fwoscc%2Ffull-record%2FWOS:000307181400003","View Full Record in Web of Science")</f>
        <v>View Full Record in Web of Science</v>
      </c>
    </row>
    <row r="539" spans="1:72" x14ac:dyDescent="0.15">
      <c r="A539" t="s">
        <v>72</v>
      </c>
      <c r="B539" t="s">
        <v>10295</v>
      </c>
      <c r="C539" t="s">
        <v>74</v>
      </c>
      <c r="D539" t="s">
        <v>74</v>
      </c>
      <c r="E539" t="s">
        <v>74</v>
      </c>
      <c r="F539" t="s">
        <v>10296</v>
      </c>
      <c r="G539" t="s">
        <v>74</v>
      </c>
      <c r="H539" t="s">
        <v>74</v>
      </c>
      <c r="I539" t="s">
        <v>10297</v>
      </c>
      <c r="J539" t="s">
        <v>10298</v>
      </c>
      <c r="K539" t="s">
        <v>74</v>
      </c>
      <c r="L539" t="s">
        <v>74</v>
      </c>
      <c r="M539" t="s">
        <v>78</v>
      </c>
      <c r="N539" t="s">
        <v>79</v>
      </c>
      <c r="O539" t="s">
        <v>74</v>
      </c>
      <c r="P539" t="s">
        <v>74</v>
      </c>
      <c r="Q539" t="s">
        <v>74</v>
      </c>
      <c r="R539" t="s">
        <v>74</v>
      </c>
      <c r="S539" t="s">
        <v>74</v>
      </c>
      <c r="T539" t="s">
        <v>74</v>
      </c>
      <c r="U539" t="s">
        <v>10299</v>
      </c>
      <c r="V539" t="s">
        <v>10300</v>
      </c>
      <c r="W539" t="s">
        <v>10301</v>
      </c>
      <c r="X539" t="s">
        <v>10302</v>
      </c>
      <c r="Y539" t="s">
        <v>10303</v>
      </c>
      <c r="Z539" t="s">
        <v>10304</v>
      </c>
      <c r="AA539" t="s">
        <v>10305</v>
      </c>
      <c r="AB539" t="s">
        <v>10306</v>
      </c>
      <c r="AC539" t="s">
        <v>10307</v>
      </c>
      <c r="AD539" t="s">
        <v>10308</v>
      </c>
      <c r="AE539" t="s">
        <v>10309</v>
      </c>
      <c r="AF539" t="s">
        <v>74</v>
      </c>
      <c r="AG539">
        <v>87</v>
      </c>
      <c r="AH539">
        <v>26</v>
      </c>
      <c r="AI539">
        <v>27</v>
      </c>
      <c r="AJ539">
        <v>1</v>
      </c>
      <c r="AK539">
        <v>47</v>
      </c>
      <c r="AL539" t="s">
        <v>89</v>
      </c>
      <c r="AM539" t="s">
        <v>90</v>
      </c>
      <c r="AN539" t="s">
        <v>91</v>
      </c>
      <c r="AO539" t="s">
        <v>10310</v>
      </c>
      <c r="AP539" t="s">
        <v>10311</v>
      </c>
      <c r="AQ539" t="s">
        <v>74</v>
      </c>
      <c r="AR539" t="s">
        <v>10312</v>
      </c>
      <c r="AS539" t="s">
        <v>10313</v>
      </c>
      <c r="AT539" t="s">
        <v>10253</v>
      </c>
      <c r="AU539">
        <v>2012</v>
      </c>
      <c r="AV539">
        <v>268</v>
      </c>
      <c r="AW539" t="s">
        <v>74</v>
      </c>
      <c r="AX539" t="s">
        <v>74</v>
      </c>
      <c r="AY539" t="s">
        <v>74</v>
      </c>
      <c r="AZ539" t="s">
        <v>74</v>
      </c>
      <c r="BA539" t="s">
        <v>74</v>
      </c>
      <c r="BB539">
        <v>65</v>
      </c>
      <c r="BC539">
        <v>76</v>
      </c>
      <c r="BD539" t="s">
        <v>74</v>
      </c>
      <c r="BE539" t="s">
        <v>10314</v>
      </c>
      <c r="BF539" t="str">
        <f>HYPERLINK("http://dx.doi.org/10.1016/j.quaint.2011.07.032","http://dx.doi.org/10.1016/j.quaint.2011.07.032")</f>
        <v>http://dx.doi.org/10.1016/j.quaint.2011.07.032</v>
      </c>
      <c r="BG539" t="s">
        <v>74</v>
      </c>
      <c r="BH539" t="s">
        <v>74</v>
      </c>
      <c r="BI539">
        <v>12</v>
      </c>
      <c r="BJ539" t="s">
        <v>97</v>
      </c>
      <c r="BK539" t="s">
        <v>98</v>
      </c>
      <c r="BL539" t="s">
        <v>99</v>
      </c>
      <c r="BM539" t="s">
        <v>10315</v>
      </c>
      <c r="BN539" t="s">
        <v>74</v>
      </c>
      <c r="BO539" t="s">
        <v>1499</v>
      </c>
      <c r="BP539" t="s">
        <v>74</v>
      </c>
      <c r="BQ539" t="s">
        <v>74</v>
      </c>
      <c r="BR539" t="s">
        <v>101</v>
      </c>
      <c r="BS539" t="s">
        <v>10316</v>
      </c>
      <c r="BT539" t="str">
        <f>HYPERLINK("https%3A%2F%2Fwww.webofscience.com%2Fwos%2Fwoscc%2Ffull-record%2FWOS:000307618500007","View Full Record in Web of Science")</f>
        <v>View Full Record in Web of Science</v>
      </c>
    </row>
    <row r="540" spans="1:72" x14ac:dyDescent="0.15">
      <c r="A540" t="s">
        <v>72</v>
      </c>
      <c r="B540" t="s">
        <v>10317</v>
      </c>
      <c r="C540" t="s">
        <v>74</v>
      </c>
      <c r="D540" t="s">
        <v>74</v>
      </c>
      <c r="E540" t="s">
        <v>74</v>
      </c>
      <c r="F540" t="s">
        <v>10318</v>
      </c>
      <c r="G540" t="s">
        <v>74</v>
      </c>
      <c r="H540" t="s">
        <v>10319</v>
      </c>
      <c r="I540" t="s">
        <v>10320</v>
      </c>
      <c r="J540" t="s">
        <v>421</v>
      </c>
      <c r="K540" t="s">
        <v>74</v>
      </c>
      <c r="L540" t="s">
        <v>74</v>
      </c>
      <c r="M540" t="s">
        <v>78</v>
      </c>
      <c r="N540" t="s">
        <v>79</v>
      </c>
      <c r="O540" t="s">
        <v>74</v>
      </c>
      <c r="P540" t="s">
        <v>74</v>
      </c>
      <c r="Q540" t="s">
        <v>74</v>
      </c>
      <c r="R540" t="s">
        <v>74</v>
      </c>
      <c r="S540" t="s">
        <v>74</v>
      </c>
      <c r="T540" t="s">
        <v>74</v>
      </c>
      <c r="U540" t="s">
        <v>10321</v>
      </c>
      <c r="V540" t="s">
        <v>10322</v>
      </c>
      <c r="W540" t="s">
        <v>10323</v>
      </c>
      <c r="X540" t="s">
        <v>10324</v>
      </c>
      <c r="Y540" t="s">
        <v>10325</v>
      </c>
      <c r="Z540" t="s">
        <v>10326</v>
      </c>
      <c r="AA540" t="s">
        <v>10327</v>
      </c>
      <c r="AB540" t="s">
        <v>10328</v>
      </c>
      <c r="AC540" t="s">
        <v>10329</v>
      </c>
      <c r="AD540" t="s">
        <v>10330</v>
      </c>
      <c r="AE540" t="s">
        <v>10331</v>
      </c>
      <c r="AF540" t="s">
        <v>74</v>
      </c>
      <c r="AG540">
        <v>30</v>
      </c>
      <c r="AH540">
        <v>224</v>
      </c>
      <c r="AI540">
        <v>242</v>
      </c>
      <c r="AJ540">
        <v>2</v>
      </c>
      <c r="AK540">
        <v>150</v>
      </c>
      <c r="AL540" t="s">
        <v>433</v>
      </c>
      <c r="AM540" t="s">
        <v>434</v>
      </c>
      <c r="AN540" t="s">
        <v>435</v>
      </c>
      <c r="AO540" t="s">
        <v>436</v>
      </c>
      <c r="AP540" t="s">
        <v>3383</v>
      </c>
      <c r="AQ540" t="s">
        <v>74</v>
      </c>
      <c r="AR540" t="s">
        <v>421</v>
      </c>
      <c r="AS540" t="s">
        <v>437</v>
      </c>
      <c r="AT540" t="s">
        <v>10332</v>
      </c>
      <c r="AU540">
        <v>2012</v>
      </c>
      <c r="AV540">
        <v>488</v>
      </c>
      <c r="AW540">
        <v>7409</v>
      </c>
      <c r="AX540" t="s">
        <v>74</v>
      </c>
      <c r="AY540" t="s">
        <v>74</v>
      </c>
      <c r="AZ540" t="s">
        <v>74</v>
      </c>
      <c r="BA540" t="s">
        <v>74</v>
      </c>
      <c r="BB540">
        <v>73</v>
      </c>
      <c r="BC540">
        <v>77</v>
      </c>
      <c r="BD540" t="s">
        <v>74</v>
      </c>
      <c r="BE540" t="s">
        <v>10333</v>
      </c>
      <c r="BF540" t="str">
        <f>HYPERLINK("http://dx.doi.org/10.1038/nature11300","http://dx.doi.org/10.1038/nature11300")</f>
        <v>http://dx.doi.org/10.1038/nature11300</v>
      </c>
      <c r="BG540" t="s">
        <v>74</v>
      </c>
      <c r="BH540" t="s">
        <v>74</v>
      </c>
      <c r="BI540">
        <v>5</v>
      </c>
      <c r="BJ540" t="s">
        <v>153</v>
      </c>
      <c r="BK540" t="s">
        <v>98</v>
      </c>
      <c r="BL540" t="s">
        <v>154</v>
      </c>
      <c r="BM540" t="s">
        <v>10334</v>
      </c>
      <c r="BN540">
        <v>22859204</v>
      </c>
      <c r="BO540" t="s">
        <v>74</v>
      </c>
      <c r="BP540" t="s">
        <v>74</v>
      </c>
      <c r="BQ540" t="s">
        <v>74</v>
      </c>
      <c r="BR540" t="s">
        <v>101</v>
      </c>
      <c r="BS540" t="s">
        <v>10335</v>
      </c>
      <c r="BT540" t="str">
        <f>HYPERLINK("https%3A%2F%2Fwww.webofscience.com%2Fwos%2Fwoscc%2Ffull-record%2FWOS:000307010700035","View Full Record in Web of Science")</f>
        <v>View Full Record in Web of Science</v>
      </c>
    </row>
    <row r="541" spans="1:72" x14ac:dyDescent="0.15">
      <c r="A541" t="s">
        <v>72</v>
      </c>
      <c r="B541" t="s">
        <v>10336</v>
      </c>
      <c r="C541" t="s">
        <v>74</v>
      </c>
      <c r="D541" t="s">
        <v>74</v>
      </c>
      <c r="E541" t="s">
        <v>74</v>
      </c>
      <c r="F541" t="s">
        <v>10337</v>
      </c>
      <c r="G541" t="s">
        <v>74</v>
      </c>
      <c r="H541" t="s">
        <v>74</v>
      </c>
      <c r="I541" t="s">
        <v>10338</v>
      </c>
      <c r="J541" t="s">
        <v>10339</v>
      </c>
      <c r="K541" t="s">
        <v>74</v>
      </c>
      <c r="L541" t="s">
        <v>74</v>
      </c>
      <c r="M541" t="s">
        <v>78</v>
      </c>
      <c r="N541" t="s">
        <v>79</v>
      </c>
      <c r="O541" t="s">
        <v>74</v>
      </c>
      <c r="P541" t="s">
        <v>74</v>
      </c>
      <c r="Q541" t="s">
        <v>74</v>
      </c>
      <c r="R541" t="s">
        <v>74</v>
      </c>
      <c r="S541" t="s">
        <v>74</v>
      </c>
      <c r="T541" t="s">
        <v>10340</v>
      </c>
      <c r="U541" t="s">
        <v>10341</v>
      </c>
      <c r="V541" t="s">
        <v>10342</v>
      </c>
      <c r="W541" t="s">
        <v>10343</v>
      </c>
      <c r="X541" t="s">
        <v>10344</v>
      </c>
      <c r="Y541" t="s">
        <v>10345</v>
      </c>
      <c r="Z541" t="s">
        <v>10346</v>
      </c>
      <c r="AA541" t="s">
        <v>10347</v>
      </c>
      <c r="AB541" t="s">
        <v>10348</v>
      </c>
      <c r="AC541" t="s">
        <v>10349</v>
      </c>
      <c r="AD541" t="s">
        <v>10350</v>
      </c>
      <c r="AE541" t="s">
        <v>10351</v>
      </c>
      <c r="AF541" t="s">
        <v>74</v>
      </c>
      <c r="AG541">
        <v>45</v>
      </c>
      <c r="AH541">
        <v>6</v>
      </c>
      <c r="AI541">
        <v>6</v>
      </c>
      <c r="AJ541">
        <v>0</v>
      </c>
      <c r="AK541">
        <v>11</v>
      </c>
      <c r="AL541" t="s">
        <v>10352</v>
      </c>
      <c r="AM541" t="s">
        <v>10353</v>
      </c>
      <c r="AN541" t="s">
        <v>10354</v>
      </c>
      <c r="AO541" t="s">
        <v>10355</v>
      </c>
      <c r="AP541" t="s">
        <v>10356</v>
      </c>
      <c r="AQ541" t="s">
        <v>74</v>
      </c>
      <c r="AR541" t="s">
        <v>10357</v>
      </c>
      <c r="AS541" t="s">
        <v>10358</v>
      </c>
      <c r="AT541" t="s">
        <v>10359</v>
      </c>
      <c r="AU541">
        <v>2012</v>
      </c>
      <c r="AV541">
        <v>50</v>
      </c>
      <c r="AW541">
        <v>4</v>
      </c>
      <c r="AX541" t="s">
        <v>74</v>
      </c>
      <c r="AY541" t="s">
        <v>74</v>
      </c>
      <c r="AZ541" t="s">
        <v>74</v>
      </c>
      <c r="BA541" t="s">
        <v>74</v>
      </c>
      <c r="BB541">
        <v>855</v>
      </c>
      <c r="BC541">
        <v>872</v>
      </c>
      <c r="BD541" t="s">
        <v>74</v>
      </c>
      <c r="BE541" t="s">
        <v>10360</v>
      </c>
      <c r="BF541" t="str">
        <f>HYPERLINK("http://dx.doi.org/10.3749/canmin.50.4.855","http://dx.doi.org/10.3749/canmin.50.4.855")</f>
        <v>http://dx.doi.org/10.3749/canmin.50.4.855</v>
      </c>
      <c r="BG541" t="s">
        <v>74</v>
      </c>
      <c r="BH541" t="s">
        <v>74</v>
      </c>
      <c r="BI541">
        <v>18</v>
      </c>
      <c r="BJ541" t="s">
        <v>10361</v>
      </c>
      <c r="BK541" t="s">
        <v>98</v>
      </c>
      <c r="BL541" t="s">
        <v>10361</v>
      </c>
      <c r="BM541" t="s">
        <v>10362</v>
      </c>
      <c r="BN541" t="s">
        <v>74</v>
      </c>
      <c r="BO541" t="s">
        <v>74</v>
      </c>
      <c r="BP541" t="s">
        <v>74</v>
      </c>
      <c r="BQ541" t="s">
        <v>74</v>
      </c>
      <c r="BR541" t="s">
        <v>101</v>
      </c>
      <c r="BS541" t="s">
        <v>10363</v>
      </c>
      <c r="BT541" t="str">
        <f>HYPERLINK("https%3A%2F%2Fwww.webofscience.com%2Fwos%2Fwoscc%2Ffull-record%2FWOS:000314174400008","View Full Record in Web of Science")</f>
        <v>View Full Record in Web of Science</v>
      </c>
    </row>
    <row r="542" spans="1:72" x14ac:dyDescent="0.15">
      <c r="A542" t="s">
        <v>72</v>
      </c>
      <c r="B542" t="s">
        <v>10364</v>
      </c>
      <c r="C542" t="s">
        <v>74</v>
      </c>
      <c r="D542" t="s">
        <v>74</v>
      </c>
      <c r="E542" t="s">
        <v>74</v>
      </c>
      <c r="F542" t="s">
        <v>10365</v>
      </c>
      <c r="G542" t="s">
        <v>74</v>
      </c>
      <c r="H542" t="s">
        <v>74</v>
      </c>
      <c r="I542" t="s">
        <v>10366</v>
      </c>
      <c r="J542" t="s">
        <v>10367</v>
      </c>
      <c r="K542" t="s">
        <v>74</v>
      </c>
      <c r="L542" t="s">
        <v>74</v>
      </c>
      <c r="M542" t="s">
        <v>78</v>
      </c>
      <c r="N542" t="s">
        <v>79</v>
      </c>
      <c r="O542" t="s">
        <v>74</v>
      </c>
      <c r="P542" t="s">
        <v>74</v>
      </c>
      <c r="Q542" t="s">
        <v>74</v>
      </c>
      <c r="R542" t="s">
        <v>74</v>
      </c>
      <c r="S542" t="s">
        <v>74</v>
      </c>
      <c r="T542" t="s">
        <v>10368</v>
      </c>
      <c r="U542" t="s">
        <v>74</v>
      </c>
      <c r="V542" t="s">
        <v>10369</v>
      </c>
      <c r="W542" t="s">
        <v>10370</v>
      </c>
      <c r="X542" t="s">
        <v>74</v>
      </c>
      <c r="Y542" t="s">
        <v>10371</v>
      </c>
      <c r="Z542" t="s">
        <v>10372</v>
      </c>
      <c r="AA542" t="s">
        <v>74</v>
      </c>
      <c r="AB542" t="s">
        <v>74</v>
      </c>
      <c r="AC542" t="s">
        <v>74</v>
      </c>
      <c r="AD542" t="s">
        <v>74</v>
      </c>
      <c r="AE542" t="s">
        <v>74</v>
      </c>
      <c r="AF542" t="s">
        <v>74</v>
      </c>
      <c r="AG542">
        <v>22</v>
      </c>
      <c r="AH542">
        <v>1</v>
      </c>
      <c r="AI542">
        <v>2</v>
      </c>
      <c r="AJ542">
        <v>0</v>
      </c>
      <c r="AK542">
        <v>11</v>
      </c>
      <c r="AL542" t="s">
        <v>10373</v>
      </c>
      <c r="AM542" t="s">
        <v>10374</v>
      </c>
      <c r="AN542" t="s">
        <v>10375</v>
      </c>
      <c r="AO542" t="s">
        <v>10376</v>
      </c>
      <c r="AP542" t="s">
        <v>74</v>
      </c>
      <c r="AQ542" t="s">
        <v>74</v>
      </c>
      <c r="AR542" t="s">
        <v>10377</v>
      </c>
      <c r="AS542" t="s">
        <v>10378</v>
      </c>
      <c r="AT542" t="s">
        <v>10359</v>
      </c>
      <c r="AU542">
        <v>2012</v>
      </c>
      <c r="AV542">
        <v>41</v>
      </c>
      <c r="AW542" t="s">
        <v>74</v>
      </c>
      <c r="AX542">
        <v>1</v>
      </c>
      <c r="AY542" t="s">
        <v>74</v>
      </c>
      <c r="AZ542" t="s">
        <v>74</v>
      </c>
      <c r="BA542" t="s">
        <v>74</v>
      </c>
      <c r="BB542">
        <v>119</v>
      </c>
      <c r="BC542">
        <v>123</v>
      </c>
      <c r="BD542" t="s">
        <v>74</v>
      </c>
      <c r="BE542" t="s">
        <v>74</v>
      </c>
      <c r="BF542" t="s">
        <v>74</v>
      </c>
      <c r="BG542" t="s">
        <v>74</v>
      </c>
      <c r="BH542" t="s">
        <v>74</v>
      </c>
      <c r="BI542">
        <v>5</v>
      </c>
      <c r="BJ542" t="s">
        <v>1854</v>
      </c>
      <c r="BK542" t="s">
        <v>98</v>
      </c>
      <c r="BL542" t="s">
        <v>1854</v>
      </c>
      <c r="BM542" t="s">
        <v>10379</v>
      </c>
      <c r="BN542" t="s">
        <v>74</v>
      </c>
      <c r="BO542" t="s">
        <v>74</v>
      </c>
      <c r="BP542" t="s">
        <v>74</v>
      </c>
      <c r="BQ542" t="s">
        <v>74</v>
      </c>
      <c r="BR542" t="s">
        <v>101</v>
      </c>
      <c r="BS542" t="s">
        <v>10380</v>
      </c>
      <c r="BT542" t="str">
        <f>HYPERLINK("https%3A%2F%2Fwww.webofscience.com%2Fwos%2Fwoscc%2Ffull-record%2FWOS:000309736600009","View Full Record in Web of Science")</f>
        <v>View Full Record in Web of Science</v>
      </c>
    </row>
    <row r="543" spans="1:72" x14ac:dyDescent="0.15">
      <c r="A543" t="s">
        <v>72</v>
      </c>
      <c r="B543" t="s">
        <v>10381</v>
      </c>
      <c r="C543" t="s">
        <v>74</v>
      </c>
      <c r="D543" t="s">
        <v>74</v>
      </c>
      <c r="E543" t="s">
        <v>74</v>
      </c>
      <c r="F543" t="s">
        <v>10382</v>
      </c>
      <c r="G543" t="s">
        <v>74</v>
      </c>
      <c r="H543" t="s">
        <v>74</v>
      </c>
      <c r="I543" t="s">
        <v>10383</v>
      </c>
      <c r="J543" t="s">
        <v>10384</v>
      </c>
      <c r="K543" t="s">
        <v>74</v>
      </c>
      <c r="L543" t="s">
        <v>74</v>
      </c>
      <c r="M543" t="s">
        <v>78</v>
      </c>
      <c r="N543" t="s">
        <v>79</v>
      </c>
      <c r="O543" t="s">
        <v>74</v>
      </c>
      <c r="P543" t="s">
        <v>74</v>
      </c>
      <c r="Q543" t="s">
        <v>74</v>
      </c>
      <c r="R543" t="s">
        <v>74</v>
      </c>
      <c r="S543" t="s">
        <v>74</v>
      </c>
      <c r="T543" t="s">
        <v>74</v>
      </c>
      <c r="U543" t="s">
        <v>74</v>
      </c>
      <c r="V543" t="s">
        <v>10385</v>
      </c>
      <c r="W543" t="s">
        <v>10386</v>
      </c>
      <c r="X543" t="s">
        <v>10387</v>
      </c>
      <c r="Y543" t="s">
        <v>10388</v>
      </c>
      <c r="Z543" t="s">
        <v>10389</v>
      </c>
      <c r="AA543" t="s">
        <v>74</v>
      </c>
      <c r="AB543" t="s">
        <v>74</v>
      </c>
      <c r="AC543" t="s">
        <v>74</v>
      </c>
      <c r="AD543" t="s">
        <v>74</v>
      </c>
      <c r="AE543" t="s">
        <v>74</v>
      </c>
      <c r="AF543" t="s">
        <v>74</v>
      </c>
      <c r="AG543">
        <v>44</v>
      </c>
      <c r="AH543">
        <v>0</v>
      </c>
      <c r="AI543">
        <v>0</v>
      </c>
      <c r="AJ543">
        <v>0</v>
      </c>
      <c r="AK543">
        <v>3</v>
      </c>
      <c r="AL543" t="s">
        <v>10390</v>
      </c>
      <c r="AM543" t="s">
        <v>434</v>
      </c>
      <c r="AN543" t="s">
        <v>10391</v>
      </c>
      <c r="AO543" t="s">
        <v>10392</v>
      </c>
      <c r="AP543" t="s">
        <v>74</v>
      </c>
      <c r="AQ543" t="s">
        <v>74</v>
      </c>
      <c r="AR543" t="s">
        <v>10384</v>
      </c>
      <c r="AS543" t="s">
        <v>10393</v>
      </c>
      <c r="AT543" t="s">
        <v>10359</v>
      </c>
      <c r="AU543">
        <v>2012</v>
      </c>
      <c r="AV543">
        <v>98</v>
      </c>
      <c r="AW543">
        <v>3</v>
      </c>
      <c r="AX543" t="s">
        <v>74</v>
      </c>
      <c r="AY543" t="s">
        <v>74</v>
      </c>
      <c r="AZ543" t="s">
        <v>74</v>
      </c>
      <c r="BA543" t="s">
        <v>74</v>
      </c>
      <c r="BB543">
        <v>301</v>
      </c>
      <c r="BC543">
        <v>311</v>
      </c>
      <c r="BD543" t="s">
        <v>74</v>
      </c>
      <c r="BE543" t="s">
        <v>10394</v>
      </c>
      <c r="BF543" t="str">
        <f>HYPERLINK("http://dx.doi.org/10.1080/00253359.2012.10709006","http://dx.doi.org/10.1080/00253359.2012.10709006")</f>
        <v>http://dx.doi.org/10.1080/00253359.2012.10709006</v>
      </c>
      <c r="BG543" t="s">
        <v>74</v>
      </c>
      <c r="BH543" t="s">
        <v>74</v>
      </c>
      <c r="BI543">
        <v>11</v>
      </c>
      <c r="BJ543" t="s">
        <v>10395</v>
      </c>
      <c r="BK543" t="s">
        <v>1178</v>
      </c>
      <c r="BL543" t="s">
        <v>10395</v>
      </c>
      <c r="BM543" t="s">
        <v>10396</v>
      </c>
      <c r="BN543" t="s">
        <v>74</v>
      </c>
      <c r="BO543" t="s">
        <v>74</v>
      </c>
      <c r="BP543" t="s">
        <v>74</v>
      </c>
      <c r="BQ543" t="s">
        <v>74</v>
      </c>
      <c r="BR543" t="s">
        <v>101</v>
      </c>
      <c r="BS543" t="s">
        <v>10397</v>
      </c>
      <c r="BT543" t="str">
        <f>HYPERLINK("https%3A%2F%2Fwww.webofscience.com%2Fwos%2Fwoscc%2Ffull-record%2FWOS:000309029800006","View Full Record in Web of Science")</f>
        <v>View Full Record in Web of Science</v>
      </c>
    </row>
    <row r="544" spans="1:72" x14ac:dyDescent="0.15">
      <c r="A544" t="s">
        <v>72</v>
      </c>
      <c r="B544" t="s">
        <v>10398</v>
      </c>
      <c r="C544" t="s">
        <v>74</v>
      </c>
      <c r="D544" t="s">
        <v>74</v>
      </c>
      <c r="E544" t="s">
        <v>74</v>
      </c>
      <c r="F544" t="s">
        <v>10399</v>
      </c>
      <c r="G544" t="s">
        <v>74</v>
      </c>
      <c r="H544" t="s">
        <v>74</v>
      </c>
      <c r="I544" t="s">
        <v>10400</v>
      </c>
      <c r="J544" t="s">
        <v>10401</v>
      </c>
      <c r="K544" t="s">
        <v>74</v>
      </c>
      <c r="L544" t="s">
        <v>74</v>
      </c>
      <c r="M544" t="s">
        <v>78</v>
      </c>
      <c r="N544" t="s">
        <v>79</v>
      </c>
      <c r="O544" t="s">
        <v>74</v>
      </c>
      <c r="P544" t="s">
        <v>74</v>
      </c>
      <c r="Q544" t="s">
        <v>74</v>
      </c>
      <c r="R544" t="s">
        <v>74</v>
      </c>
      <c r="S544" t="s">
        <v>74</v>
      </c>
      <c r="T544" t="s">
        <v>10402</v>
      </c>
      <c r="U544" t="s">
        <v>10403</v>
      </c>
      <c r="V544" t="s">
        <v>10404</v>
      </c>
      <c r="W544" t="s">
        <v>10405</v>
      </c>
      <c r="X544" t="s">
        <v>10406</v>
      </c>
      <c r="Y544" t="s">
        <v>10407</v>
      </c>
      <c r="Z544" t="s">
        <v>10408</v>
      </c>
      <c r="AA544" t="s">
        <v>10409</v>
      </c>
      <c r="AB544" t="s">
        <v>10410</v>
      </c>
      <c r="AC544" t="s">
        <v>10411</v>
      </c>
      <c r="AD544" t="s">
        <v>10412</v>
      </c>
      <c r="AE544" t="s">
        <v>10413</v>
      </c>
      <c r="AF544" t="s">
        <v>74</v>
      </c>
      <c r="AG544">
        <v>59</v>
      </c>
      <c r="AH544">
        <v>28</v>
      </c>
      <c r="AI544">
        <v>28</v>
      </c>
      <c r="AJ544">
        <v>0</v>
      </c>
      <c r="AK544">
        <v>53</v>
      </c>
      <c r="AL544" t="s">
        <v>7740</v>
      </c>
      <c r="AM544" t="s">
        <v>7741</v>
      </c>
      <c r="AN544" t="s">
        <v>7742</v>
      </c>
      <c r="AO544" t="s">
        <v>10414</v>
      </c>
      <c r="AP544" t="s">
        <v>10415</v>
      </c>
      <c r="AQ544" t="s">
        <v>74</v>
      </c>
      <c r="AR544" t="s">
        <v>10401</v>
      </c>
      <c r="AS544" t="s">
        <v>10416</v>
      </c>
      <c r="AT544" t="s">
        <v>10359</v>
      </c>
      <c r="AU544">
        <v>2012</v>
      </c>
      <c r="AV544">
        <v>12</v>
      </c>
      <c r="AW544">
        <v>8</v>
      </c>
      <c r="AX544" t="s">
        <v>74</v>
      </c>
      <c r="AY544" t="s">
        <v>74</v>
      </c>
      <c r="AZ544" t="s">
        <v>74</v>
      </c>
      <c r="BA544" t="s">
        <v>74</v>
      </c>
      <c r="BB544">
        <v>743</v>
      </c>
      <c r="BC544">
        <v>753</v>
      </c>
      <c r="BD544" t="s">
        <v>74</v>
      </c>
      <c r="BE544" t="s">
        <v>10417</v>
      </c>
      <c r="BF544" t="str">
        <f>HYPERLINK("http://dx.doi.org/10.1089/ast.2011.0763","http://dx.doi.org/10.1089/ast.2011.0763")</f>
        <v>http://dx.doi.org/10.1089/ast.2011.0763</v>
      </c>
      <c r="BG544" t="s">
        <v>74</v>
      </c>
      <c r="BH544" t="s">
        <v>74</v>
      </c>
      <c r="BI544">
        <v>11</v>
      </c>
      <c r="BJ544" t="s">
        <v>4695</v>
      </c>
      <c r="BK544" t="s">
        <v>98</v>
      </c>
      <c r="BL544" t="s">
        <v>4696</v>
      </c>
      <c r="BM544" t="s">
        <v>10418</v>
      </c>
      <c r="BN544">
        <v>22970864</v>
      </c>
      <c r="BO544" t="s">
        <v>74</v>
      </c>
      <c r="BP544" t="s">
        <v>74</v>
      </c>
      <c r="BQ544" t="s">
        <v>74</v>
      </c>
      <c r="BR544" t="s">
        <v>101</v>
      </c>
      <c r="BS544" t="s">
        <v>10419</v>
      </c>
      <c r="BT544" t="str">
        <f>HYPERLINK("https%3A%2F%2Fwww.webofscience.com%2Fwos%2Fwoscc%2Ffull-record%2FWOS:000308811500004","View Full Record in Web of Science")</f>
        <v>View Full Record in Web of Science</v>
      </c>
    </row>
    <row r="545" spans="1:72" x14ac:dyDescent="0.15">
      <c r="A545" t="s">
        <v>72</v>
      </c>
      <c r="B545" t="s">
        <v>10420</v>
      </c>
      <c r="C545" t="s">
        <v>74</v>
      </c>
      <c r="D545" t="s">
        <v>74</v>
      </c>
      <c r="E545" t="s">
        <v>74</v>
      </c>
      <c r="F545" t="s">
        <v>10421</v>
      </c>
      <c r="G545" t="s">
        <v>74</v>
      </c>
      <c r="H545" t="s">
        <v>74</v>
      </c>
      <c r="I545" t="s">
        <v>10422</v>
      </c>
      <c r="J545" t="s">
        <v>10423</v>
      </c>
      <c r="K545" t="s">
        <v>74</v>
      </c>
      <c r="L545" t="s">
        <v>74</v>
      </c>
      <c r="M545" t="s">
        <v>78</v>
      </c>
      <c r="N545" t="s">
        <v>79</v>
      </c>
      <c r="O545" t="s">
        <v>74</v>
      </c>
      <c r="P545" t="s">
        <v>74</v>
      </c>
      <c r="Q545" t="s">
        <v>74</v>
      </c>
      <c r="R545" t="s">
        <v>74</v>
      </c>
      <c r="S545" t="s">
        <v>74</v>
      </c>
      <c r="T545" t="s">
        <v>10424</v>
      </c>
      <c r="U545" t="s">
        <v>10425</v>
      </c>
      <c r="V545" t="s">
        <v>10426</v>
      </c>
      <c r="W545" t="s">
        <v>10427</v>
      </c>
      <c r="X545" t="s">
        <v>10428</v>
      </c>
      <c r="Y545" t="s">
        <v>10429</v>
      </c>
      <c r="Z545" t="s">
        <v>10430</v>
      </c>
      <c r="AA545" t="s">
        <v>10431</v>
      </c>
      <c r="AB545" t="s">
        <v>10432</v>
      </c>
      <c r="AC545" t="s">
        <v>10433</v>
      </c>
      <c r="AD545" t="s">
        <v>10434</v>
      </c>
      <c r="AE545" t="s">
        <v>10435</v>
      </c>
      <c r="AF545" t="s">
        <v>74</v>
      </c>
      <c r="AG545">
        <v>33</v>
      </c>
      <c r="AH545">
        <v>11</v>
      </c>
      <c r="AI545">
        <v>11</v>
      </c>
      <c r="AJ545">
        <v>0</v>
      </c>
      <c r="AK545">
        <v>9</v>
      </c>
      <c r="AL545" t="s">
        <v>10436</v>
      </c>
      <c r="AM545" t="s">
        <v>10437</v>
      </c>
      <c r="AN545" t="s">
        <v>10438</v>
      </c>
      <c r="AO545" t="s">
        <v>10439</v>
      </c>
      <c r="AP545" t="s">
        <v>10440</v>
      </c>
      <c r="AQ545" t="s">
        <v>74</v>
      </c>
      <c r="AR545" t="s">
        <v>10441</v>
      </c>
      <c r="AS545" t="s">
        <v>10442</v>
      </c>
      <c r="AT545" t="s">
        <v>10359</v>
      </c>
      <c r="AU545">
        <v>2012</v>
      </c>
      <c r="AV545">
        <v>72</v>
      </c>
      <c r="AW545">
        <v>3</v>
      </c>
      <c r="AX545" t="s">
        <v>74</v>
      </c>
      <c r="AY545" t="s">
        <v>10443</v>
      </c>
      <c r="AZ545" t="s">
        <v>74</v>
      </c>
      <c r="BA545" t="s">
        <v>74</v>
      </c>
      <c r="BB545">
        <v>723</v>
      </c>
      <c r="BC545">
        <v>759</v>
      </c>
      <c r="BD545" t="s">
        <v>74</v>
      </c>
      <c r="BE545" t="s">
        <v>10444</v>
      </c>
      <c r="BF545" t="str">
        <f>HYPERLINK("http://dx.doi.org/10.1590/S1519-69842012000400010","http://dx.doi.org/10.1590/S1519-69842012000400010")</f>
        <v>http://dx.doi.org/10.1590/S1519-69842012000400010</v>
      </c>
      <c r="BG545" t="s">
        <v>74</v>
      </c>
      <c r="BH545" t="s">
        <v>74</v>
      </c>
      <c r="BI545">
        <v>37</v>
      </c>
      <c r="BJ545" t="s">
        <v>1966</v>
      </c>
      <c r="BK545" t="s">
        <v>98</v>
      </c>
      <c r="BL545" t="s">
        <v>1967</v>
      </c>
      <c r="BM545" t="s">
        <v>10445</v>
      </c>
      <c r="BN545">
        <v>23011301</v>
      </c>
      <c r="BO545" t="s">
        <v>693</v>
      </c>
      <c r="BP545" t="s">
        <v>74</v>
      </c>
      <c r="BQ545" t="s">
        <v>74</v>
      </c>
      <c r="BR545" t="s">
        <v>101</v>
      </c>
      <c r="BS545" t="s">
        <v>10446</v>
      </c>
      <c r="BT545" t="str">
        <f>HYPERLINK("https%3A%2F%2Fwww.webofscience.com%2Fwos%2Fwoscc%2Ffull-record%2FWOS:000309190900008","View Full Record in Web of Science")</f>
        <v>View Full Record in Web of Science</v>
      </c>
    </row>
    <row r="546" spans="1:72" x14ac:dyDescent="0.15">
      <c r="A546" t="s">
        <v>72</v>
      </c>
      <c r="B546" t="s">
        <v>10447</v>
      </c>
      <c r="C546" t="s">
        <v>74</v>
      </c>
      <c r="D546" t="s">
        <v>74</v>
      </c>
      <c r="E546" t="s">
        <v>74</v>
      </c>
      <c r="F546" t="s">
        <v>10448</v>
      </c>
      <c r="G546" t="s">
        <v>74</v>
      </c>
      <c r="H546" t="s">
        <v>74</v>
      </c>
      <c r="I546" t="s">
        <v>10449</v>
      </c>
      <c r="J546" t="s">
        <v>7161</v>
      </c>
      <c r="K546" t="s">
        <v>74</v>
      </c>
      <c r="L546" t="s">
        <v>74</v>
      </c>
      <c r="M546" t="s">
        <v>78</v>
      </c>
      <c r="N546" t="s">
        <v>79</v>
      </c>
      <c r="O546" t="s">
        <v>74</v>
      </c>
      <c r="P546" t="s">
        <v>74</v>
      </c>
      <c r="Q546" t="s">
        <v>74</v>
      </c>
      <c r="R546" t="s">
        <v>74</v>
      </c>
      <c r="S546" t="s">
        <v>74</v>
      </c>
      <c r="T546" t="s">
        <v>74</v>
      </c>
      <c r="U546" t="s">
        <v>10450</v>
      </c>
      <c r="V546" t="s">
        <v>10451</v>
      </c>
      <c r="W546" t="s">
        <v>10452</v>
      </c>
      <c r="X546" t="s">
        <v>10453</v>
      </c>
      <c r="Y546" t="s">
        <v>10454</v>
      </c>
      <c r="Z546" t="s">
        <v>10455</v>
      </c>
      <c r="AA546" t="s">
        <v>10456</v>
      </c>
      <c r="AB546" t="s">
        <v>74</v>
      </c>
      <c r="AC546" t="s">
        <v>10457</v>
      </c>
      <c r="AD546" t="s">
        <v>10458</v>
      </c>
      <c r="AE546" t="s">
        <v>10459</v>
      </c>
      <c r="AF546" t="s">
        <v>74</v>
      </c>
      <c r="AG546">
        <v>49</v>
      </c>
      <c r="AH546">
        <v>21</v>
      </c>
      <c r="AI546">
        <v>23</v>
      </c>
      <c r="AJ546">
        <v>3</v>
      </c>
      <c r="AK546">
        <v>17</v>
      </c>
      <c r="AL546" t="s">
        <v>7193</v>
      </c>
      <c r="AM546" t="s">
        <v>434</v>
      </c>
      <c r="AN546" t="s">
        <v>7194</v>
      </c>
      <c r="AO546" t="s">
        <v>7176</v>
      </c>
      <c r="AP546" t="s">
        <v>7195</v>
      </c>
      <c r="AQ546" t="s">
        <v>74</v>
      </c>
      <c r="AR546" t="s">
        <v>7177</v>
      </c>
      <c r="AS546" t="s">
        <v>7178</v>
      </c>
      <c r="AT546" t="s">
        <v>10359</v>
      </c>
      <c r="AU546">
        <v>2012</v>
      </c>
      <c r="AV546">
        <v>62</v>
      </c>
      <c r="AW546" t="s">
        <v>74</v>
      </c>
      <c r="AX546">
        <v>8</v>
      </c>
      <c r="AY546" t="s">
        <v>74</v>
      </c>
      <c r="AZ546" t="s">
        <v>74</v>
      </c>
      <c r="BA546" t="s">
        <v>74</v>
      </c>
      <c r="BB546">
        <v>1838</v>
      </c>
      <c r="BC546">
        <v>1844</v>
      </c>
      <c r="BD546" t="s">
        <v>74</v>
      </c>
      <c r="BE546" t="s">
        <v>10460</v>
      </c>
      <c r="BF546" t="str">
        <f>HYPERLINK("http://dx.doi.org/10.1099/ijs.0.035774-0","http://dx.doi.org/10.1099/ijs.0.035774-0")</f>
        <v>http://dx.doi.org/10.1099/ijs.0.035774-0</v>
      </c>
      <c r="BG546" t="s">
        <v>74</v>
      </c>
      <c r="BH546" t="s">
        <v>74</v>
      </c>
      <c r="BI546">
        <v>7</v>
      </c>
      <c r="BJ546" t="s">
        <v>775</v>
      </c>
      <c r="BK546" t="s">
        <v>98</v>
      </c>
      <c r="BL546" t="s">
        <v>775</v>
      </c>
      <c r="BM546" t="s">
        <v>10461</v>
      </c>
      <c r="BN546">
        <v>21984673</v>
      </c>
      <c r="BO546" t="s">
        <v>74</v>
      </c>
      <c r="BP546" t="s">
        <v>74</v>
      </c>
      <c r="BQ546" t="s">
        <v>74</v>
      </c>
      <c r="BR546" t="s">
        <v>101</v>
      </c>
      <c r="BS546" t="s">
        <v>10462</v>
      </c>
      <c r="BT546" t="str">
        <f>HYPERLINK("https%3A%2F%2Fwww.webofscience.com%2Fwos%2Fwoscc%2Ffull-record%2FWOS:000308849000020","View Full Record in Web of Science")</f>
        <v>View Full Record in Web of Science</v>
      </c>
    </row>
    <row r="547" spans="1:72" x14ac:dyDescent="0.15">
      <c r="A547" t="s">
        <v>72</v>
      </c>
      <c r="B547" t="s">
        <v>10463</v>
      </c>
      <c r="C547" t="s">
        <v>74</v>
      </c>
      <c r="D547" t="s">
        <v>74</v>
      </c>
      <c r="E547" t="s">
        <v>74</v>
      </c>
      <c r="F547" t="s">
        <v>10464</v>
      </c>
      <c r="G547" t="s">
        <v>74</v>
      </c>
      <c r="H547" t="s">
        <v>74</v>
      </c>
      <c r="I547" t="s">
        <v>10465</v>
      </c>
      <c r="J547" t="s">
        <v>7161</v>
      </c>
      <c r="K547" t="s">
        <v>74</v>
      </c>
      <c r="L547" t="s">
        <v>74</v>
      </c>
      <c r="M547" t="s">
        <v>78</v>
      </c>
      <c r="N547" t="s">
        <v>79</v>
      </c>
      <c r="O547" t="s">
        <v>74</v>
      </c>
      <c r="P547" t="s">
        <v>74</v>
      </c>
      <c r="Q547" t="s">
        <v>74</v>
      </c>
      <c r="R547" t="s">
        <v>74</v>
      </c>
      <c r="S547" t="s">
        <v>74</v>
      </c>
      <c r="T547" t="s">
        <v>74</v>
      </c>
      <c r="U547" t="s">
        <v>10466</v>
      </c>
      <c r="V547" t="s">
        <v>10467</v>
      </c>
      <c r="W547" t="s">
        <v>10468</v>
      </c>
      <c r="X547" t="s">
        <v>7165</v>
      </c>
      <c r="Y547" t="s">
        <v>7166</v>
      </c>
      <c r="Z547" t="s">
        <v>7167</v>
      </c>
      <c r="AA547" t="s">
        <v>7168</v>
      </c>
      <c r="AB547" t="s">
        <v>7169</v>
      </c>
      <c r="AC547" t="s">
        <v>10469</v>
      </c>
      <c r="AD547" t="s">
        <v>10470</v>
      </c>
      <c r="AE547" t="s">
        <v>10471</v>
      </c>
      <c r="AF547" t="s">
        <v>74</v>
      </c>
      <c r="AG547">
        <v>27</v>
      </c>
      <c r="AH547">
        <v>13</v>
      </c>
      <c r="AI547">
        <v>13</v>
      </c>
      <c r="AJ547">
        <v>0</v>
      </c>
      <c r="AK547">
        <v>4</v>
      </c>
      <c r="AL547" t="s">
        <v>7173</v>
      </c>
      <c r="AM547" t="s">
        <v>7174</v>
      </c>
      <c r="AN547" t="s">
        <v>7175</v>
      </c>
      <c r="AO547" t="s">
        <v>7176</v>
      </c>
      <c r="AP547" t="s">
        <v>74</v>
      </c>
      <c r="AQ547" t="s">
        <v>74</v>
      </c>
      <c r="AR547" t="s">
        <v>7177</v>
      </c>
      <c r="AS547" t="s">
        <v>7178</v>
      </c>
      <c r="AT547" t="s">
        <v>10359</v>
      </c>
      <c r="AU547">
        <v>2012</v>
      </c>
      <c r="AV547">
        <v>62</v>
      </c>
      <c r="AW547" t="s">
        <v>74</v>
      </c>
      <c r="AX547">
        <v>8</v>
      </c>
      <c r="AY547" t="s">
        <v>74</v>
      </c>
      <c r="AZ547" t="s">
        <v>74</v>
      </c>
      <c r="BA547" t="s">
        <v>74</v>
      </c>
      <c r="BB547">
        <v>1926</v>
      </c>
      <c r="BC547">
        <v>1931</v>
      </c>
      <c r="BD547" t="s">
        <v>74</v>
      </c>
      <c r="BE547" t="s">
        <v>10472</v>
      </c>
      <c r="BF547" t="str">
        <f>HYPERLINK("http://dx.doi.org/10.1099/ijs.0.036475-0","http://dx.doi.org/10.1099/ijs.0.036475-0")</f>
        <v>http://dx.doi.org/10.1099/ijs.0.036475-0</v>
      </c>
      <c r="BG547" t="s">
        <v>74</v>
      </c>
      <c r="BH547" t="s">
        <v>74</v>
      </c>
      <c r="BI547">
        <v>6</v>
      </c>
      <c r="BJ547" t="s">
        <v>775</v>
      </c>
      <c r="BK547" t="s">
        <v>98</v>
      </c>
      <c r="BL547" t="s">
        <v>775</v>
      </c>
      <c r="BM547" t="s">
        <v>10461</v>
      </c>
      <c r="BN547">
        <v>22003041</v>
      </c>
      <c r="BO547" t="s">
        <v>74</v>
      </c>
      <c r="BP547" t="s">
        <v>74</v>
      </c>
      <c r="BQ547" t="s">
        <v>74</v>
      </c>
      <c r="BR547" t="s">
        <v>101</v>
      </c>
      <c r="BS547" t="s">
        <v>10473</v>
      </c>
      <c r="BT547" t="str">
        <f>HYPERLINK("https%3A%2F%2Fwww.webofscience.com%2Fwos%2Fwoscc%2Ffull-record%2FWOS:000308849000034","View Full Record in Web of Science")</f>
        <v>View Full Record in Web of Science</v>
      </c>
    </row>
    <row r="548" spans="1:72" x14ac:dyDescent="0.15">
      <c r="A548" t="s">
        <v>72</v>
      </c>
      <c r="B548" t="s">
        <v>10474</v>
      </c>
      <c r="C548" t="s">
        <v>74</v>
      </c>
      <c r="D548" t="s">
        <v>74</v>
      </c>
      <c r="E548" t="s">
        <v>74</v>
      </c>
      <c r="F548" t="s">
        <v>10475</v>
      </c>
      <c r="G548" t="s">
        <v>74</v>
      </c>
      <c r="H548" t="s">
        <v>74</v>
      </c>
      <c r="I548" t="s">
        <v>10476</v>
      </c>
      <c r="J548" t="s">
        <v>7161</v>
      </c>
      <c r="K548" t="s">
        <v>74</v>
      </c>
      <c r="L548" t="s">
        <v>74</v>
      </c>
      <c r="M548" t="s">
        <v>78</v>
      </c>
      <c r="N548" t="s">
        <v>79</v>
      </c>
      <c r="O548" t="s">
        <v>74</v>
      </c>
      <c r="P548" t="s">
        <v>74</v>
      </c>
      <c r="Q548" t="s">
        <v>74</v>
      </c>
      <c r="R548" t="s">
        <v>74</v>
      </c>
      <c r="S548" t="s">
        <v>74</v>
      </c>
      <c r="T548" t="s">
        <v>74</v>
      </c>
      <c r="U548" t="s">
        <v>10477</v>
      </c>
      <c r="V548" t="s">
        <v>10478</v>
      </c>
      <c r="W548" t="s">
        <v>10479</v>
      </c>
      <c r="X548" t="s">
        <v>10480</v>
      </c>
      <c r="Y548" t="s">
        <v>10481</v>
      </c>
      <c r="Z548" t="s">
        <v>10482</v>
      </c>
      <c r="AA548" t="s">
        <v>74</v>
      </c>
      <c r="AB548" t="s">
        <v>10483</v>
      </c>
      <c r="AC548" t="s">
        <v>10484</v>
      </c>
      <c r="AD548" t="s">
        <v>1987</v>
      </c>
      <c r="AE548" t="s">
        <v>10485</v>
      </c>
      <c r="AF548" t="s">
        <v>74</v>
      </c>
      <c r="AG548">
        <v>31</v>
      </c>
      <c r="AH548">
        <v>16</v>
      </c>
      <c r="AI548">
        <v>17</v>
      </c>
      <c r="AJ548">
        <v>0</v>
      </c>
      <c r="AK548">
        <v>15</v>
      </c>
      <c r="AL548" t="s">
        <v>7193</v>
      </c>
      <c r="AM548" t="s">
        <v>434</v>
      </c>
      <c r="AN548" t="s">
        <v>10486</v>
      </c>
      <c r="AO548" t="s">
        <v>7176</v>
      </c>
      <c r="AP548" t="s">
        <v>7195</v>
      </c>
      <c r="AQ548" t="s">
        <v>74</v>
      </c>
      <c r="AR548" t="s">
        <v>7177</v>
      </c>
      <c r="AS548" t="s">
        <v>7178</v>
      </c>
      <c r="AT548" t="s">
        <v>10359</v>
      </c>
      <c r="AU548">
        <v>2012</v>
      </c>
      <c r="AV548">
        <v>62</v>
      </c>
      <c r="AW548" t="s">
        <v>74</v>
      </c>
      <c r="AX548">
        <v>8</v>
      </c>
      <c r="AY548" t="s">
        <v>74</v>
      </c>
      <c r="AZ548" t="s">
        <v>74</v>
      </c>
      <c r="BA548" t="s">
        <v>74</v>
      </c>
      <c r="BB548">
        <v>1945</v>
      </c>
      <c r="BC548">
        <v>1950</v>
      </c>
      <c r="BD548" t="s">
        <v>74</v>
      </c>
      <c r="BE548" t="s">
        <v>10487</v>
      </c>
      <c r="BF548" t="str">
        <f>HYPERLINK("http://dx.doi.org/10.1099/ijs.0.032953-0","http://dx.doi.org/10.1099/ijs.0.032953-0")</f>
        <v>http://dx.doi.org/10.1099/ijs.0.032953-0</v>
      </c>
      <c r="BG548" t="s">
        <v>74</v>
      </c>
      <c r="BH548" t="s">
        <v>74</v>
      </c>
      <c r="BI548">
        <v>6</v>
      </c>
      <c r="BJ548" t="s">
        <v>775</v>
      </c>
      <c r="BK548" t="s">
        <v>98</v>
      </c>
      <c r="BL548" t="s">
        <v>775</v>
      </c>
      <c r="BM548" t="s">
        <v>10461</v>
      </c>
      <c r="BN548">
        <v>22003040</v>
      </c>
      <c r="BO548" t="s">
        <v>74</v>
      </c>
      <c r="BP548" t="s">
        <v>74</v>
      </c>
      <c r="BQ548" t="s">
        <v>74</v>
      </c>
      <c r="BR548" t="s">
        <v>101</v>
      </c>
      <c r="BS548" t="s">
        <v>10488</v>
      </c>
      <c r="BT548" t="str">
        <f>HYPERLINK("https%3A%2F%2Fwww.webofscience.com%2Fwos%2Fwoscc%2Ffull-record%2FWOS:000308849000037","View Full Record in Web of Science")</f>
        <v>View Full Record in Web of Science</v>
      </c>
    </row>
    <row r="549" spans="1:72" x14ac:dyDescent="0.15">
      <c r="A549" t="s">
        <v>72</v>
      </c>
      <c r="B549" t="s">
        <v>10489</v>
      </c>
      <c r="C549" t="s">
        <v>74</v>
      </c>
      <c r="D549" t="s">
        <v>74</v>
      </c>
      <c r="E549" t="s">
        <v>74</v>
      </c>
      <c r="F549" t="s">
        <v>10490</v>
      </c>
      <c r="G549" t="s">
        <v>74</v>
      </c>
      <c r="H549" t="s">
        <v>74</v>
      </c>
      <c r="I549" t="s">
        <v>10491</v>
      </c>
      <c r="J549" t="s">
        <v>7161</v>
      </c>
      <c r="K549" t="s">
        <v>74</v>
      </c>
      <c r="L549" t="s">
        <v>74</v>
      </c>
      <c r="M549" t="s">
        <v>78</v>
      </c>
      <c r="N549" t="s">
        <v>79</v>
      </c>
      <c r="O549" t="s">
        <v>74</v>
      </c>
      <c r="P549" t="s">
        <v>74</v>
      </c>
      <c r="Q549" t="s">
        <v>74</v>
      </c>
      <c r="R549" t="s">
        <v>74</v>
      </c>
      <c r="S549" t="s">
        <v>74</v>
      </c>
      <c r="T549" t="s">
        <v>74</v>
      </c>
      <c r="U549" t="s">
        <v>10492</v>
      </c>
      <c r="V549" t="s">
        <v>10493</v>
      </c>
      <c r="W549" t="s">
        <v>10494</v>
      </c>
      <c r="X549" t="s">
        <v>7165</v>
      </c>
      <c r="Y549" t="s">
        <v>7166</v>
      </c>
      <c r="Z549" t="s">
        <v>7167</v>
      </c>
      <c r="AA549" t="s">
        <v>7168</v>
      </c>
      <c r="AB549" t="s">
        <v>10495</v>
      </c>
      <c r="AC549" t="s">
        <v>10496</v>
      </c>
      <c r="AD549" t="s">
        <v>10497</v>
      </c>
      <c r="AE549" t="s">
        <v>10498</v>
      </c>
      <c r="AF549" t="s">
        <v>74</v>
      </c>
      <c r="AG549">
        <v>37</v>
      </c>
      <c r="AH549">
        <v>13</v>
      </c>
      <c r="AI549">
        <v>13</v>
      </c>
      <c r="AJ549">
        <v>0</v>
      </c>
      <c r="AK549">
        <v>11</v>
      </c>
      <c r="AL549" t="s">
        <v>7193</v>
      </c>
      <c r="AM549" t="s">
        <v>434</v>
      </c>
      <c r="AN549" t="s">
        <v>7194</v>
      </c>
      <c r="AO549" t="s">
        <v>7176</v>
      </c>
      <c r="AP549" t="s">
        <v>7195</v>
      </c>
      <c r="AQ549" t="s">
        <v>74</v>
      </c>
      <c r="AR549" t="s">
        <v>7177</v>
      </c>
      <c r="AS549" t="s">
        <v>7178</v>
      </c>
      <c r="AT549" t="s">
        <v>10359</v>
      </c>
      <c r="AU549">
        <v>2012</v>
      </c>
      <c r="AV549">
        <v>62</v>
      </c>
      <c r="AW549" t="s">
        <v>74</v>
      </c>
      <c r="AX549">
        <v>8</v>
      </c>
      <c r="AY549" t="s">
        <v>74</v>
      </c>
      <c r="AZ549" t="s">
        <v>74</v>
      </c>
      <c r="BA549" t="s">
        <v>74</v>
      </c>
      <c r="BB549">
        <v>2025</v>
      </c>
      <c r="BC549">
        <v>2031</v>
      </c>
      <c r="BD549" t="s">
        <v>74</v>
      </c>
      <c r="BE549" t="s">
        <v>10499</v>
      </c>
      <c r="BF549" t="str">
        <f>HYPERLINK("http://dx.doi.org/10.1099/ijs.0.036350-0","http://dx.doi.org/10.1099/ijs.0.036350-0")</f>
        <v>http://dx.doi.org/10.1099/ijs.0.036350-0</v>
      </c>
      <c r="BG549" t="s">
        <v>74</v>
      </c>
      <c r="BH549" t="s">
        <v>74</v>
      </c>
      <c r="BI549">
        <v>7</v>
      </c>
      <c r="BJ549" t="s">
        <v>775</v>
      </c>
      <c r="BK549" t="s">
        <v>98</v>
      </c>
      <c r="BL549" t="s">
        <v>775</v>
      </c>
      <c r="BM549" t="s">
        <v>10461</v>
      </c>
      <c r="BN549">
        <v>22021575</v>
      </c>
      <c r="BO549" t="s">
        <v>607</v>
      </c>
      <c r="BP549" t="s">
        <v>74</v>
      </c>
      <c r="BQ549" t="s">
        <v>74</v>
      </c>
      <c r="BR549" t="s">
        <v>101</v>
      </c>
      <c r="BS549" t="s">
        <v>10500</v>
      </c>
      <c r="BT549" t="str">
        <f>HYPERLINK("https%3A%2F%2Fwww.webofscience.com%2Fwos%2Fwoscc%2Ffull-record%2FWOS:000308849000050","View Full Record in Web of Science")</f>
        <v>View Full Record in Web of Science</v>
      </c>
    </row>
    <row r="550" spans="1:72" x14ac:dyDescent="0.15">
      <c r="A550" t="s">
        <v>72</v>
      </c>
      <c r="B550" t="s">
        <v>10501</v>
      </c>
      <c r="C550" t="s">
        <v>74</v>
      </c>
      <c r="D550" t="s">
        <v>74</v>
      </c>
      <c r="E550" t="s">
        <v>74</v>
      </c>
      <c r="F550" t="s">
        <v>10502</v>
      </c>
      <c r="G550" t="s">
        <v>74</v>
      </c>
      <c r="H550" t="s">
        <v>74</v>
      </c>
      <c r="I550" t="s">
        <v>10503</v>
      </c>
      <c r="J550" t="s">
        <v>10504</v>
      </c>
      <c r="K550" t="s">
        <v>74</v>
      </c>
      <c r="L550" t="s">
        <v>74</v>
      </c>
      <c r="M550" t="s">
        <v>78</v>
      </c>
      <c r="N550" t="s">
        <v>79</v>
      </c>
      <c r="O550" t="s">
        <v>74</v>
      </c>
      <c r="P550" t="s">
        <v>74</v>
      </c>
      <c r="Q550" t="s">
        <v>74</v>
      </c>
      <c r="R550" t="s">
        <v>74</v>
      </c>
      <c r="S550" t="s">
        <v>74</v>
      </c>
      <c r="T550" t="s">
        <v>10505</v>
      </c>
      <c r="U550" t="s">
        <v>10506</v>
      </c>
      <c r="V550" t="s">
        <v>10507</v>
      </c>
      <c r="W550" t="s">
        <v>10508</v>
      </c>
      <c r="X550" t="s">
        <v>10509</v>
      </c>
      <c r="Y550" t="s">
        <v>10510</v>
      </c>
      <c r="Z550" t="s">
        <v>10511</v>
      </c>
      <c r="AA550" t="s">
        <v>10512</v>
      </c>
      <c r="AB550" t="s">
        <v>10513</v>
      </c>
      <c r="AC550" t="s">
        <v>10514</v>
      </c>
      <c r="AD550" t="s">
        <v>10515</v>
      </c>
      <c r="AE550" t="s">
        <v>10516</v>
      </c>
      <c r="AF550" t="s">
        <v>74</v>
      </c>
      <c r="AG550">
        <v>81</v>
      </c>
      <c r="AH550">
        <v>13</v>
      </c>
      <c r="AI550">
        <v>14</v>
      </c>
      <c r="AJ550">
        <v>0</v>
      </c>
      <c r="AK550">
        <v>22</v>
      </c>
      <c r="AL550" t="s">
        <v>1694</v>
      </c>
      <c r="AM550" t="s">
        <v>1695</v>
      </c>
      <c r="AN550" t="s">
        <v>1696</v>
      </c>
      <c r="AO550" t="s">
        <v>10517</v>
      </c>
      <c r="AP550" t="s">
        <v>10518</v>
      </c>
      <c r="AQ550" t="s">
        <v>74</v>
      </c>
      <c r="AR550" t="s">
        <v>10519</v>
      </c>
      <c r="AS550" t="s">
        <v>10520</v>
      </c>
      <c r="AT550" t="s">
        <v>10359</v>
      </c>
      <c r="AU550">
        <v>2012</v>
      </c>
      <c r="AV550">
        <v>93</v>
      </c>
      <c r="AW550">
        <v>4</v>
      </c>
      <c r="AX550" t="s">
        <v>74</v>
      </c>
      <c r="AY550" t="s">
        <v>74</v>
      </c>
      <c r="AZ550" t="s">
        <v>74</v>
      </c>
      <c r="BA550" t="s">
        <v>74</v>
      </c>
      <c r="BB550">
        <v>1006</v>
      </c>
      <c r="BC550">
        <v>1016</v>
      </c>
      <c r="BD550" t="s">
        <v>74</v>
      </c>
      <c r="BE550" t="s">
        <v>10521</v>
      </c>
      <c r="BF550" t="str">
        <f>HYPERLINK("http://dx.doi.org/10.1644/11-MAMM-A-220.2","http://dx.doi.org/10.1644/11-MAMM-A-220.2")</f>
        <v>http://dx.doi.org/10.1644/11-MAMM-A-220.2</v>
      </c>
      <c r="BG550" t="s">
        <v>74</v>
      </c>
      <c r="BH550" t="s">
        <v>74</v>
      </c>
      <c r="BI550">
        <v>11</v>
      </c>
      <c r="BJ550" t="s">
        <v>675</v>
      </c>
      <c r="BK550" t="s">
        <v>98</v>
      </c>
      <c r="BL550" t="s">
        <v>675</v>
      </c>
      <c r="BM550" t="s">
        <v>10522</v>
      </c>
      <c r="BN550" t="s">
        <v>74</v>
      </c>
      <c r="BO550" t="s">
        <v>607</v>
      </c>
      <c r="BP550" t="s">
        <v>74</v>
      </c>
      <c r="BQ550" t="s">
        <v>74</v>
      </c>
      <c r="BR550" t="s">
        <v>101</v>
      </c>
      <c r="BS550" t="s">
        <v>10523</v>
      </c>
      <c r="BT550" t="str">
        <f>HYPERLINK("https%3A%2F%2Fwww.webofscience.com%2Fwos%2Fwoscc%2Ffull-record%2FWOS:000309014200011","View Full Record in Web of Science")</f>
        <v>View Full Record in Web of Science</v>
      </c>
    </row>
    <row r="551" spans="1:72" x14ac:dyDescent="0.15">
      <c r="A551" t="s">
        <v>72</v>
      </c>
      <c r="B551" t="s">
        <v>10524</v>
      </c>
      <c r="C551" t="s">
        <v>74</v>
      </c>
      <c r="D551" t="s">
        <v>74</v>
      </c>
      <c r="E551" t="s">
        <v>74</v>
      </c>
      <c r="F551" t="s">
        <v>10525</v>
      </c>
      <c r="G551" t="s">
        <v>74</v>
      </c>
      <c r="H551" t="s">
        <v>74</v>
      </c>
      <c r="I551" t="s">
        <v>10526</v>
      </c>
      <c r="J551" t="s">
        <v>10527</v>
      </c>
      <c r="K551" t="s">
        <v>74</v>
      </c>
      <c r="L551" t="s">
        <v>74</v>
      </c>
      <c r="M551" t="s">
        <v>78</v>
      </c>
      <c r="N551" t="s">
        <v>79</v>
      </c>
      <c r="O551" t="s">
        <v>74</v>
      </c>
      <c r="P551" t="s">
        <v>74</v>
      </c>
      <c r="Q551" t="s">
        <v>74</v>
      </c>
      <c r="R551" t="s">
        <v>74</v>
      </c>
      <c r="S551" t="s">
        <v>74</v>
      </c>
      <c r="T551" t="s">
        <v>10528</v>
      </c>
      <c r="U551" t="s">
        <v>10529</v>
      </c>
      <c r="V551" t="s">
        <v>10530</v>
      </c>
      <c r="W551" t="s">
        <v>10531</v>
      </c>
      <c r="X551" t="s">
        <v>10532</v>
      </c>
      <c r="Y551" t="s">
        <v>10533</v>
      </c>
      <c r="Z551" t="s">
        <v>10534</v>
      </c>
      <c r="AA551" t="s">
        <v>10535</v>
      </c>
      <c r="AB551" t="s">
        <v>10536</v>
      </c>
      <c r="AC551" t="s">
        <v>74</v>
      </c>
      <c r="AD551" t="s">
        <v>74</v>
      </c>
      <c r="AE551" t="s">
        <v>74</v>
      </c>
      <c r="AF551" t="s">
        <v>74</v>
      </c>
      <c r="AG551">
        <v>20</v>
      </c>
      <c r="AH551">
        <v>1</v>
      </c>
      <c r="AI551">
        <v>3</v>
      </c>
      <c r="AJ551">
        <v>0</v>
      </c>
      <c r="AK551">
        <v>3</v>
      </c>
      <c r="AL551" t="s">
        <v>10537</v>
      </c>
      <c r="AM551" t="s">
        <v>6090</v>
      </c>
      <c r="AN551" t="s">
        <v>10538</v>
      </c>
      <c r="AO551" t="s">
        <v>10539</v>
      </c>
      <c r="AP551" t="s">
        <v>10540</v>
      </c>
      <c r="AQ551" t="s">
        <v>74</v>
      </c>
      <c r="AR551" t="s">
        <v>10541</v>
      </c>
      <c r="AS551" t="s">
        <v>10542</v>
      </c>
      <c r="AT551" t="s">
        <v>10359</v>
      </c>
      <c r="AU551">
        <v>2012</v>
      </c>
      <c r="AV551">
        <v>47</v>
      </c>
      <c r="AW551">
        <v>2</v>
      </c>
      <c r="AX551" t="s">
        <v>74</v>
      </c>
      <c r="AY551" t="s">
        <v>74</v>
      </c>
      <c r="AZ551" t="s">
        <v>74</v>
      </c>
      <c r="BA551" t="s">
        <v>74</v>
      </c>
      <c r="BB551">
        <v>311</v>
      </c>
      <c r="BC551">
        <v>316</v>
      </c>
      <c r="BD551" t="s">
        <v>74</v>
      </c>
      <c r="BE551" t="s">
        <v>10543</v>
      </c>
      <c r="BF551" t="str">
        <f>HYPERLINK("http://dx.doi.org/10.4067/S0718-19572012000200012","http://dx.doi.org/10.4067/S0718-19572012000200012")</f>
        <v>http://dx.doi.org/10.4067/S0718-19572012000200012</v>
      </c>
      <c r="BG551" t="s">
        <v>74</v>
      </c>
      <c r="BH551" t="s">
        <v>74</v>
      </c>
      <c r="BI551">
        <v>6</v>
      </c>
      <c r="BJ551" t="s">
        <v>1161</v>
      </c>
      <c r="BK551" t="s">
        <v>98</v>
      </c>
      <c r="BL551" t="s">
        <v>1161</v>
      </c>
      <c r="BM551" t="s">
        <v>10544</v>
      </c>
      <c r="BN551" t="s">
        <v>74</v>
      </c>
      <c r="BO551" t="s">
        <v>589</v>
      </c>
      <c r="BP551" t="s">
        <v>74</v>
      </c>
      <c r="BQ551" t="s">
        <v>74</v>
      </c>
      <c r="BR551" t="s">
        <v>101</v>
      </c>
      <c r="BS551" t="s">
        <v>10545</v>
      </c>
      <c r="BT551" t="str">
        <f>HYPERLINK("https%3A%2F%2Fwww.webofscience.com%2Fwos%2Fwoscc%2Ffull-record%2FWOS:000308797000012","View Full Record in Web of Science")</f>
        <v>View Full Record in Web of Science</v>
      </c>
    </row>
    <row r="552" spans="1:72" x14ac:dyDescent="0.15">
      <c r="A552" t="s">
        <v>72</v>
      </c>
      <c r="B552" t="s">
        <v>10546</v>
      </c>
      <c r="C552" t="s">
        <v>74</v>
      </c>
      <c r="D552" t="s">
        <v>74</v>
      </c>
      <c r="E552" t="s">
        <v>74</v>
      </c>
      <c r="F552" t="s">
        <v>10547</v>
      </c>
      <c r="G552" t="s">
        <v>74</v>
      </c>
      <c r="H552" t="s">
        <v>74</v>
      </c>
      <c r="I552" t="s">
        <v>10548</v>
      </c>
      <c r="J552" t="s">
        <v>10549</v>
      </c>
      <c r="K552" t="s">
        <v>74</v>
      </c>
      <c r="L552" t="s">
        <v>74</v>
      </c>
      <c r="M552" t="s">
        <v>78</v>
      </c>
      <c r="N552" t="s">
        <v>79</v>
      </c>
      <c r="O552" t="s">
        <v>74</v>
      </c>
      <c r="P552" t="s">
        <v>74</v>
      </c>
      <c r="Q552" t="s">
        <v>74</v>
      </c>
      <c r="R552" t="s">
        <v>74</v>
      </c>
      <c r="S552" t="s">
        <v>74</v>
      </c>
      <c r="T552" t="s">
        <v>74</v>
      </c>
      <c r="U552" t="s">
        <v>10550</v>
      </c>
      <c r="V552" t="s">
        <v>10551</v>
      </c>
      <c r="W552" t="s">
        <v>10552</v>
      </c>
      <c r="X552" t="s">
        <v>10553</v>
      </c>
      <c r="Y552" t="s">
        <v>10554</v>
      </c>
      <c r="Z552" t="s">
        <v>10555</v>
      </c>
      <c r="AA552" t="s">
        <v>10556</v>
      </c>
      <c r="AB552" t="s">
        <v>10557</v>
      </c>
      <c r="AC552" t="s">
        <v>74</v>
      </c>
      <c r="AD552" t="s">
        <v>74</v>
      </c>
      <c r="AE552" t="s">
        <v>74</v>
      </c>
      <c r="AF552" t="s">
        <v>74</v>
      </c>
      <c r="AG552">
        <v>52</v>
      </c>
      <c r="AH552">
        <v>4</v>
      </c>
      <c r="AI552">
        <v>6</v>
      </c>
      <c r="AJ552">
        <v>0</v>
      </c>
      <c r="AK552">
        <v>15</v>
      </c>
      <c r="AL552" t="s">
        <v>10558</v>
      </c>
      <c r="AM552" t="s">
        <v>10559</v>
      </c>
      <c r="AN552" t="s">
        <v>10560</v>
      </c>
      <c r="AO552" t="s">
        <v>10561</v>
      </c>
      <c r="AP552" t="s">
        <v>10562</v>
      </c>
      <c r="AQ552" t="s">
        <v>74</v>
      </c>
      <c r="AR552" t="s">
        <v>10563</v>
      </c>
      <c r="AS552" t="s">
        <v>10564</v>
      </c>
      <c r="AT552" t="s">
        <v>10359</v>
      </c>
      <c r="AU552">
        <v>2012</v>
      </c>
      <c r="AV552">
        <v>132</v>
      </c>
      <c r="AW552">
        <v>2</v>
      </c>
      <c r="AX552" t="s">
        <v>74</v>
      </c>
      <c r="AY552" t="s">
        <v>74</v>
      </c>
      <c r="AZ552" t="s">
        <v>74</v>
      </c>
      <c r="BA552" t="s">
        <v>74</v>
      </c>
      <c r="BB552">
        <v>670</v>
      </c>
      <c r="BC552">
        <v>679</v>
      </c>
      <c r="BD552" t="s">
        <v>74</v>
      </c>
      <c r="BE552" t="s">
        <v>10565</v>
      </c>
      <c r="BF552" t="str">
        <f>HYPERLINK("http://dx.doi.org/10.1121/1.4730904","http://dx.doi.org/10.1121/1.4730904")</f>
        <v>http://dx.doi.org/10.1121/1.4730904</v>
      </c>
      <c r="BG552" t="s">
        <v>74</v>
      </c>
      <c r="BH552" t="s">
        <v>74</v>
      </c>
      <c r="BI552">
        <v>10</v>
      </c>
      <c r="BJ552" t="s">
        <v>10566</v>
      </c>
      <c r="BK552" t="s">
        <v>98</v>
      </c>
      <c r="BL552" t="s">
        <v>10566</v>
      </c>
      <c r="BM552" t="s">
        <v>10567</v>
      </c>
      <c r="BN552">
        <v>22894189</v>
      </c>
      <c r="BO552" t="s">
        <v>1254</v>
      </c>
      <c r="BP552" t="s">
        <v>74</v>
      </c>
      <c r="BQ552" t="s">
        <v>74</v>
      </c>
      <c r="BR552" t="s">
        <v>101</v>
      </c>
      <c r="BS552" t="s">
        <v>10568</v>
      </c>
      <c r="BT552" t="str">
        <f>HYPERLINK("https%3A%2F%2Fwww.webofscience.com%2Fwos%2Fwoscc%2Ffull-record%2FWOS:000309079200026","View Full Record in Web of Science")</f>
        <v>View Full Record in Web of Science</v>
      </c>
    </row>
    <row r="553" spans="1:72" x14ac:dyDescent="0.15">
      <c r="A553" t="s">
        <v>72</v>
      </c>
      <c r="B553" t="s">
        <v>10569</v>
      </c>
      <c r="C553" t="s">
        <v>74</v>
      </c>
      <c r="D553" t="s">
        <v>74</v>
      </c>
      <c r="E553" t="s">
        <v>74</v>
      </c>
      <c r="F553" t="s">
        <v>10570</v>
      </c>
      <c r="G553" t="s">
        <v>74</v>
      </c>
      <c r="H553" t="s">
        <v>74</v>
      </c>
      <c r="I553" t="s">
        <v>10571</v>
      </c>
      <c r="J553" t="s">
        <v>222</v>
      </c>
      <c r="K553" t="s">
        <v>74</v>
      </c>
      <c r="L553" t="s">
        <v>74</v>
      </c>
      <c r="M553" t="s">
        <v>78</v>
      </c>
      <c r="N553" t="s">
        <v>79</v>
      </c>
      <c r="O553" t="s">
        <v>74</v>
      </c>
      <c r="P553" t="s">
        <v>74</v>
      </c>
      <c r="Q553" t="s">
        <v>74</v>
      </c>
      <c r="R553" t="s">
        <v>74</v>
      </c>
      <c r="S553" t="s">
        <v>74</v>
      </c>
      <c r="T553" t="s">
        <v>10572</v>
      </c>
      <c r="U553" t="s">
        <v>10573</v>
      </c>
      <c r="V553" t="s">
        <v>10574</v>
      </c>
      <c r="W553" t="s">
        <v>10575</v>
      </c>
      <c r="X553" t="s">
        <v>10576</v>
      </c>
      <c r="Y553" t="s">
        <v>10577</v>
      </c>
      <c r="Z553" t="s">
        <v>10578</v>
      </c>
      <c r="AA553" t="s">
        <v>10579</v>
      </c>
      <c r="AB553" t="s">
        <v>10580</v>
      </c>
      <c r="AC553" t="s">
        <v>10581</v>
      </c>
      <c r="AD553" t="s">
        <v>10582</v>
      </c>
      <c r="AE553" t="s">
        <v>10583</v>
      </c>
      <c r="AF553" t="s">
        <v>74</v>
      </c>
      <c r="AG553">
        <v>84</v>
      </c>
      <c r="AH553">
        <v>27</v>
      </c>
      <c r="AI553">
        <v>28</v>
      </c>
      <c r="AJ553">
        <v>2</v>
      </c>
      <c r="AK553">
        <v>24</v>
      </c>
      <c r="AL553" t="s">
        <v>259</v>
      </c>
      <c r="AM553" t="s">
        <v>189</v>
      </c>
      <c r="AN553" t="s">
        <v>260</v>
      </c>
      <c r="AO553" t="s">
        <v>235</v>
      </c>
      <c r="AP553" t="s">
        <v>236</v>
      </c>
      <c r="AQ553" t="s">
        <v>74</v>
      </c>
      <c r="AR553" t="s">
        <v>237</v>
      </c>
      <c r="AS553" t="s">
        <v>238</v>
      </c>
      <c r="AT553" t="s">
        <v>10359</v>
      </c>
      <c r="AU553">
        <v>2012</v>
      </c>
      <c r="AV553">
        <v>341</v>
      </c>
      <c r="AW553" t="s">
        <v>74</v>
      </c>
      <c r="AX553" t="s">
        <v>74</v>
      </c>
      <c r="AY553" t="s">
        <v>74</v>
      </c>
      <c r="AZ553" t="s">
        <v>74</v>
      </c>
      <c r="BA553" t="s">
        <v>74</v>
      </c>
      <c r="BB553">
        <v>195</v>
      </c>
      <c r="BC553">
        <v>210</v>
      </c>
      <c r="BD553" t="s">
        <v>74</v>
      </c>
      <c r="BE553" t="s">
        <v>10584</v>
      </c>
      <c r="BF553" t="str">
        <f>HYPERLINK("http://dx.doi.org/10.1016/j.epsl.2012.06.002","http://dx.doi.org/10.1016/j.epsl.2012.06.002")</f>
        <v>http://dx.doi.org/10.1016/j.epsl.2012.06.002</v>
      </c>
      <c r="BG553" t="s">
        <v>74</v>
      </c>
      <c r="BH553" t="s">
        <v>74</v>
      </c>
      <c r="BI553">
        <v>16</v>
      </c>
      <c r="BJ553" t="s">
        <v>241</v>
      </c>
      <c r="BK553" t="s">
        <v>98</v>
      </c>
      <c r="BL553" t="s">
        <v>241</v>
      </c>
      <c r="BM553" t="s">
        <v>10585</v>
      </c>
      <c r="BN553" t="s">
        <v>74</v>
      </c>
      <c r="BO553" t="s">
        <v>74</v>
      </c>
      <c r="BP553" t="s">
        <v>74</v>
      </c>
      <c r="BQ553" t="s">
        <v>74</v>
      </c>
      <c r="BR553" t="s">
        <v>101</v>
      </c>
      <c r="BS553" t="s">
        <v>10586</v>
      </c>
      <c r="BT553" t="str">
        <f>HYPERLINK("https%3A%2F%2Fwww.webofscience.com%2Fwos%2Fwoscc%2Ffull-record%2FWOS:000308624800019","View Full Record in Web of Science")</f>
        <v>View Full Record in Web of Science</v>
      </c>
    </row>
    <row r="554" spans="1:72" x14ac:dyDescent="0.15">
      <c r="A554" t="s">
        <v>72</v>
      </c>
      <c r="B554" t="s">
        <v>10587</v>
      </c>
      <c r="C554" t="s">
        <v>74</v>
      </c>
      <c r="D554" t="s">
        <v>74</v>
      </c>
      <c r="E554" t="s">
        <v>74</v>
      </c>
      <c r="F554" t="s">
        <v>10588</v>
      </c>
      <c r="G554" t="s">
        <v>74</v>
      </c>
      <c r="H554" t="s">
        <v>74</v>
      </c>
      <c r="I554" t="s">
        <v>10589</v>
      </c>
      <c r="J554" t="s">
        <v>10590</v>
      </c>
      <c r="K554" t="s">
        <v>74</v>
      </c>
      <c r="L554" t="s">
        <v>74</v>
      </c>
      <c r="M554" t="s">
        <v>78</v>
      </c>
      <c r="N554" t="s">
        <v>79</v>
      </c>
      <c r="O554" t="s">
        <v>74</v>
      </c>
      <c r="P554" t="s">
        <v>74</v>
      </c>
      <c r="Q554" t="s">
        <v>74</v>
      </c>
      <c r="R554" t="s">
        <v>74</v>
      </c>
      <c r="S554" t="s">
        <v>74</v>
      </c>
      <c r="T554" t="s">
        <v>10591</v>
      </c>
      <c r="U554" t="s">
        <v>10592</v>
      </c>
      <c r="V554" t="s">
        <v>10593</v>
      </c>
      <c r="W554" t="s">
        <v>10594</v>
      </c>
      <c r="X554" t="s">
        <v>10595</v>
      </c>
      <c r="Y554" t="s">
        <v>10596</v>
      </c>
      <c r="Z554" t="s">
        <v>10597</v>
      </c>
      <c r="AA554" t="s">
        <v>10598</v>
      </c>
      <c r="AB554" t="s">
        <v>10599</v>
      </c>
      <c r="AC554" t="s">
        <v>10600</v>
      </c>
      <c r="AD554" t="s">
        <v>10601</v>
      </c>
      <c r="AE554" t="s">
        <v>10602</v>
      </c>
      <c r="AF554" t="s">
        <v>74</v>
      </c>
      <c r="AG554">
        <v>49</v>
      </c>
      <c r="AH554">
        <v>19</v>
      </c>
      <c r="AI554">
        <v>22</v>
      </c>
      <c r="AJ554">
        <v>0</v>
      </c>
      <c r="AK554">
        <v>12</v>
      </c>
      <c r="AL554" t="s">
        <v>10603</v>
      </c>
      <c r="AM554" t="s">
        <v>10604</v>
      </c>
      <c r="AN554" t="s">
        <v>10605</v>
      </c>
      <c r="AO554" t="s">
        <v>10606</v>
      </c>
      <c r="AP554" t="s">
        <v>10607</v>
      </c>
      <c r="AQ554" t="s">
        <v>74</v>
      </c>
      <c r="AR554" t="s">
        <v>10608</v>
      </c>
      <c r="AS554" t="s">
        <v>10609</v>
      </c>
      <c r="AT554" t="s">
        <v>10359</v>
      </c>
      <c r="AU554">
        <v>2012</v>
      </c>
      <c r="AV554">
        <v>31</v>
      </c>
      <c r="AW554">
        <v>3</v>
      </c>
      <c r="AX554" t="s">
        <v>74</v>
      </c>
      <c r="AY554" t="s">
        <v>74</v>
      </c>
      <c r="AZ554" t="s">
        <v>74</v>
      </c>
      <c r="BA554" t="s">
        <v>74</v>
      </c>
      <c r="BB554">
        <v>875</v>
      </c>
      <c r="BC554">
        <v>883</v>
      </c>
      <c r="BD554" t="s">
        <v>74</v>
      </c>
      <c r="BE554" t="s">
        <v>10610</v>
      </c>
      <c r="BF554" t="str">
        <f>HYPERLINK("http://dx.doi.org/10.2983/035.031.0336","http://dx.doi.org/10.2983/035.031.0336")</f>
        <v>http://dx.doi.org/10.2983/035.031.0336</v>
      </c>
      <c r="BG554" t="s">
        <v>74</v>
      </c>
      <c r="BH554" t="s">
        <v>74</v>
      </c>
      <c r="BI554">
        <v>9</v>
      </c>
      <c r="BJ554" t="s">
        <v>4156</v>
      </c>
      <c r="BK554" t="s">
        <v>98</v>
      </c>
      <c r="BL554" t="s">
        <v>4156</v>
      </c>
      <c r="BM554" t="s">
        <v>10611</v>
      </c>
      <c r="BN554" t="s">
        <v>74</v>
      </c>
      <c r="BO554" t="s">
        <v>1254</v>
      </c>
      <c r="BP554" t="s">
        <v>74</v>
      </c>
      <c r="BQ554" t="s">
        <v>74</v>
      </c>
      <c r="BR554" t="s">
        <v>101</v>
      </c>
      <c r="BS554" t="s">
        <v>10612</v>
      </c>
      <c r="BT554" t="str">
        <f>HYPERLINK("https%3A%2F%2Fwww.webofscience.com%2Fwos%2Fwoscc%2Ffull-record%2FWOS:000308254800036","View Full Record in Web of Science")</f>
        <v>View Full Record in Web of Science</v>
      </c>
    </row>
    <row r="555" spans="1:72" x14ac:dyDescent="0.15">
      <c r="A555" t="s">
        <v>72</v>
      </c>
      <c r="B555" t="s">
        <v>10613</v>
      </c>
      <c r="C555" t="s">
        <v>74</v>
      </c>
      <c r="D555" t="s">
        <v>74</v>
      </c>
      <c r="E555" t="s">
        <v>74</v>
      </c>
      <c r="F555" t="s">
        <v>10614</v>
      </c>
      <c r="G555" t="s">
        <v>74</v>
      </c>
      <c r="H555" t="s">
        <v>74</v>
      </c>
      <c r="I555" t="s">
        <v>10615</v>
      </c>
      <c r="J555" t="s">
        <v>10616</v>
      </c>
      <c r="K555" t="s">
        <v>74</v>
      </c>
      <c r="L555" t="s">
        <v>74</v>
      </c>
      <c r="M555" t="s">
        <v>78</v>
      </c>
      <c r="N555" t="s">
        <v>79</v>
      </c>
      <c r="O555" t="s">
        <v>74</v>
      </c>
      <c r="P555" t="s">
        <v>74</v>
      </c>
      <c r="Q555" t="s">
        <v>74</v>
      </c>
      <c r="R555" t="s">
        <v>74</v>
      </c>
      <c r="S555" t="s">
        <v>74</v>
      </c>
      <c r="T555" t="s">
        <v>10617</v>
      </c>
      <c r="U555" t="s">
        <v>10618</v>
      </c>
      <c r="V555" t="s">
        <v>10619</v>
      </c>
      <c r="W555" t="s">
        <v>10620</v>
      </c>
      <c r="X555" t="s">
        <v>10621</v>
      </c>
      <c r="Y555" t="s">
        <v>10622</v>
      </c>
      <c r="Z555" t="s">
        <v>10623</v>
      </c>
      <c r="AA555" t="s">
        <v>10624</v>
      </c>
      <c r="AB555" t="s">
        <v>10625</v>
      </c>
      <c r="AC555" t="s">
        <v>10626</v>
      </c>
      <c r="AD555" t="s">
        <v>10627</v>
      </c>
      <c r="AE555" t="s">
        <v>10628</v>
      </c>
      <c r="AF555" t="s">
        <v>74</v>
      </c>
      <c r="AG555">
        <v>28</v>
      </c>
      <c r="AH555">
        <v>3</v>
      </c>
      <c r="AI555">
        <v>3</v>
      </c>
      <c r="AJ555">
        <v>0</v>
      </c>
      <c r="AK555">
        <v>13</v>
      </c>
      <c r="AL555" t="s">
        <v>1245</v>
      </c>
      <c r="AM555" t="s">
        <v>1246</v>
      </c>
      <c r="AN555" t="s">
        <v>1247</v>
      </c>
      <c r="AO555" t="s">
        <v>10629</v>
      </c>
      <c r="AP555" t="s">
        <v>10630</v>
      </c>
      <c r="AQ555" t="s">
        <v>74</v>
      </c>
      <c r="AR555" t="s">
        <v>10631</v>
      </c>
      <c r="AS555" t="s">
        <v>10632</v>
      </c>
      <c r="AT555" t="s">
        <v>10359</v>
      </c>
      <c r="AU555">
        <v>2012</v>
      </c>
      <c r="AV555">
        <v>26</v>
      </c>
      <c r="AW555">
        <v>4</v>
      </c>
      <c r="AX555" t="s">
        <v>74</v>
      </c>
      <c r="AY555" t="s">
        <v>74</v>
      </c>
      <c r="AZ555" t="s">
        <v>74</v>
      </c>
      <c r="BA555" t="s">
        <v>74</v>
      </c>
      <c r="BB555">
        <v>3123</v>
      </c>
      <c r="BC555">
        <v>3128</v>
      </c>
      <c r="BD555" t="s">
        <v>74</v>
      </c>
      <c r="BE555" t="s">
        <v>10633</v>
      </c>
      <c r="BF555" t="str">
        <f>HYPERLINK("http://dx.doi.org/10.5504/BBEQ.2012.0038","http://dx.doi.org/10.5504/BBEQ.2012.0038")</f>
        <v>http://dx.doi.org/10.5504/BBEQ.2012.0038</v>
      </c>
      <c r="BG555" t="s">
        <v>74</v>
      </c>
      <c r="BH555" t="s">
        <v>74</v>
      </c>
      <c r="BI555">
        <v>6</v>
      </c>
      <c r="BJ555" t="s">
        <v>8329</v>
      </c>
      <c r="BK555" t="s">
        <v>98</v>
      </c>
      <c r="BL555" t="s">
        <v>8329</v>
      </c>
      <c r="BM555" t="s">
        <v>10634</v>
      </c>
      <c r="BN555" t="s">
        <v>74</v>
      </c>
      <c r="BO555" t="s">
        <v>74</v>
      </c>
      <c r="BP555" t="s">
        <v>74</v>
      </c>
      <c r="BQ555" t="s">
        <v>74</v>
      </c>
      <c r="BR555" t="s">
        <v>101</v>
      </c>
      <c r="BS555" t="s">
        <v>10635</v>
      </c>
      <c r="BT555" t="str">
        <f>HYPERLINK("https%3A%2F%2Fwww.webofscience.com%2Fwos%2Fwoscc%2Ffull-record%2FWOS:000307803600010","View Full Record in Web of Science")</f>
        <v>View Full Record in Web of Science</v>
      </c>
    </row>
    <row r="556" spans="1:72" x14ac:dyDescent="0.15">
      <c r="A556" t="s">
        <v>72</v>
      </c>
      <c r="B556" t="s">
        <v>1108</v>
      </c>
      <c r="C556" t="s">
        <v>74</v>
      </c>
      <c r="D556" t="s">
        <v>74</v>
      </c>
      <c r="E556" t="s">
        <v>74</v>
      </c>
      <c r="F556" t="s">
        <v>1109</v>
      </c>
      <c r="G556" t="s">
        <v>74</v>
      </c>
      <c r="H556" t="s">
        <v>74</v>
      </c>
      <c r="I556" t="s">
        <v>10636</v>
      </c>
      <c r="J556" t="s">
        <v>1068</v>
      </c>
      <c r="K556" t="s">
        <v>74</v>
      </c>
      <c r="L556" t="s">
        <v>74</v>
      </c>
      <c r="M556" t="s">
        <v>78</v>
      </c>
      <c r="N556" t="s">
        <v>79</v>
      </c>
      <c r="O556" t="s">
        <v>74</v>
      </c>
      <c r="P556" t="s">
        <v>74</v>
      </c>
      <c r="Q556" t="s">
        <v>74</v>
      </c>
      <c r="R556" t="s">
        <v>74</v>
      </c>
      <c r="S556" t="s">
        <v>74</v>
      </c>
      <c r="T556" t="s">
        <v>10637</v>
      </c>
      <c r="U556" t="s">
        <v>10638</v>
      </c>
      <c r="V556" t="s">
        <v>10639</v>
      </c>
      <c r="W556" t="s">
        <v>10640</v>
      </c>
      <c r="X556" t="s">
        <v>1073</v>
      </c>
      <c r="Y556" t="s">
        <v>1074</v>
      </c>
      <c r="Z556" t="s">
        <v>1075</v>
      </c>
      <c r="AA556" t="s">
        <v>1076</v>
      </c>
      <c r="AB556" t="s">
        <v>1077</v>
      </c>
      <c r="AC556" t="s">
        <v>1078</v>
      </c>
      <c r="AD556" t="s">
        <v>1079</v>
      </c>
      <c r="AE556" t="s">
        <v>10641</v>
      </c>
      <c r="AF556" t="s">
        <v>74</v>
      </c>
      <c r="AG556">
        <v>119</v>
      </c>
      <c r="AH556">
        <v>33</v>
      </c>
      <c r="AI556">
        <v>37</v>
      </c>
      <c r="AJ556">
        <v>0</v>
      </c>
      <c r="AK556">
        <v>7</v>
      </c>
      <c r="AL556" t="s">
        <v>1081</v>
      </c>
      <c r="AM556" t="s">
        <v>1082</v>
      </c>
      <c r="AN556" t="s">
        <v>1083</v>
      </c>
      <c r="AO556" t="s">
        <v>1084</v>
      </c>
      <c r="AP556" t="s">
        <v>74</v>
      </c>
      <c r="AQ556" t="s">
        <v>74</v>
      </c>
      <c r="AR556" t="s">
        <v>1068</v>
      </c>
      <c r="AS556" t="s">
        <v>1086</v>
      </c>
      <c r="AT556" t="s">
        <v>10359</v>
      </c>
      <c r="AU556">
        <v>2012</v>
      </c>
      <c r="AV556">
        <v>220</v>
      </c>
      <c r="AW556">
        <v>2</v>
      </c>
      <c r="AX556" t="s">
        <v>74</v>
      </c>
      <c r="AY556" t="s">
        <v>74</v>
      </c>
      <c r="AZ556" t="s">
        <v>74</v>
      </c>
      <c r="BA556" t="s">
        <v>74</v>
      </c>
      <c r="BB556">
        <v>466</v>
      </c>
      <c r="BC556">
        <v>486</v>
      </c>
      <c r="BD556" t="s">
        <v>74</v>
      </c>
      <c r="BE556" t="s">
        <v>10642</v>
      </c>
      <c r="BF556" t="str">
        <f>HYPERLINK("http://dx.doi.org/10.1016/j.icarus.2012.05.019","http://dx.doi.org/10.1016/j.icarus.2012.05.019")</f>
        <v>http://dx.doi.org/10.1016/j.icarus.2012.05.019</v>
      </c>
      <c r="BG556" t="s">
        <v>74</v>
      </c>
      <c r="BH556" t="s">
        <v>74</v>
      </c>
      <c r="BI556">
        <v>21</v>
      </c>
      <c r="BJ556" t="s">
        <v>127</v>
      </c>
      <c r="BK556" t="s">
        <v>98</v>
      </c>
      <c r="BL556" t="s">
        <v>127</v>
      </c>
      <c r="BM556" t="s">
        <v>10643</v>
      </c>
      <c r="BN556" t="s">
        <v>74</v>
      </c>
      <c r="BO556" t="s">
        <v>74</v>
      </c>
      <c r="BP556" t="s">
        <v>74</v>
      </c>
      <c r="BQ556" t="s">
        <v>74</v>
      </c>
      <c r="BR556" t="s">
        <v>101</v>
      </c>
      <c r="BS556" t="s">
        <v>10644</v>
      </c>
      <c r="BT556" t="str">
        <f>HYPERLINK("https%3A%2F%2Fwww.webofscience.com%2Fwos%2Fwoscc%2Ffull-record%2FWOS:000308057200014","View Full Record in Web of Science")</f>
        <v>View Full Record in Web of Science</v>
      </c>
    </row>
    <row r="557" spans="1:72" x14ac:dyDescent="0.15">
      <c r="A557" t="s">
        <v>72</v>
      </c>
      <c r="B557" t="s">
        <v>10645</v>
      </c>
      <c r="C557" t="s">
        <v>74</v>
      </c>
      <c r="D557" t="s">
        <v>74</v>
      </c>
      <c r="E557" t="s">
        <v>74</v>
      </c>
      <c r="F557" t="s">
        <v>10646</v>
      </c>
      <c r="G557" t="s">
        <v>74</v>
      </c>
      <c r="H557" t="s">
        <v>74</v>
      </c>
      <c r="I557" t="s">
        <v>10647</v>
      </c>
      <c r="J557" t="s">
        <v>10648</v>
      </c>
      <c r="K557" t="s">
        <v>74</v>
      </c>
      <c r="L557" t="s">
        <v>74</v>
      </c>
      <c r="M557" t="s">
        <v>78</v>
      </c>
      <c r="N557" t="s">
        <v>52</v>
      </c>
      <c r="O557" t="s">
        <v>74</v>
      </c>
      <c r="P557" t="s">
        <v>74</v>
      </c>
      <c r="Q557" t="s">
        <v>74</v>
      </c>
      <c r="R557" t="s">
        <v>74</v>
      </c>
      <c r="S557" t="s">
        <v>74</v>
      </c>
      <c r="T557" t="s">
        <v>74</v>
      </c>
      <c r="U557" t="s">
        <v>74</v>
      </c>
      <c r="V557" t="s">
        <v>74</v>
      </c>
      <c r="W557" t="s">
        <v>10649</v>
      </c>
      <c r="X557" t="s">
        <v>10650</v>
      </c>
      <c r="Y557" t="s">
        <v>74</v>
      </c>
      <c r="Z557" t="s">
        <v>10651</v>
      </c>
      <c r="AA557" t="s">
        <v>10652</v>
      </c>
      <c r="AB557" t="s">
        <v>74</v>
      </c>
      <c r="AC557" t="s">
        <v>74</v>
      </c>
      <c r="AD557" t="s">
        <v>74</v>
      </c>
      <c r="AE557" t="s">
        <v>74</v>
      </c>
      <c r="AF557" t="s">
        <v>74</v>
      </c>
      <c r="AG557">
        <v>0</v>
      </c>
      <c r="AH557">
        <v>0</v>
      </c>
      <c r="AI557">
        <v>0</v>
      </c>
      <c r="AJ557">
        <v>0</v>
      </c>
      <c r="AK557">
        <v>1</v>
      </c>
      <c r="AL557" t="s">
        <v>916</v>
      </c>
      <c r="AM557" t="s">
        <v>899</v>
      </c>
      <c r="AN557" t="s">
        <v>900</v>
      </c>
      <c r="AO557" t="s">
        <v>10653</v>
      </c>
      <c r="AP557" t="s">
        <v>74</v>
      </c>
      <c r="AQ557" t="s">
        <v>74</v>
      </c>
      <c r="AR557" t="s">
        <v>10654</v>
      </c>
      <c r="AS557" t="s">
        <v>10655</v>
      </c>
      <c r="AT557" t="s">
        <v>10359</v>
      </c>
      <c r="AU557">
        <v>2012</v>
      </c>
      <c r="AV557">
        <v>48</v>
      </c>
      <c r="AW557" t="s">
        <v>74</v>
      </c>
      <c r="AX557" t="s">
        <v>74</v>
      </c>
      <c r="AY557">
        <v>1</v>
      </c>
      <c r="AZ557" t="s">
        <v>1019</v>
      </c>
      <c r="BA557" t="s">
        <v>74</v>
      </c>
      <c r="BB557" t="s">
        <v>10656</v>
      </c>
      <c r="BC557" t="s">
        <v>10656</v>
      </c>
      <c r="BD557" t="s">
        <v>74</v>
      </c>
      <c r="BE557" t="s">
        <v>74</v>
      </c>
      <c r="BF557" t="s">
        <v>74</v>
      </c>
      <c r="BG557" t="s">
        <v>74</v>
      </c>
      <c r="BH557" t="s">
        <v>74</v>
      </c>
      <c r="BI557">
        <v>1</v>
      </c>
      <c r="BJ557" t="s">
        <v>10657</v>
      </c>
      <c r="BK557" t="s">
        <v>98</v>
      </c>
      <c r="BL557" t="s">
        <v>10657</v>
      </c>
      <c r="BM557" t="s">
        <v>10658</v>
      </c>
      <c r="BN557" t="s">
        <v>74</v>
      </c>
      <c r="BO557" t="s">
        <v>74</v>
      </c>
      <c r="BP557" t="s">
        <v>74</v>
      </c>
      <c r="BQ557" t="s">
        <v>74</v>
      </c>
      <c r="BR557" t="s">
        <v>101</v>
      </c>
      <c r="BS557" t="s">
        <v>10659</v>
      </c>
      <c r="BT557" t="str">
        <f>HYPERLINK("https%3A%2F%2Fwww.webofscience.com%2Fwos%2Fwoscc%2Ffull-record%2FWOS:000307053000099","View Full Record in Web of Science")</f>
        <v>View Full Record in Web of Science</v>
      </c>
    </row>
    <row r="558" spans="1:72" x14ac:dyDescent="0.15">
      <c r="A558" t="s">
        <v>72</v>
      </c>
      <c r="B558" t="s">
        <v>10660</v>
      </c>
      <c r="C558" t="s">
        <v>74</v>
      </c>
      <c r="D558" t="s">
        <v>74</v>
      </c>
      <c r="E558" t="s">
        <v>74</v>
      </c>
      <c r="F558" t="s">
        <v>10661</v>
      </c>
      <c r="G558" t="s">
        <v>74</v>
      </c>
      <c r="H558" t="s">
        <v>74</v>
      </c>
      <c r="I558" t="s">
        <v>10662</v>
      </c>
      <c r="J558" t="s">
        <v>10648</v>
      </c>
      <c r="K558" t="s">
        <v>74</v>
      </c>
      <c r="L558" t="s">
        <v>74</v>
      </c>
      <c r="M558" t="s">
        <v>78</v>
      </c>
      <c r="N558" t="s">
        <v>52</v>
      </c>
      <c r="O558" t="s">
        <v>74</v>
      </c>
      <c r="P558" t="s">
        <v>74</v>
      </c>
      <c r="Q558" t="s">
        <v>74</v>
      </c>
      <c r="R558" t="s">
        <v>74</v>
      </c>
      <c r="S558" t="s">
        <v>74</v>
      </c>
      <c r="T558" t="s">
        <v>74</v>
      </c>
      <c r="U558" t="s">
        <v>74</v>
      </c>
      <c r="V558" t="s">
        <v>74</v>
      </c>
      <c r="W558" t="s">
        <v>10663</v>
      </c>
      <c r="X558" t="s">
        <v>10650</v>
      </c>
      <c r="Y558" t="s">
        <v>74</v>
      </c>
      <c r="Z558" t="s">
        <v>10664</v>
      </c>
      <c r="AA558" t="s">
        <v>10652</v>
      </c>
      <c r="AB558" t="s">
        <v>74</v>
      </c>
      <c r="AC558" t="s">
        <v>74</v>
      </c>
      <c r="AD558" t="s">
        <v>74</v>
      </c>
      <c r="AE558" t="s">
        <v>74</v>
      </c>
      <c r="AF558" t="s">
        <v>74</v>
      </c>
      <c r="AG558">
        <v>0</v>
      </c>
      <c r="AH558">
        <v>0</v>
      </c>
      <c r="AI558">
        <v>0</v>
      </c>
      <c r="AJ558">
        <v>0</v>
      </c>
      <c r="AK558">
        <v>3</v>
      </c>
      <c r="AL558" t="s">
        <v>916</v>
      </c>
      <c r="AM558" t="s">
        <v>899</v>
      </c>
      <c r="AN558" t="s">
        <v>900</v>
      </c>
      <c r="AO558" t="s">
        <v>10653</v>
      </c>
      <c r="AP558" t="s">
        <v>74</v>
      </c>
      <c r="AQ558" t="s">
        <v>74</v>
      </c>
      <c r="AR558" t="s">
        <v>10654</v>
      </c>
      <c r="AS558" t="s">
        <v>10655</v>
      </c>
      <c r="AT558" t="s">
        <v>10359</v>
      </c>
      <c r="AU558">
        <v>2012</v>
      </c>
      <c r="AV558">
        <v>48</v>
      </c>
      <c r="AW558" t="s">
        <v>74</v>
      </c>
      <c r="AX558" t="s">
        <v>74</v>
      </c>
      <c r="AY558">
        <v>1</v>
      </c>
      <c r="AZ558" t="s">
        <v>1019</v>
      </c>
      <c r="BA558" t="s">
        <v>74</v>
      </c>
      <c r="BB558" t="s">
        <v>10665</v>
      </c>
      <c r="BC558" t="s">
        <v>10665</v>
      </c>
      <c r="BD558" t="s">
        <v>74</v>
      </c>
      <c r="BE558" t="s">
        <v>74</v>
      </c>
      <c r="BF558" t="s">
        <v>74</v>
      </c>
      <c r="BG558" t="s">
        <v>74</v>
      </c>
      <c r="BH558" t="s">
        <v>74</v>
      </c>
      <c r="BI558">
        <v>1</v>
      </c>
      <c r="BJ558" t="s">
        <v>10657</v>
      </c>
      <c r="BK558" t="s">
        <v>98</v>
      </c>
      <c r="BL558" t="s">
        <v>10657</v>
      </c>
      <c r="BM558" t="s">
        <v>10658</v>
      </c>
      <c r="BN558" t="s">
        <v>74</v>
      </c>
      <c r="BO558" t="s">
        <v>74</v>
      </c>
      <c r="BP558" t="s">
        <v>74</v>
      </c>
      <c r="BQ558" t="s">
        <v>74</v>
      </c>
      <c r="BR558" t="s">
        <v>101</v>
      </c>
      <c r="BS558" t="s">
        <v>10666</v>
      </c>
      <c r="BT558" t="str">
        <f>HYPERLINK("https%3A%2F%2Fwww.webofscience.com%2Fwos%2Fwoscc%2Ffull-record%2FWOS:000307053000121","View Full Record in Web of Science")</f>
        <v>View Full Record in Web of Science</v>
      </c>
    </row>
    <row r="559" spans="1:72" x14ac:dyDescent="0.15">
      <c r="A559" t="s">
        <v>72</v>
      </c>
      <c r="B559" t="s">
        <v>10667</v>
      </c>
      <c r="C559" t="s">
        <v>74</v>
      </c>
      <c r="D559" t="s">
        <v>74</v>
      </c>
      <c r="E559" t="s">
        <v>74</v>
      </c>
      <c r="F559" t="s">
        <v>10668</v>
      </c>
      <c r="G559" t="s">
        <v>74</v>
      </c>
      <c r="H559" t="s">
        <v>74</v>
      </c>
      <c r="I559" t="s">
        <v>10669</v>
      </c>
      <c r="J559" t="s">
        <v>10648</v>
      </c>
      <c r="K559" t="s">
        <v>74</v>
      </c>
      <c r="L559" t="s">
        <v>74</v>
      </c>
      <c r="M559" t="s">
        <v>78</v>
      </c>
      <c r="N559" t="s">
        <v>52</v>
      </c>
      <c r="O559" t="s">
        <v>74</v>
      </c>
      <c r="P559" t="s">
        <v>74</v>
      </c>
      <c r="Q559" t="s">
        <v>74</v>
      </c>
      <c r="R559" t="s">
        <v>74</v>
      </c>
      <c r="S559" t="s">
        <v>74</v>
      </c>
      <c r="T559" t="s">
        <v>74</v>
      </c>
      <c r="U559" t="s">
        <v>74</v>
      </c>
      <c r="V559" t="s">
        <v>74</v>
      </c>
      <c r="W559" t="s">
        <v>10670</v>
      </c>
      <c r="X559" t="s">
        <v>10650</v>
      </c>
      <c r="Y559" t="s">
        <v>74</v>
      </c>
      <c r="Z559" t="s">
        <v>10671</v>
      </c>
      <c r="AA559" t="s">
        <v>10672</v>
      </c>
      <c r="AB559" t="s">
        <v>74</v>
      </c>
      <c r="AC559" t="s">
        <v>74</v>
      </c>
      <c r="AD559" t="s">
        <v>74</v>
      </c>
      <c r="AE559" t="s">
        <v>74</v>
      </c>
      <c r="AF559" t="s">
        <v>74</v>
      </c>
      <c r="AG559">
        <v>0</v>
      </c>
      <c r="AH559">
        <v>0</v>
      </c>
      <c r="AI559">
        <v>0</v>
      </c>
      <c r="AJ559">
        <v>0</v>
      </c>
      <c r="AK559">
        <v>5</v>
      </c>
      <c r="AL559" t="s">
        <v>916</v>
      </c>
      <c r="AM559" t="s">
        <v>899</v>
      </c>
      <c r="AN559" t="s">
        <v>900</v>
      </c>
      <c r="AO559" t="s">
        <v>10653</v>
      </c>
      <c r="AP559" t="s">
        <v>74</v>
      </c>
      <c r="AQ559" t="s">
        <v>74</v>
      </c>
      <c r="AR559" t="s">
        <v>10654</v>
      </c>
      <c r="AS559" t="s">
        <v>10655</v>
      </c>
      <c r="AT559" t="s">
        <v>10359</v>
      </c>
      <c r="AU559">
        <v>2012</v>
      </c>
      <c r="AV559">
        <v>48</v>
      </c>
      <c r="AW559" t="s">
        <v>74</v>
      </c>
      <c r="AX559" t="s">
        <v>74</v>
      </c>
      <c r="AY559">
        <v>1</v>
      </c>
      <c r="AZ559" t="s">
        <v>1019</v>
      </c>
      <c r="BA559" t="s">
        <v>74</v>
      </c>
      <c r="BB559" t="s">
        <v>10673</v>
      </c>
      <c r="BC559" t="s">
        <v>10674</v>
      </c>
      <c r="BD559" t="s">
        <v>74</v>
      </c>
      <c r="BE559" t="s">
        <v>74</v>
      </c>
      <c r="BF559" t="s">
        <v>74</v>
      </c>
      <c r="BG559" t="s">
        <v>74</v>
      </c>
      <c r="BH559" t="s">
        <v>74</v>
      </c>
      <c r="BI559">
        <v>2</v>
      </c>
      <c r="BJ559" t="s">
        <v>10657</v>
      </c>
      <c r="BK559" t="s">
        <v>98</v>
      </c>
      <c r="BL559" t="s">
        <v>10657</v>
      </c>
      <c r="BM559" t="s">
        <v>10658</v>
      </c>
      <c r="BN559" t="s">
        <v>74</v>
      </c>
      <c r="BO559" t="s">
        <v>74</v>
      </c>
      <c r="BP559" t="s">
        <v>74</v>
      </c>
      <c r="BQ559" t="s">
        <v>74</v>
      </c>
      <c r="BR559" t="s">
        <v>101</v>
      </c>
      <c r="BS559" t="s">
        <v>10675</v>
      </c>
      <c r="BT559" t="str">
        <f>HYPERLINK("https%3A%2F%2Fwww.webofscience.com%2Fwos%2Fwoscc%2Ffull-record%2FWOS:000307053000071","View Full Record in Web of Science")</f>
        <v>View Full Record in Web of Science</v>
      </c>
    </row>
    <row r="560" spans="1:72" x14ac:dyDescent="0.15">
      <c r="A560" t="s">
        <v>72</v>
      </c>
      <c r="B560" t="s">
        <v>10676</v>
      </c>
      <c r="C560" t="s">
        <v>74</v>
      </c>
      <c r="D560" t="s">
        <v>74</v>
      </c>
      <c r="E560" t="s">
        <v>74</v>
      </c>
      <c r="F560" t="s">
        <v>10677</v>
      </c>
      <c r="G560" t="s">
        <v>74</v>
      </c>
      <c r="H560" t="s">
        <v>74</v>
      </c>
      <c r="I560" t="s">
        <v>10678</v>
      </c>
      <c r="J560" t="s">
        <v>1233</v>
      </c>
      <c r="K560" t="s">
        <v>74</v>
      </c>
      <c r="L560" t="s">
        <v>74</v>
      </c>
      <c r="M560" t="s">
        <v>78</v>
      </c>
      <c r="N560" t="s">
        <v>79</v>
      </c>
      <c r="O560" t="s">
        <v>74</v>
      </c>
      <c r="P560" t="s">
        <v>74</v>
      </c>
      <c r="Q560" t="s">
        <v>74</v>
      </c>
      <c r="R560" t="s">
        <v>74</v>
      </c>
      <c r="S560" t="s">
        <v>74</v>
      </c>
      <c r="T560" t="s">
        <v>74</v>
      </c>
      <c r="U560" t="s">
        <v>10679</v>
      </c>
      <c r="V560" t="s">
        <v>10680</v>
      </c>
      <c r="W560" t="s">
        <v>10681</v>
      </c>
      <c r="X560" t="s">
        <v>10682</v>
      </c>
      <c r="Y560" t="s">
        <v>10683</v>
      </c>
      <c r="Z560" t="s">
        <v>10684</v>
      </c>
      <c r="AA560" t="s">
        <v>10685</v>
      </c>
      <c r="AB560" t="s">
        <v>10686</v>
      </c>
      <c r="AC560" t="s">
        <v>10687</v>
      </c>
      <c r="AD560" t="s">
        <v>10688</v>
      </c>
      <c r="AE560" t="s">
        <v>10689</v>
      </c>
      <c r="AF560" t="s">
        <v>74</v>
      </c>
      <c r="AG560">
        <v>46</v>
      </c>
      <c r="AH560">
        <v>15</v>
      </c>
      <c r="AI560">
        <v>22</v>
      </c>
      <c r="AJ560">
        <v>0</v>
      </c>
      <c r="AK560">
        <v>25</v>
      </c>
      <c r="AL560" t="s">
        <v>1267</v>
      </c>
      <c r="AM560" t="s">
        <v>1268</v>
      </c>
      <c r="AN560" t="s">
        <v>1269</v>
      </c>
      <c r="AO560" t="s">
        <v>1248</v>
      </c>
      <c r="AP560" t="s">
        <v>1249</v>
      </c>
      <c r="AQ560" t="s">
        <v>74</v>
      </c>
      <c r="AR560" t="s">
        <v>1250</v>
      </c>
      <c r="AS560" t="s">
        <v>1251</v>
      </c>
      <c r="AT560" t="s">
        <v>10359</v>
      </c>
      <c r="AU560">
        <v>2012</v>
      </c>
      <c r="AV560">
        <v>44</v>
      </c>
      <c r="AW560">
        <v>3</v>
      </c>
      <c r="AX560" t="s">
        <v>74</v>
      </c>
      <c r="AY560" t="s">
        <v>74</v>
      </c>
      <c r="AZ560" t="s">
        <v>74</v>
      </c>
      <c r="BA560" t="s">
        <v>74</v>
      </c>
      <c r="BB560">
        <v>265</v>
      </c>
      <c r="BC560">
        <v>276</v>
      </c>
      <c r="BD560" t="s">
        <v>74</v>
      </c>
      <c r="BE560" t="s">
        <v>10690</v>
      </c>
      <c r="BF560" t="str">
        <f>HYPERLINK("http://dx.doi.org/10.1657/1938-4246-44.3.265","http://dx.doi.org/10.1657/1938-4246-44.3.265")</f>
        <v>http://dx.doi.org/10.1657/1938-4246-44.3.265</v>
      </c>
      <c r="BG560" t="s">
        <v>74</v>
      </c>
      <c r="BH560" t="s">
        <v>74</v>
      </c>
      <c r="BI560">
        <v>12</v>
      </c>
      <c r="BJ560" t="s">
        <v>995</v>
      </c>
      <c r="BK560" t="s">
        <v>98</v>
      </c>
      <c r="BL560" t="s">
        <v>996</v>
      </c>
      <c r="BM560" t="s">
        <v>10691</v>
      </c>
      <c r="BN560" t="s">
        <v>74</v>
      </c>
      <c r="BO560" t="s">
        <v>1254</v>
      </c>
      <c r="BP560" t="s">
        <v>74</v>
      </c>
      <c r="BQ560" t="s">
        <v>74</v>
      </c>
      <c r="BR560" t="s">
        <v>101</v>
      </c>
      <c r="BS560" t="s">
        <v>10692</v>
      </c>
      <c r="BT560" t="str">
        <f>HYPERLINK("https%3A%2F%2Fwww.webofscience.com%2Fwos%2Fwoscc%2Ffull-record%2FWOS:000307990800001","View Full Record in Web of Science")</f>
        <v>View Full Record in Web of Science</v>
      </c>
    </row>
    <row r="561" spans="1:72" x14ac:dyDescent="0.15">
      <c r="A561" t="s">
        <v>72</v>
      </c>
      <c r="B561" t="s">
        <v>10693</v>
      </c>
      <c r="C561" t="s">
        <v>74</v>
      </c>
      <c r="D561" t="s">
        <v>74</v>
      </c>
      <c r="E561" t="s">
        <v>74</v>
      </c>
      <c r="F561" t="s">
        <v>10694</v>
      </c>
      <c r="G561" t="s">
        <v>74</v>
      </c>
      <c r="H561" t="s">
        <v>74</v>
      </c>
      <c r="I561" t="s">
        <v>10695</v>
      </c>
      <c r="J561" t="s">
        <v>1233</v>
      </c>
      <c r="K561" t="s">
        <v>74</v>
      </c>
      <c r="L561" t="s">
        <v>74</v>
      </c>
      <c r="M561" t="s">
        <v>78</v>
      </c>
      <c r="N561" t="s">
        <v>79</v>
      </c>
      <c r="O561" t="s">
        <v>74</v>
      </c>
      <c r="P561" t="s">
        <v>74</v>
      </c>
      <c r="Q561" t="s">
        <v>74</v>
      </c>
      <c r="R561" t="s">
        <v>74</v>
      </c>
      <c r="S561" t="s">
        <v>74</v>
      </c>
      <c r="T561" t="s">
        <v>74</v>
      </c>
      <c r="U561" t="s">
        <v>10696</v>
      </c>
      <c r="V561" t="s">
        <v>10697</v>
      </c>
      <c r="W561" t="s">
        <v>10698</v>
      </c>
      <c r="X561" t="s">
        <v>10699</v>
      </c>
      <c r="Y561" t="s">
        <v>10700</v>
      </c>
      <c r="Z561" t="s">
        <v>10701</v>
      </c>
      <c r="AA561" t="s">
        <v>10702</v>
      </c>
      <c r="AB561" t="s">
        <v>10703</v>
      </c>
      <c r="AC561" t="s">
        <v>10704</v>
      </c>
      <c r="AD561" t="s">
        <v>5263</v>
      </c>
      <c r="AE561" t="s">
        <v>10705</v>
      </c>
      <c r="AF561" t="s">
        <v>74</v>
      </c>
      <c r="AG561">
        <v>47</v>
      </c>
      <c r="AH561">
        <v>21</v>
      </c>
      <c r="AI561">
        <v>23</v>
      </c>
      <c r="AJ561">
        <v>16</v>
      </c>
      <c r="AK561">
        <v>857</v>
      </c>
      <c r="AL561" t="s">
        <v>1267</v>
      </c>
      <c r="AM561" t="s">
        <v>1268</v>
      </c>
      <c r="AN561" t="s">
        <v>1269</v>
      </c>
      <c r="AO561" t="s">
        <v>1248</v>
      </c>
      <c r="AP561" t="s">
        <v>1249</v>
      </c>
      <c r="AQ561" t="s">
        <v>74</v>
      </c>
      <c r="AR561" t="s">
        <v>1250</v>
      </c>
      <c r="AS561" t="s">
        <v>1251</v>
      </c>
      <c r="AT561" t="s">
        <v>10359</v>
      </c>
      <c r="AU561">
        <v>2012</v>
      </c>
      <c r="AV561">
        <v>44</v>
      </c>
      <c r="AW561">
        <v>3</v>
      </c>
      <c r="AX561" t="s">
        <v>74</v>
      </c>
      <c r="AY561" t="s">
        <v>74</v>
      </c>
      <c r="AZ561" t="s">
        <v>74</v>
      </c>
      <c r="BA561" t="s">
        <v>74</v>
      </c>
      <c r="BB561">
        <v>288</v>
      </c>
      <c r="BC561">
        <v>295</v>
      </c>
      <c r="BD561" t="s">
        <v>74</v>
      </c>
      <c r="BE561" t="s">
        <v>10706</v>
      </c>
      <c r="BF561" t="str">
        <f>HYPERLINK("http://dx.doi.org/10.1657/1938-4246-44.3.288","http://dx.doi.org/10.1657/1938-4246-44.3.288")</f>
        <v>http://dx.doi.org/10.1657/1938-4246-44.3.288</v>
      </c>
      <c r="BG561" t="s">
        <v>74</v>
      </c>
      <c r="BH561" t="s">
        <v>74</v>
      </c>
      <c r="BI561">
        <v>8</v>
      </c>
      <c r="BJ561" t="s">
        <v>995</v>
      </c>
      <c r="BK561" t="s">
        <v>98</v>
      </c>
      <c r="BL561" t="s">
        <v>996</v>
      </c>
      <c r="BM561" t="s">
        <v>10691</v>
      </c>
      <c r="BN561" t="s">
        <v>74</v>
      </c>
      <c r="BO561" t="s">
        <v>1254</v>
      </c>
      <c r="BP561" t="s">
        <v>74</v>
      </c>
      <c r="BQ561" t="s">
        <v>74</v>
      </c>
      <c r="BR561" t="s">
        <v>101</v>
      </c>
      <c r="BS561" t="s">
        <v>10707</v>
      </c>
      <c r="BT561" t="str">
        <f>HYPERLINK("https%3A%2F%2Fwww.webofscience.com%2Fwos%2Fwoscc%2Ffull-record%2FWOS:000307990800003","View Full Record in Web of Science")</f>
        <v>View Full Record in Web of Science</v>
      </c>
    </row>
    <row r="562" spans="1:72" x14ac:dyDescent="0.15">
      <c r="A562" t="s">
        <v>72</v>
      </c>
      <c r="B562" t="s">
        <v>10708</v>
      </c>
      <c r="C562" t="s">
        <v>74</v>
      </c>
      <c r="D562" t="s">
        <v>74</v>
      </c>
      <c r="E562" t="s">
        <v>74</v>
      </c>
      <c r="F562" t="s">
        <v>10709</v>
      </c>
      <c r="G562" t="s">
        <v>74</v>
      </c>
      <c r="H562" t="s">
        <v>74</v>
      </c>
      <c r="I562" t="s">
        <v>10710</v>
      </c>
      <c r="J562" t="s">
        <v>1233</v>
      </c>
      <c r="K562" t="s">
        <v>74</v>
      </c>
      <c r="L562" t="s">
        <v>74</v>
      </c>
      <c r="M562" t="s">
        <v>78</v>
      </c>
      <c r="N562" t="s">
        <v>79</v>
      </c>
      <c r="O562" t="s">
        <v>74</v>
      </c>
      <c r="P562" t="s">
        <v>74</v>
      </c>
      <c r="Q562" t="s">
        <v>74</v>
      </c>
      <c r="R562" t="s">
        <v>74</v>
      </c>
      <c r="S562" t="s">
        <v>74</v>
      </c>
      <c r="T562" t="s">
        <v>74</v>
      </c>
      <c r="U562" t="s">
        <v>10711</v>
      </c>
      <c r="V562" t="s">
        <v>10712</v>
      </c>
      <c r="W562" t="s">
        <v>10713</v>
      </c>
      <c r="X562" t="s">
        <v>10714</v>
      </c>
      <c r="Y562" t="s">
        <v>10715</v>
      </c>
      <c r="Z562" t="s">
        <v>10716</v>
      </c>
      <c r="AA562" t="s">
        <v>10717</v>
      </c>
      <c r="AB562" t="s">
        <v>74</v>
      </c>
      <c r="AC562" t="s">
        <v>10718</v>
      </c>
      <c r="AD562" t="s">
        <v>10719</v>
      </c>
      <c r="AE562" t="s">
        <v>10720</v>
      </c>
      <c r="AF562" t="s">
        <v>74</v>
      </c>
      <c r="AG562">
        <v>33</v>
      </c>
      <c r="AH562">
        <v>40</v>
      </c>
      <c r="AI562">
        <v>46</v>
      </c>
      <c r="AJ562">
        <v>2</v>
      </c>
      <c r="AK562">
        <v>40</v>
      </c>
      <c r="AL562" t="s">
        <v>1245</v>
      </c>
      <c r="AM562" t="s">
        <v>1246</v>
      </c>
      <c r="AN562" t="s">
        <v>1247</v>
      </c>
      <c r="AO562" t="s">
        <v>1248</v>
      </c>
      <c r="AP562" t="s">
        <v>1249</v>
      </c>
      <c r="AQ562" t="s">
        <v>74</v>
      </c>
      <c r="AR562" t="s">
        <v>1250</v>
      </c>
      <c r="AS562" t="s">
        <v>1251</v>
      </c>
      <c r="AT562" t="s">
        <v>10359</v>
      </c>
      <c r="AU562">
        <v>2012</v>
      </c>
      <c r="AV562">
        <v>44</v>
      </c>
      <c r="AW562">
        <v>3</v>
      </c>
      <c r="AX562" t="s">
        <v>74</v>
      </c>
      <c r="AY562" t="s">
        <v>74</v>
      </c>
      <c r="AZ562" t="s">
        <v>74</v>
      </c>
      <c r="BA562" t="s">
        <v>74</v>
      </c>
      <c r="BB562">
        <v>296</v>
      </c>
      <c r="BC562">
        <v>305</v>
      </c>
      <c r="BD562" t="s">
        <v>74</v>
      </c>
      <c r="BE562" t="s">
        <v>10721</v>
      </c>
      <c r="BF562" t="str">
        <f>HYPERLINK("http://dx.doi.org/10.1657/1938-4246-44.3.296","http://dx.doi.org/10.1657/1938-4246-44.3.296")</f>
        <v>http://dx.doi.org/10.1657/1938-4246-44.3.296</v>
      </c>
      <c r="BG562" t="s">
        <v>74</v>
      </c>
      <c r="BH562" t="s">
        <v>74</v>
      </c>
      <c r="BI562">
        <v>10</v>
      </c>
      <c r="BJ562" t="s">
        <v>995</v>
      </c>
      <c r="BK562" t="s">
        <v>98</v>
      </c>
      <c r="BL562" t="s">
        <v>996</v>
      </c>
      <c r="BM562" t="s">
        <v>10691</v>
      </c>
      <c r="BN562" t="s">
        <v>74</v>
      </c>
      <c r="BO562" t="s">
        <v>607</v>
      </c>
      <c r="BP562" t="s">
        <v>74</v>
      </c>
      <c r="BQ562" t="s">
        <v>74</v>
      </c>
      <c r="BR562" t="s">
        <v>101</v>
      </c>
      <c r="BS562" t="s">
        <v>10722</v>
      </c>
      <c r="BT562" t="str">
        <f>HYPERLINK("https%3A%2F%2Fwww.webofscience.com%2Fwos%2Fwoscc%2Ffull-record%2FWOS:000307990800004","View Full Record in Web of Science")</f>
        <v>View Full Record in Web of Science</v>
      </c>
    </row>
    <row r="563" spans="1:72" x14ac:dyDescent="0.15">
      <c r="A563" t="s">
        <v>72</v>
      </c>
      <c r="B563" t="s">
        <v>10723</v>
      </c>
      <c r="C563" t="s">
        <v>74</v>
      </c>
      <c r="D563" t="s">
        <v>74</v>
      </c>
      <c r="E563" t="s">
        <v>74</v>
      </c>
      <c r="F563" t="s">
        <v>10724</v>
      </c>
      <c r="G563" t="s">
        <v>74</v>
      </c>
      <c r="H563" t="s">
        <v>74</v>
      </c>
      <c r="I563" t="s">
        <v>10725</v>
      </c>
      <c r="J563" t="s">
        <v>1233</v>
      </c>
      <c r="K563" t="s">
        <v>74</v>
      </c>
      <c r="L563" t="s">
        <v>74</v>
      </c>
      <c r="M563" t="s">
        <v>78</v>
      </c>
      <c r="N563" t="s">
        <v>79</v>
      </c>
      <c r="O563" t="s">
        <v>74</v>
      </c>
      <c r="P563" t="s">
        <v>74</v>
      </c>
      <c r="Q563" t="s">
        <v>74</v>
      </c>
      <c r="R563" t="s">
        <v>74</v>
      </c>
      <c r="S563" t="s">
        <v>74</v>
      </c>
      <c r="T563" t="s">
        <v>74</v>
      </c>
      <c r="U563" t="s">
        <v>10726</v>
      </c>
      <c r="V563" t="s">
        <v>10727</v>
      </c>
      <c r="W563" t="s">
        <v>10728</v>
      </c>
      <c r="X563" t="s">
        <v>10729</v>
      </c>
      <c r="Y563" t="s">
        <v>10730</v>
      </c>
      <c r="Z563" t="s">
        <v>10731</v>
      </c>
      <c r="AA563" t="s">
        <v>10732</v>
      </c>
      <c r="AB563" t="s">
        <v>10733</v>
      </c>
      <c r="AC563" t="s">
        <v>74</v>
      </c>
      <c r="AD563" t="s">
        <v>74</v>
      </c>
      <c r="AE563" t="s">
        <v>74</v>
      </c>
      <c r="AF563" t="s">
        <v>74</v>
      </c>
      <c r="AG563">
        <v>41</v>
      </c>
      <c r="AH563">
        <v>5</v>
      </c>
      <c r="AI563">
        <v>6</v>
      </c>
      <c r="AJ563">
        <v>2</v>
      </c>
      <c r="AK563">
        <v>24</v>
      </c>
      <c r="AL563" t="s">
        <v>1267</v>
      </c>
      <c r="AM563" t="s">
        <v>1268</v>
      </c>
      <c r="AN563" t="s">
        <v>1269</v>
      </c>
      <c r="AO563" t="s">
        <v>1248</v>
      </c>
      <c r="AP563" t="s">
        <v>1249</v>
      </c>
      <c r="AQ563" t="s">
        <v>74</v>
      </c>
      <c r="AR563" t="s">
        <v>1250</v>
      </c>
      <c r="AS563" t="s">
        <v>1251</v>
      </c>
      <c r="AT563" t="s">
        <v>10359</v>
      </c>
      <c r="AU563">
        <v>2012</v>
      </c>
      <c r="AV563">
        <v>44</v>
      </c>
      <c r="AW563">
        <v>3</v>
      </c>
      <c r="AX563" t="s">
        <v>74</v>
      </c>
      <c r="AY563" t="s">
        <v>74</v>
      </c>
      <c r="AZ563" t="s">
        <v>74</v>
      </c>
      <c r="BA563" t="s">
        <v>74</v>
      </c>
      <c r="BB563">
        <v>306</v>
      </c>
      <c r="BC563">
        <v>318</v>
      </c>
      <c r="BD563" t="s">
        <v>74</v>
      </c>
      <c r="BE563" t="s">
        <v>10734</v>
      </c>
      <c r="BF563" t="str">
        <f>HYPERLINK("http://dx.doi.org/10.1657/1938-4246-44.3.306","http://dx.doi.org/10.1657/1938-4246-44.3.306")</f>
        <v>http://dx.doi.org/10.1657/1938-4246-44.3.306</v>
      </c>
      <c r="BG563" t="s">
        <v>74</v>
      </c>
      <c r="BH563" t="s">
        <v>74</v>
      </c>
      <c r="BI563">
        <v>13</v>
      </c>
      <c r="BJ563" t="s">
        <v>995</v>
      </c>
      <c r="BK563" t="s">
        <v>98</v>
      </c>
      <c r="BL563" t="s">
        <v>996</v>
      </c>
      <c r="BM563" t="s">
        <v>10691</v>
      </c>
      <c r="BN563" t="s">
        <v>74</v>
      </c>
      <c r="BO563" t="s">
        <v>1347</v>
      </c>
      <c r="BP563" t="s">
        <v>74</v>
      </c>
      <c r="BQ563" t="s">
        <v>74</v>
      </c>
      <c r="BR563" t="s">
        <v>101</v>
      </c>
      <c r="BS563" t="s">
        <v>10735</v>
      </c>
      <c r="BT563" t="str">
        <f>HYPERLINK("https%3A%2F%2Fwww.webofscience.com%2Fwos%2Fwoscc%2Ffull-record%2FWOS:000307990800005","View Full Record in Web of Science")</f>
        <v>View Full Record in Web of Science</v>
      </c>
    </row>
    <row r="564" spans="1:72" x14ac:dyDescent="0.15">
      <c r="A564" t="s">
        <v>72</v>
      </c>
      <c r="B564" t="s">
        <v>10736</v>
      </c>
      <c r="C564" t="s">
        <v>74</v>
      </c>
      <c r="D564" t="s">
        <v>74</v>
      </c>
      <c r="E564" t="s">
        <v>74</v>
      </c>
      <c r="F564" t="s">
        <v>10737</v>
      </c>
      <c r="G564" t="s">
        <v>74</v>
      </c>
      <c r="H564" t="s">
        <v>74</v>
      </c>
      <c r="I564" t="s">
        <v>10738</v>
      </c>
      <c r="J564" t="s">
        <v>1233</v>
      </c>
      <c r="K564" t="s">
        <v>74</v>
      </c>
      <c r="L564" t="s">
        <v>74</v>
      </c>
      <c r="M564" t="s">
        <v>78</v>
      </c>
      <c r="N564" t="s">
        <v>79</v>
      </c>
      <c r="O564" t="s">
        <v>74</v>
      </c>
      <c r="P564" t="s">
        <v>74</v>
      </c>
      <c r="Q564" t="s">
        <v>74</v>
      </c>
      <c r="R564" t="s">
        <v>74</v>
      </c>
      <c r="S564" t="s">
        <v>74</v>
      </c>
      <c r="T564" t="s">
        <v>74</v>
      </c>
      <c r="U564" t="s">
        <v>10739</v>
      </c>
      <c r="V564" t="s">
        <v>10740</v>
      </c>
      <c r="W564" t="s">
        <v>10741</v>
      </c>
      <c r="X564" t="s">
        <v>10742</v>
      </c>
      <c r="Y564" t="s">
        <v>10743</v>
      </c>
      <c r="Z564" t="s">
        <v>10744</v>
      </c>
      <c r="AA564" t="s">
        <v>74</v>
      </c>
      <c r="AB564" t="s">
        <v>74</v>
      </c>
      <c r="AC564" t="s">
        <v>10745</v>
      </c>
      <c r="AD564" t="s">
        <v>10746</v>
      </c>
      <c r="AE564" t="s">
        <v>10747</v>
      </c>
      <c r="AF564" t="s">
        <v>74</v>
      </c>
      <c r="AG564">
        <v>78</v>
      </c>
      <c r="AH564">
        <v>89</v>
      </c>
      <c r="AI564">
        <v>111</v>
      </c>
      <c r="AJ564">
        <v>1</v>
      </c>
      <c r="AK564">
        <v>122</v>
      </c>
      <c r="AL564" t="s">
        <v>1245</v>
      </c>
      <c r="AM564" t="s">
        <v>1246</v>
      </c>
      <c r="AN564" t="s">
        <v>1247</v>
      </c>
      <c r="AO564" t="s">
        <v>1248</v>
      </c>
      <c r="AP564" t="s">
        <v>1249</v>
      </c>
      <c r="AQ564" t="s">
        <v>74</v>
      </c>
      <c r="AR564" t="s">
        <v>1250</v>
      </c>
      <c r="AS564" t="s">
        <v>1251</v>
      </c>
      <c r="AT564" t="s">
        <v>10359</v>
      </c>
      <c r="AU564">
        <v>2012</v>
      </c>
      <c r="AV564">
        <v>44</v>
      </c>
      <c r="AW564">
        <v>3</v>
      </c>
      <c r="AX564" t="s">
        <v>74</v>
      </c>
      <c r="AY564" t="s">
        <v>74</v>
      </c>
      <c r="AZ564" t="s">
        <v>74</v>
      </c>
      <c r="BA564" t="s">
        <v>74</v>
      </c>
      <c r="BB564">
        <v>319</v>
      </c>
      <c r="BC564">
        <v>331</v>
      </c>
      <c r="BD564" t="s">
        <v>74</v>
      </c>
      <c r="BE564" t="s">
        <v>10748</v>
      </c>
      <c r="BF564" t="str">
        <f>HYPERLINK("http://dx.doi.org/10.1657/1938-4246-44.3.319","http://dx.doi.org/10.1657/1938-4246-44.3.319")</f>
        <v>http://dx.doi.org/10.1657/1938-4246-44.3.319</v>
      </c>
      <c r="BG564" t="s">
        <v>74</v>
      </c>
      <c r="BH564" t="s">
        <v>74</v>
      </c>
      <c r="BI564">
        <v>13</v>
      </c>
      <c r="BJ564" t="s">
        <v>995</v>
      </c>
      <c r="BK564" t="s">
        <v>98</v>
      </c>
      <c r="BL564" t="s">
        <v>996</v>
      </c>
      <c r="BM564" t="s">
        <v>10691</v>
      </c>
      <c r="BN564" t="s">
        <v>74</v>
      </c>
      <c r="BO564" t="s">
        <v>1287</v>
      </c>
      <c r="BP564" t="s">
        <v>74</v>
      </c>
      <c r="BQ564" t="s">
        <v>74</v>
      </c>
      <c r="BR564" t="s">
        <v>101</v>
      </c>
      <c r="BS564" t="s">
        <v>10749</v>
      </c>
      <c r="BT564" t="str">
        <f>HYPERLINK("https%3A%2F%2Fwww.webofscience.com%2Fwos%2Fwoscc%2Ffull-record%2FWOS:000307990800006","View Full Record in Web of Science")</f>
        <v>View Full Record in Web of Science</v>
      </c>
    </row>
    <row r="565" spans="1:72" x14ac:dyDescent="0.15">
      <c r="A565" t="s">
        <v>72</v>
      </c>
      <c r="B565" t="s">
        <v>10750</v>
      </c>
      <c r="C565" t="s">
        <v>74</v>
      </c>
      <c r="D565" t="s">
        <v>74</v>
      </c>
      <c r="E565" t="s">
        <v>74</v>
      </c>
      <c r="F565" t="s">
        <v>10751</v>
      </c>
      <c r="G565" t="s">
        <v>74</v>
      </c>
      <c r="H565" t="s">
        <v>74</v>
      </c>
      <c r="I565" t="s">
        <v>10752</v>
      </c>
      <c r="J565" t="s">
        <v>1233</v>
      </c>
      <c r="K565" t="s">
        <v>74</v>
      </c>
      <c r="L565" t="s">
        <v>74</v>
      </c>
      <c r="M565" t="s">
        <v>78</v>
      </c>
      <c r="N565" t="s">
        <v>79</v>
      </c>
      <c r="O565" t="s">
        <v>74</v>
      </c>
      <c r="P565" t="s">
        <v>74</v>
      </c>
      <c r="Q565" t="s">
        <v>74</v>
      </c>
      <c r="R565" t="s">
        <v>74</v>
      </c>
      <c r="S565" t="s">
        <v>74</v>
      </c>
      <c r="T565" t="s">
        <v>74</v>
      </c>
      <c r="U565" t="s">
        <v>10753</v>
      </c>
      <c r="V565" t="s">
        <v>10754</v>
      </c>
      <c r="W565" t="s">
        <v>10755</v>
      </c>
      <c r="X565" t="s">
        <v>10756</v>
      </c>
      <c r="Y565" t="s">
        <v>10757</v>
      </c>
      <c r="Z565" t="s">
        <v>10758</v>
      </c>
      <c r="AA565" t="s">
        <v>10759</v>
      </c>
      <c r="AB565" t="s">
        <v>10760</v>
      </c>
      <c r="AC565" t="s">
        <v>10761</v>
      </c>
      <c r="AD565" t="s">
        <v>10761</v>
      </c>
      <c r="AE565" t="s">
        <v>10762</v>
      </c>
      <c r="AF565" t="s">
        <v>74</v>
      </c>
      <c r="AG565">
        <v>62</v>
      </c>
      <c r="AH565">
        <v>10</v>
      </c>
      <c r="AI565">
        <v>10</v>
      </c>
      <c r="AJ565">
        <v>1</v>
      </c>
      <c r="AK565">
        <v>43</v>
      </c>
      <c r="AL565" t="s">
        <v>1245</v>
      </c>
      <c r="AM565" t="s">
        <v>1246</v>
      </c>
      <c r="AN565" t="s">
        <v>1247</v>
      </c>
      <c r="AO565" t="s">
        <v>1248</v>
      </c>
      <c r="AP565" t="s">
        <v>1249</v>
      </c>
      <c r="AQ565" t="s">
        <v>74</v>
      </c>
      <c r="AR565" t="s">
        <v>1250</v>
      </c>
      <c r="AS565" t="s">
        <v>1251</v>
      </c>
      <c r="AT565" t="s">
        <v>10359</v>
      </c>
      <c r="AU565">
        <v>2012</v>
      </c>
      <c r="AV565">
        <v>44</v>
      </c>
      <c r="AW565">
        <v>3</v>
      </c>
      <c r="AX565" t="s">
        <v>74</v>
      </c>
      <c r="AY565" t="s">
        <v>74</v>
      </c>
      <c r="AZ565" t="s">
        <v>74</v>
      </c>
      <c r="BA565" t="s">
        <v>74</v>
      </c>
      <c r="BB565">
        <v>332</v>
      </c>
      <c r="BC565">
        <v>342</v>
      </c>
      <c r="BD565" t="s">
        <v>74</v>
      </c>
      <c r="BE565" t="s">
        <v>10763</v>
      </c>
      <c r="BF565" t="str">
        <f>HYPERLINK("http://dx.doi.org/10.1657/1938-4246-44.3.332","http://dx.doi.org/10.1657/1938-4246-44.3.332")</f>
        <v>http://dx.doi.org/10.1657/1938-4246-44.3.332</v>
      </c>
      <c r="BG565" t="s">
        <v>74</v>
      </c>
      <c r="BH565" t="s">
        <v>74</v>
      </c>
      <c r="BI565">
        <v>11</v>
      </c>
      <c r="BJ565" t="s">
        <v>995</v>
      </c>
      <c r="BK565" t="s">
        <v>98</v>
      </c>
      <c r="BL565" t="s">
        <v>996</v>
      </c>
      <c r="BM565" t="s">
        <v>10691</v>
      </c>
      <c r="BN565" t="s">
        <v>74</v>
      </c>
      <c r="BO565" t="s">
        <v>6835</v>
      </c>
      <c r="BP565" t="s">
        <v>74</v>
      </c>
      <c r="BQ565" t="s">
        <v>74</v>
      </c>
      <c r="BR565" t="s">
        <v>101</v>
      </c>
      <c r="BS565" t="s">
        <v>10764</v>
      </c>
      <c r="BT565" t="str">
        <f>HYPERLINK("https%3A%2F%2Fwww.webofscience.com%2Fwos%2Fwoscc%2Ffull-record%2FWOS:000307990800007","View Full Record in Web of Science")</f>
        <v>View Full Record in Web of Science</v>
      </c>
    </row>
    <row r="566" spans="1:72" x14ac:dyDescent="0.15">
      <c r="A566" t="s">
        <v>72</v>
      </c>
      <c r="B566" t="s">
        <v>10765</v>
      </c>
      <c r="C566" t="s">
        <v>74</v>
      </c>
      <c r="D566" t="s">
        <v>74</v>
      </c>
      <c r="E566" t="s">
        <v>74</v>
      </c>
      <c r="F566" t="s">
        <v>10766</v>
      </c>
      <c r="G566" t="s">
        <v>74</v>
      </c>
      <c r="H566" t="s">
        <v>74</v>
      </c>
      <c r="I566" t="s">
        <v>10767</v>
      </c>
      <c r="J566" t="s">
        <v>1233</v>
      </c>
      <c r="K566" t="s">
        <v>74</v>
      </c>
      <c r="L566" t="s">
        <v>74</v>
      </c>
      <c r="M566" t="s">
        <v>78</v>
      </c>
      <c r="N566" t="s">
        <v>79</v>
      </c>
      <c r="O566" t="s">
        <v>74</v>
      </c>
      <c r="P566" t="s">
        <v>74</v>
      </c>
      <c r="Q566" t="s">
        <v>74</v>
      </c>
      <c r="R566" t="s">
        <v>74</v>
      </c>
      <c r="S566" t="s">
        <v>74</v>
      </c>
      <c r="T566" t="s">
        <v>74</v>
      </c>
      <c r="U566" t="s">
        <v>10768</v>
      </c>
      <c r="V566" t="s">
        <v>10769</v>
      </c>
      <c r="W566" t="s">
        <v>10770</v>
      </c>
      <c r="X566" t="s">
        <v>10771</v>
      </c>
      <c r="Y566" t="s">
        <v>10772</v>
      </c>
      <c r="Z566" t="s">
        <v>10773</v>
      </c>
      <c r="AA566" t="s">
        <v>10774</v>
      </c>
      <c r="AB566" t="s">
        <v>10775</v>
      </c>
      <c r="AC566" t="s">
        <v>74</v>
      </c>
      <c r="AD566" t="s">
        <v>74</v>
      </c>
      <c r="AE566" t="s">
        <v>74</v>
      </c>
      <c r="AF566" t="s">
        <v>74</v>
      </c>
      <c r="AG566">
        <v>46</v>
      </c>
      <c r="AH566">
        <v>8</v>
      </c>
      <c r="AI566">
        <v>10</v>
      </c>
      <c r="AJ566">
        <v>0</v>
      </c>
      <c r="AK566">
        <v>13</v>
      </c>
      <c r="AL566" t="s">
        <v>1245</v>
      </c>
      <c r="AM566" t="s">
        <v>1246</v>
      </c>
      <c r="AN566" t="s">
        <v>1247</v>
      </c>
      <c r="AO566" t="s">
        <v>1248</v>
      </c>
      <c r="AP566" t="s">
        <v>1249</v>
      </c>
      <c r="AQ566" t="s">
        <v>74</v>
      </c>
      <c r="AR566" t="s">
        <v>1250</v>
      </c>
      <c r="AS566" t="s">
        <v>1251</v>
      </c>
      <c r="AT566" t="s">
        <v>10359</v>
      </c>
      <c r="AU566">
        <v>2012</v>
      </c>
      <c r="AV566">
        <v>44</v>
      </c>
      <c r="AW566">
        <v>3</v>
      </c>
      <c r="AX566" t="s">
        <v>74</v>
      </c>
      <c r="AY566" t="s">
        <v>74</v>
      </c>
      <c r="AZ566" t="s">
        <v>74</v>
      </c>
      <c r="BA566" t="s">
        <v>74</v>
      </c>
      <c r="BB566">
        <v>343</v>
      </c>
      <c r="BC566">
        <v>349</v>
      </c>
      <c r="BD566" t="s">
        <v>74</v>
      </c>
      <c r="BE566" t="s">
        <v>10776</v>
      </c>
      <c r="BF566" t="str">
        <f>HYPERLINK("http://dx.doi.org/10.1657/1938-4246-44.3.343","http://dx.doi.org/10.1657/1938-4246-44.3.343")</f>
        <v>http://dx.doi.org/10.1657/1938-4246-44.3.343</v>
      </c>
      <c r="BG566" t="s">
        <v>74</v>
      </c>
      <c r="BH566" t="s">
        <v>74</v>
      </c>
      <c r="BI566">
        <v>7</v>
      </c>
      <c r="BJ566" t="s">
        <v>995</v>
      </c>
      <c r="BK566" t="s">
        <v>98</v>
      </c>
      <c r="BL566" t="s">
        <v>996</v>
      </c>
      <c r="BM566" t="s">
        <v>10691</v>
      </c>
      <c r="BN566" t="s">
        <v>74</v>
      </c>
      <c r="BO566" t="s">
        <v>1254</v>
      </c>
      <c r="BP566" t="s">
        <v>74</v>
      </c>
      <c r="BQ566" t="s">
        <v>74</v>
      </c>
      <c r="BR566" t="s">
        <v>101</v>
      </c>
      <c r="BS566" t="s">
        <v>10777</v>
      </c>
      <c r="BT566" t="str">
        <f>HYPERLINK("https%3A%2F%2Fwww.webofscience.com%2Fwos%2Fwoscc%2Ffull-record%2FWOS:000307990800008","View Full Record in Web of Science")</f>
        <v>View Full Record in Web of Science</v>
      </c>
    </row>
    <row r="567" spans="1:72" x14ac:dyDescent="0.15">
      <c r="A567" t="s">
        <v>72</v>
      </c>
      <c r="B567" t="s">
        <v>10778</v>
      </c>
      <c r="C567" t="s">
        <v>74</v>
      </c>
      <c r="D567" t="s">
        <v>74</v>
      </c>
      <c r="E567" t="s">
        <v>74</v>
      </c>
      <c r="F567" t="s">
        <v>10779</v>
      </c>
      <c r="G567" t="s">
        <v>74</v>
      </c>
      <c r="H567" t="s">
        <v>74</v>
      </c>
      <c r="I567" t="s">
        <v>10780</v>
      </c>
      <c r="J567" t="s">
        <v>1233</v>
      </c>
      <c r="K567" t="s">
        <v>74</v>
      </c>
      <c r="L567" t="s">
        <v>74</v>
      </c>
      <c r="M567" t="s">
        <v>78</v>
      </c>
      <c r="N567" t="s">
        <v>79</v>
      </c>
      <c r="O567" t="s">
        <v>74</v>
      </c>
      <c r="P567" t="s">
        <v>74</v>
      </c>
      <c r="Q567" t="s">
        <v>74</v>
      </c>
      <c r="R567" t="s">
        <v>74</v>
      </c>
      <c r="S567" t="s">
        <v>74</v>
      </c>
      <c r="T567" t="s">
        <v>74</v>
      </c>
      <c r="U567" t="s">
        <v>10781</v>
      </c>
      <c r="V567" t="s">
        <v>10782</v>
      </c>
      <c r="W567" t="s">
        <v>10783</v>
      </c>
      <c r="X567" t="s">
        <v>10784</v>
      </c>
      <c r="Y567" t="s">
        <v>10785</v>
      </c>
      <c r="Z567" t="s">
        <v>10786</v>
      </c>
      <c r="AA567" t="s">
        <v>74</v>
      </c>
      <c r="AB567" t="s">
        <v>74</v>
      </c>
      <c r="AC567" t="s">
        <v>74</v>
      </c>
      <c r="AD567" t="s">
        <v>74</v>
      </c>
      <c r="AE567" t="s">
        <v>74</v>
      </c>
      <c r="AF567" t="s">
        <v>74</v>
      </c>
      <c r="AG567">
        <v>57</v>
      </c>
      <c r="AH567">
        <v>8</v>
      </c>
      <c r="AI567">
        <v>9</v>
      </c>
      <c r="AJ567">
        <v>0</v>
      </c>
      <c r="AK567">
        <v>34</v>
      </c>
      <c r="AL567" t="s">
        <v>1267</v>
      </c>
      <c r="AM567" t="s">
        <v>1268</v>
      </c>
      <c r="AN567" t="s">
        <v>1269</v>
      </c>
      <c r="AO567" t="s">
        <v>1248</v>
      </c>
      <c r="AP567" t="s">
        <v>74</v>
      </c>
      <c r="AQ567" t="s">
        <v>74</v>
      </c>
      <c r="AR567" t="s">
        <v>1250</v>
      </c>
      <c r="AS567" t="s">
        <v>1251</v>
      </c>
      <c r="AT567" t="s">
        <v>10359</v>
      </c>
      <c r="AU567">
        <v>2012</v>
      </c>
      <c r="AV567">
        <v>44</v>
      </c>
      <c r="AW567">
        <v>3</v>
      </c>
      <c r="AX567" t="s">
        <v>74</v>
      </c>
      <c r="AY567" t="s">
        <v>74</v>
      </c>
      <c r="AZ567" t="s">
        <v>74</v>
      </c>
      <c r="BA567" t="s">
        <v>74</v>
      </c>
      <c r="BB567">
        <v>350</v>
      </c>
      <c r="BC567">
        <v>358</v>
      </c>
      <c r="BD567" t="s">
        <v>74</v>
      </c>
      <c r="BE567" t="s">
        <v>10787</v>
      </c>
      <c r="BF567" t="str">
        <f>HYPERLINK("http://dx.doi.org/10.1657/1938-4246-44.3.350","http://dx.doi.org/10.1657/1938-4246-44.3.350")</f>
        <v>http://dx.doi.org/10.1657/1938-4246-44.3.350</v>
      </c>
      <c r="BG567" t="s">
        <v>74</v>
      </c>
      <c r="BH567" t="s">
        <v>74</v>
      </c>
      <c r="BI567">
        <v>9</v>
      </c>
      <c r="BJ567" t="s">
        <v>995</v>
      </c>
      <c r="BK567" t="s">
        <v>98</v>
      </c>
      <c r="BL567" t="s">
        <v>996</v>
      </c>
      <c r="BM567" t="s">
        <v>10691</v>
      </c>
      <c r="BN567" t="s">
        <v>74</v>
      </c>
      <c r="BO567" t="s">
        <v>1347</v>
      </c>
      <c r="BP567" t="s">
        <v>74</v>
      </c>
      <c r="BQ567" t="s">
        <v>74</v>
      </c>
      <c r="BR567" t="s">
        <v>101</v>
      </c>
      <c r="BS567" t="s">
        <v>10788</v>
      </c>
      <c r="BT567" t="str">
        <f>HYPERLINK("https%3A%2F%2Fwww.webofscience.com%2Fwos%2Fwoscc%2Ffull-record%2FWOS:000307990800009","View Full Record in Web of Science")</f>
        <v>View Full Record in Web of Science</v>
      </c>
    </row>
    <row r="568" spans="1:72" x14ac:dyDescent="0.15">
      <c r="A568" t="s">
        <v>72</v>
      </c>
      <c r="B568" t="s">
        <v>10789</v>
      </c>
      <c r="C568" t="s">
        <v>74</v>
      </c>
      <c r="D568" t="s">
        <v>74</v>
      </c>
      <c r="E568" t="s">
        <v>74</v>
      </c>
      <c r="F568" t="s">
        <v>10790</v>
      </c>
      <c r="G568" t="s">
        <v>74</v>
      </c>
      <c r="H568" t="s">
        <v>74</v>
      </c>
      <c r="I568" t="s">
        <v>10791</v>
      </c>
      <c r="J568" t="s">
        <v>10792</v>
      </c>
      <c r="K568" t="s">
        <v>74</v>
      </c>
      <c r="L568" t="s">
        <v>74</v>
      </c>
      <c r="M568" t="s">
        <v>78</v>
      </c>
      <c r="N568" t="s">
        <v>79</v>
      </c>
      <c r="O568" t="s">
        <v>74</v>
      </c>
      <c r="P568" t="s">
        <v>74</v>
      </c>
      <c r="Q568" t="s">
        <v>74</v>
      </c>
      <c r="R568" t="s">
        <v>74</v>
      </c>
      <c r="S568" t="s">
        <v>74</v>
      </c>
      <c r="T568" t="s">
        <v>74</v>
      </c>
      <c r="U568" t="s">
        <v>10793</v>
      </c>
      <c r="V568" t="s">
        <v>10794</v>
      </c>
      <c r="W568" t="s">
        <v>10795</v>
      </c>
      <c r="X568" t="s">
        <v>10796</v>
      </c>
      <c r="Y568" t="s">
        <v>10797</v>
      </c>
      <c r="Z568" t="s">
        <v>10798</v>
      </c>
      <c r="AA568" t="s">
        <v>74</v>
      </c>
      <c r="AB568" t="s">
        <v>74</v>
      </c>
      <c r="AC568" t="s">
        <v>10799</v>
      </c>
      <c r="AD568" t="s">
        <v>10800</v>
      </c>
      <c r="AE568" t="s">
        <v>10801</v>
      </c>
      <c r="AF568" t="s">
        <v>74</v>
      </c>
      <c r="AG568">
        <v>20</v>
      </c>
      <c r="AH568">
        <v>1</v>
      </c>
      <c r="AI568">
        <v>1</v>
      </c>
      <c r="AJ568">
        <v>0</v>
      </c>
      <c r="AK568">
        <v>2</v>
      </c>
      <c r="AL568" t="s">
        <v>10802</v>
      </c>
      <c r="AM568" t="s">
        <v>10803</v>
      </c>
      <c r="AN568" t="s">
        <v>10804</v>
      </c>
      <c r="AO568" t="s">
        <v>10805</v>
      </c>
      <c r="AP568" t="s">
        <v>10806</v>
      </c>
      <c r="AQ568" t="s">
        <v>74</v>
      </c>
      <c r="AR568" t="s">
        <v>10807</v>
      </c>
      <c r="AS568" t="s">
        <v>10808</v>
      </c>
      <c r="AT568" t="s">
        <v>10359</v>
      </c>
      <c r="AU568">
        <v>2012</v>
      </c>
      <c r="AV568">
        <v>90</v>
      </c>
      <c r="AW568">
        <v>8</v>
      </c>
      <c r="AX568" t="s">
        <v>74</v>
      </c>
      <c r="AY568" t="s">
        <v>74</v>
      </c>
      <c r="AZ568" t="s">
        <v>74</v>
      </c>
      <c r="BA568" t="s">
        <v>74</v>
      </c>
      <c r="BB568">
        <v>753</v>
      </c>
      <c r="BC568">
        <v>758</v>
      </c>
      <c r="BD568" t="s">
        <v>74</v>
      </c>
      <c r="BE568" t="s">
        <v>10809</v>
      </c>
      <c r="BF568" t="str">
        <f>HYPERLINK("http://dx.doi.org/10.1139/p11-137","http://dx.doi.org/10.1139/p11-137")</f>
        <v>http://dx.doi.org/10.1139/p11-137</v>
      </c>
      <c r="BG568" t="s">
        <v>74</v>
      </c>
      <c r="BH568" t="s">
        <v>74</v>
      </c>
      <c r="BI568">
        <v>6</v>
      </c>
      <c r="BJ568" t="s">
        <v>10810</v>
      </c>
      <c r="BK568" t="s">
        <v>98</v>
      </c>
      <c r="BL568" t="s">
        <v>10811</v>
      </c>
      <c r="BM568" t="s">
        <v>10812</v>
      </c>
      <c r="BN568" t="s">
        <v>74</v>
      </c>
      <c r="BO568" t="s">
        <v>607</v>
      </c>
      <c r="BP568" t="s">
        <v>74</v>
      </c>
      <c r="BQ568" t="s">
        <v>74</v>
      </c>
      <c r="BR568" t="s">
        <v>101</v>
      </c>
      <c r="BS568" t="s">
        <v>10813</v>
      </c>
      <c r="BT568" t="str">
        <f>HYPERLINK("https%3A%2F%2Fwww.webofscience.com%2Fwos%2Fwoscc%2Ffull-record%2FWOS:000307881700007","View Full Record in Web of Science")</f>
        <v>View Full Record in Web of Science</v>
      </c>
    </row>
    <row r="569" spans="1:72" x14ac:dyDescent="0.15">
      <c r="A569" t="s">
        <v>72</v>
      </c>
      <c r="B569" t="s">
        <v>10814</v>
      </c>
      <c r="C569" t="s">
        <v>74</v>
      </c>
      <c r="D569" t="s">
        <v>74</v>
      </c>
      <c r="E569" t="s">
        <v>74</v>
      </c>
      <c r="F569" t="s">
        <v>10815</v>
      </c>
      <c r="G569" t="s">
        <v>74</v>
      </c>
      <c r="H569" t="s">
        <v>74</v>
      </c>
      <c r="I569" t="s">
        <v>10816</v>
      </c>
      <c r="J569" t="s">
        <v>10817</v>
      </c>
      <c r="K569" t="s">
        <v>74</v>
      </c>
      <c r="L569" t="s">
        <v>74</v>
      </c>
      <c r="M569" t="s">
        <v>78</v>
      </c>
      <c r="N569" t="s">
        <v>79</v>
      </c>
      <c r="O569" t="s">
        <v>74</v>
      </c>
      <c r="P569" t="s">
        <v>74</v>
      </c>
      <c r="Q569" t="s">
        <v>74</v>
      </c>
      <c r="R569" t="s">
        <v>74</v>
      </c>
      <c r="S569" t="s">
        <v>74</v>
      </c>
      <c r="T569" t="s">
        <v>10818</v>
      </c>
      <c r="U569" t="s">
        <v>10819</v>
      </c>
      <c r="V569" t="s">
        <v>10820</v>
      </c>
      <c r="W569" t="s">
        <v>10821</v>
      </c>
      <c r="X569" t="s">
        <v>10822</v>
      </c>
      <c r="Y569" t="s">
        <v>10823</v>
      </c>
      <c r="Z569" t="s">
        <v>10824</v>
      </c>
      <c r="AA569" t="s">
        <v>10825</v>
      </c>
      <c r="AB569" t="s">
        <v>74</v>
      </c>
      <c r="AC569" t="s">
        <v>10826</v>
      </c>
      <c r="AD569" t="s">
        <v>10827</v>
      </c>
      <c r="AE569" t="s">
        <v>10828</v>
      </c>
      <c r="AF569" t="s">
        <v>74</v>
      </c>
      <c r="AG569">
        <v>25</v>
      </c>
      <c r="AH569">
        <v>5</v>
      </c>
      <c r="AI569">
        <v>7</v>
      </c>
      <c r="AJ569">
        <v>0</v>
      </c>
      <c r="AK569">
        <v>23</v>
      </c>
      <c r="AL569" t="s">
        <v>10829</v>
      </c>
      <c r="AM569" t="s">
        <v>6457</v>
      </c>
      <c r="AN569" t="s">
        <v>10830</v>
      </c>
      <c r="AO569" t="s">
        <v>10831</v>
      </c>
      <c r="AP569" t="s">
        <v>10832</v>
      </c>
      <c r="AQ569" t="s">
        <v>74</v>
      </c>
      <c r="AR569" t="s">
        <v>10833</v>
      </c>
      <c r="AS569" t="s">
        <v>10834</v>
      </c>
      <c r="AT569" t="s">
        <v>10359</v>
      </c>
      <c r="AU569">
        <v>2012</v>
      </c>
      <c r="AV569">
        <v>21</v>
      </c>
      <c r="AW569">
        <v>4</v>
      </c>
      <c r="AX569" t="s">
        <v>74</v>
      </c>
      <c r="AY569" t="s">
        <v>74</v>
      </c>
      <c r="AZ569" t="s">
        <v>74</v>
      </c>
      <c r="BA569" t="s">
        <v>74</v>
      </c>
      <c r="BB569">
        <v>1129</v>
      </c>
      <c r="BC569">
        <v>1134</v>
      </c>
      <c r="BD569" t="s">
        <v>74</v>
      </c>
      <c r="BE569" t="s">
        <v>10835</v>
      </c>
      <c r="BF569" t="str">
        <f>HYPERLINK("http://dx.doi.org/10.1007/s10068-012-0147-5","http://dx.doi.org/10.1007/s10068-012-0147-5")</f>
        <v>http://dx.doi.org/10.1007/s10068-012-0147-5</v>
      </c>
      <c r="BG569" t="s">
        <v>74</v>
      </c>
      <c r="BH569" t="s">
        <v>74</v>
      </c>
      <c r="BI569">
        <v>6</v>
      </c>
      <c r="BJ569" t="s">
        <v>10836</v>
      </c>
      <c r="BK569" t="s">
        <v>98</v>
      </c>
      <c r="BL569" t="s">
        <v>10836</v>
      </c>
      <c r="BM569" t="s">
        <v>10837</v>
      </c>
      <c r="BN569" t="s">
        <v>74</v>
      </c>
      <c r="BO569" t="s">
        <v>74</v>
      </c>
      <c r="BP569" t="s">
        <v>74</v>
      </c>
      <c r="BQ569" t="s">
        <v>74</v>
      </c>
      <c r="BR569" t="s">
        <v>101</v>
      </c>
      <c r="BS569" t="s">
        <v>10838</v>
      </c>
      <c r="BT569" t="str">
        <f>HYPERLINK("https%3A%2F%2Fwww.webofscience.com%2Fwos%2Fwoscc%2Ffull-record%2FWOS:000308112000027","View Full Record in Web of Science")</f>
        <v>View Full Record in Web of Science</v>
      </c>
    </row>
    <row r="570" spans="1:72" x14ac:dyDescent="0.15">
      <c r="A570" t="s">
        <v>72</v>
      </c>
      <c r="B570" t="s">
        <v>10839</v>
      </c>
      <c r="C570" t="s">
        <v>74</v>
      </c>
      <c r="D570" t="s">
        <v>74</v>
      </c>
      <c r="E570" t="s">
        <v>74</v>
      </c>
      <c r="F570" t="s">
        <v>10840</v>
      </c>
      <c r="G570" t="s">
        <v>74</v>
      </c>
      <c r="H570" t="s">
        <v>74</v>
      </c>
      <c r="I570" t="s">
        <v>10841</v>
      </c>
      <c r="J570" t="s">
        <v>10842</v>
      </c>
      <c r="K570" t="s">
        <v>74</v>
      </c>
      <c r="L570" t="s">
        <v>74</v>
      </c>
      <c r="M570" t="s">
        <v>78</v>
      </c>
      <c r="N570" t="s">
        <v>79</v>
      </c>
      <c r="O570" t="s">
        <v>74</v>
      </c>
      <c r="P570" t="s">
        <v>74</v>
      </c>
      <c r="Q570" t="s">
        <v>74</v>
      </c>
      <c r="R570" t="s">
        <v>74</v>
      </c>
      <c r="S570" t="s">
        <v>74</v>
      </c>
      <c r="T570" t="s">
        <v>10843</v>
      </c>
      <c r="U570" t="s">
        <v>10844</v>
      </c>
      <c r="V570" t="s">
        <v>10845</v>
      </c>
      <c r="W570" t="s">
        <v>10846</v>
      </c>
      <c r="X570" t="s">
        <v>10847</v>
      </c>
      <c r="Y570" t="s">
        <v>10848</v>
      </c>
      <c r="Z570" t="s">
        <v>10849</v>
      </c>
      <c r="AA570" t="s">
        <v>10850</v>
      </c>
      <c r="AB570" t="s">
        <v>10851</v>
      </c>
      <c r="AC570" t="s">
        <v>10852</v>
      </c>
      <c r="AD570" t="s">
        <v>10853</v>
      </c>
      <c r="AE570" t="s">
        <v>10854</v>
      </c>
      <c r="AF570" t="s">
        <v>74</v>
      </c>
      <c r="AG570">
        <v>94</v>
      </c>
      <c r="AH570">
        <v>43</v>
      </c>
      <c r="AI570">
        <v>47</v>
      </c>
      <c r="AJ570">
        <v>0</v>
      </c>
      <c r="AK570">
        <v>59</v>
      </c>
      <c r="AL570" t="s">
        <v>3018</v>
      </c>
      <c r="AM570" t="s">
        <v>3019</v>
      </c>
      <c r="AN570" t="s">
        <v>3020</v>
      </c>
      <c r="AO570" t="s">
        <v>74</v>
      </c>
      <c r="AP570" t="s">
        <v>10855</v>
      </c>
      <c r="AQ570" t="s">
        <v>74</v>
      </c>
      <c r="AR570" t="s">
        <v>10856</v>
      </c>
      <c r="AS570" t="s">
        <v>10857</v>
      </c>
      <c r="AT570" t="s">
        <v>10359</v>
      </c>
      <c r="AU570">
        <v>2012</v>
      </c>
      <c r="AV570">
        <v>10</v>
      </c>
      <c r="AW570">
        <v>8</v>
      </c>
      <c r="AX570" t="s">
        <v>74</v>
      </c>
      <c r="AY570" t="s">
        <v>74</v>
      </c>
      <c r="AZ570" t="s">
        <v>74</v>
      </c>
      <c r="BA570" t="s">
        <v>74</v>
      </c>
      <c r="BB570">
        <v>1741</v>
      </c>
      <c r="BC570">
        <v>1764</v>
      </c>
      <c r="BD570" t="s">
        <v>74</v>
      </c>
      <c r="BE570" t="s">
        <v>10858</v>
      </c>
      <c r="BF570" t="str">
        <f>HYPERLINK("http://dx.doi.org/10.3390/md10081741","http://dx.doi.org/10.3390/md10081741")</f>
        <v>http://dx.doi.org/10.3390/md10081741</v>
      </c>
      <c r="BG570" t="s">
        <v>74</v>
      </c>
      <c r="BH570" t="s">
        <v>74</v>
      </c>
      <c r="BI570">
        <v>24</v>
      </c>
      <c r="BJ570" t="s">
        <v>10859</v>
      </c>
      <c r="BK570" t="s">
        <v>98</v>
      </c>
      <c r="BL570" t="s">
        <v>10860</v>
      </c>
      <c r="BM570" t="s">
        <v>10861</v>
      </c>
      <c r="BN570">
        <v>23015772</v>
      </c>
      <c r="BO570" t="s">
        <v>6502</v>
      </c>
      <c r="BP570" t="s">
        <v>74</v>
      </c>
      <c r="BQ570" t="s">
        <v>74</v>
      </c>
      <c r="BR570" t="s">
        <v>101</v>
      </c>
      <c r="BS570" t="s">
        <v>10862</v>
      </c>
      <c r="BT570" t="str">
        <f>HYPERLINK("https%3A%2F%2Fwww.webofscience.com%2Fwos%2Fwoscc%2Ffull-record%2FWOS:000308207400008","View Full Record in Web of Science")</f>
        <v>View Full Record in Web of Science</v>
      </c>
    </row>
    <row r="571" spans="1:72" x14ac:dyDescent="0.15">
      <c r="A571" t="s">
        <v>72</v>
      </c>
      <c r="B571" t="s">
        <v>10863</v>
      </c>
      <c r="C571" t="s">
        <v>74</v>
      </c>
      <c r="D571" t="s">
        <v>74</v>
      </c>
      <c r="E571" t="s">
        <v>74</v>
      </c>
      <c r="F571" t="s">
        <v>10864</v>
      </c>
      <c r="G571" t="s">
        <v>74</v>
      </c>
      <c r="H571" t="s">
        <v>74</v>
      </c>
      <c r="I571" t="s">
        <v>10865</v>
      </c>
      <c r="J571" t="s">
        <v>1614</v>
      </c>
      <c r="K571" t="s">
        <v>74</v>
      </c>
      <c r="L571" t="s">
        <v>74</v>
      </c>
      <c r="M571" t="s">
        <v>78</v>
      </c>
      <c r="N571" t="s">
        <v>79</v>
      </c>
      <c r="O571" t="s">
        <v>74</v>
      </c>
      <c r="P571" t="s">
        <v>74</v>
      </c>
      <c r="Q571" t="s">
        <v>74</v>
      </c>
      <c r="R571" t="s">
        <v>74</v>
      </c>
      <c r="S571" t="s">
        <v>74</v>
      </c>
      <c r="T571" t="s">
        <v>74</v>
      </c>
      <c r="U571" t="s">
        <v>10866</v>
      </c>
      <c r="V571" t="s">
        <v>10867</v>
      </c>
      <c r="W571" t="s">
        <v>10868</v>
      </c>
      <c r="X571" t="s">
        <v>10065</v>
      </c>
      <c r="Y571" t="s">
        <v>10869</v>
      </c>
      <c r="Z571" t="s">
        <v>74</v>
      </c>
      <c r="AA571" t="s">
        <v>10870</v>
      </c>
      <c r="AB571" t="s">
        <v>10871</v>
      </c>
      <c r="AC571" t="s">
        <v>10872</v>
      </c>
      <c r="AD571" t="s">
        <v>10873</v>
      </c>
      <c r="AE571" t="s">
        <v>10874</v>
      </c>
      <c r="AF571" t="s">
        <v>74</v>
      </c>
      <c r="AG571">
        <v>28</v>
      </c>
      <c r="AH571">
        <v>5</v>
      </c>
      <c r="AI571">
        <v>5</v>
      </c>
      <c r="AJ571">
        <v>1</v>
      </c>
      <c r="AK571">
        <v>17</v>
      </c>
      <c r="AL571" t="s">
        <v>1624</v>
      </c>
      <c r="AM571" t="s">
        <v>1268</v>
      </c>
      <c r="AN571" t="s">
        <v>1625</v>
      </c>
      <c r="AO571" t="s">
        <v>1626</v>
      </c>
      <c r="AP571" t="s">
        <v>74</v>
      </c>
      <c r="AQ571" t="s">
        <v>74</v>
      </c>
      <c r="AR571" t="s">
        <v>1614</v>
      </c>
      <c r="AS571" t="s">
        <v>462</v>
      </c>
      <c r="AT571" t="s">
        <v>10359</v>
      </c>
      <c r="AU571">
        <v>2012</v>
      </c>
      <c r="AV571">
        <v>40</v>
      </c>
      <c r="AW571">
        <v>8</v>
      </c>
      <c r="AX571" t="s">
        <v>74</v>
      </c>
      <c r="AY571" t="s">
        <v>74</v>
      </c>
      <c r="AZ571" t="s">
        <v>74</v>
      </c>
      <c r="BA571" t="s">
        <v>74</v>
      </c>
      <c r="BB571">
        <v>735</v>
      </c>
      <c r="BC571">
        <v>738</v>
      </c>
      <c r="BD571" t="s">
        <v>74</v>
      </c>
      <c r="BE571" t="s">
        <v>10875</v>
      </c>
      <c r="BF571" t="str">
        <f>HYPERLINK("http://dx.doi.org/10.1130/G33036.1","http://dx.doi.org/10.1130/G33036.1")</f>
        <v>http://dx.doi.org/10.1130/G33036.1</v>
      </c>
      <c r="BG571" t="s">
        <v>74</v>
      </c>
      <c r="BH571" t="s">
        <v>74</v>
      </c>
      <c r="BI571">
        <v>4</v>
      </c>
      <c r="BJ571" t="s">
        <v>462</v>
      </c>
      <c r="BK571" t="s">
        <v>98</v>
      </c>
      <c r="BL571" t="s">
        <v>462</v>
      </c>
      <c r="BM571" t="s">
        <v>10876</v>
      </c>
      <c r="BN571" t="s">
        <v>74</v>
      </c>
      <c r="BO571" t="s">
        <v>74</v>
      </c>
      <c r="BP571" t="s">
        <v>74</v>
      </c>
      <c r="BQ571" t="s">
        <v>74</v>
      </c>
      <c r="BR571" t="s">
        <v>101</v>
      </c>
      <c r="BS571" t="s">
        <v>10877</v>
      </c>
      <c r="BT571" t="str">
        <f>HYPERLINK("https%3A%2F%2Fwww.webofscience.com%2Fwos%2Fwoscc%2Ffull-record%2FWOS:000307093100016","View Full Record in Web of Science")</f>
        <v>View Full Record in Web of Science</v>
      </c>
    </row>
    <row r="572" spans="1:72" x14ac:dyDescent="0.15">
      <c r="A572" t="s">
        <v>72</v>
      </c>
      <c r="B572" t="s">
        <v>10878</v>
      </c>
      <c r="C572" t="s">
        <v>74</v>
      </c>
      <c r="D572" t="s">
        <v>74</v>
      </c>
      <c r="E572" t="s">
        <v>74</v>
      </c>
      <c r="F572" t="s">
        <v>10879</v>
      </c>
      <c r="G572" t="s">
        <v>74</v>
      </c>
      <c r="H572" t="s">
        <v>74</v>
      </c>
      <c r="I572" t="s">
        <v>10880</v>
      </c>
      <c r="J572" t="s">
        <v>10881</v>
      </c>
      <c r="K572" t="s">
        <v>74</v>
      </c>
      <c r="L572" t="s">
        <v>74</v>
      </c>
      <c r="M572" t="s">
        <v>78</v>
      </c>
      <c r="N572" t="s">
        <v>79</v>
      </c>
      <c r="O572" t="s">
        <v>74</v>
      </c>
      <c r="P572" t="s">
        <v>74</v>
      </c>
      <c r="Q572" t="s">
        <v>74</v>
      </c>
      <c r="R572" t="s">
        <v>74</v>
      </c>
      <c r="S572" t="s">
        <v>74</v>
      </c>
      <c r="T572" t="s">
        <v>10882</v>
      </c>
      <c r="U572" t="s">
        <v>10883</v>
      </c>
      <c r="V572" t="s">
        <v>10884</v>
      </c>
      <c r="W572" t="s">
        <v>10885</v>
      </c>
      <c r="X572" t="s">
        <v>10886</v>
      </c>
      <c r="Y572" t="s">
        <v>10887</v>
      </c>
      <c r="Z572" t="s">
        <v>10888</v>
      </c>
      <c r="AA572" t="s">
        <v>10889</v>
      </c>
      <c r="AB572" t="s">
        <v>10890</v>
      </c>
      <c r="AC572" t="s">
        <v>10891</v>
      </c>
      <c r="AD572" t="s">
        <v>10892</v>
      </c>
      <c r="AE572" t="s">
        <v>10893</v>
      </c>
      <c r="AF572" t="s">
        <v>74</v>
      </c>
      <c r="AG572">
        <v>63</v>
      </c>
      <c r="AH572">
        <v>27</v>
      </c>
      <c r="AI572">
        <v>29</v>
      </c>
      <c r="AJ572">
        <v>2</v>
      </c>
      <c r="AK572">
        <v>20</v>
      </c>
      <c r="AL572" t="s">
        <v>935</v>
      </c>
      <c r="AM572" t="s">
        <v>2382</v>
      </c>
      <c r="AN572" t="s">
        <v>2383</v>
      </c>
      <c r="AO572" t="s">
        <v>10894</v>
      </c>
      <c r="AP572" t="s">
        <v>10895</v>
      </c>
      <c r="AQ572" t="s">
        <v>74</v>
      </c>
      <c r="AR572" t="s">
        <v>10896</v>
      </c>
      <c r="AS572" t="s">
        <v>10897</v>
      </c>
      <c r="AT572" t="s">
        <v>10359</v>
      </c>
      <c r="AU572">
        <v>2012</v>
      </c>
      <c r="AV572">
        <v>26</v>
      </c>
      <c r="AW572">
        <v>8</v>
      </c>
      <c r="AX572" t="s">
        <v>74</v>
      </c>
      <c r="AY572" t="s">
        <v>74</v>
      </c>
      <c r="AZ572" t="s">
        <v>74</v>
      </c>
      <c r="BA572" t="s">
        <v>74</v>
      </c>
      <c r="BB572">
        <v>947</v>
      </c>
      <c r="BC572">
        <v>961</v>
      </c>
      <c r="BD572" t="s">
        <v>74</v>
      </c>
      <c r="BE572" t="s">
        <v>10898</v>
      </c>
      <c r="BF572" t="str">
        <f>HYPERLINK("http://dx.doi.org/10.1007/s10822-012-9585-7","http://dx.doi.org/10.1007/s10822-012-9585-7")</f>
        <v>http://dx.doi.org/10.1007/s10822-012-9585-7</v>
      </c>
      <c r="BG572" t="s">
        <v>74</v>
      </c>
      <c r="BH572" t="s">
        <v>74</v>
      </c>
      <c r="BI572">
        <v>15</v>
      </c>
      <c r="BJ572" t="s">
        <v>10899</v>
      </c>
      <c r="BK572" t="s">
        <v>98</v>
      </c>
      <c r="BL572" t="s">
        <v>10900</v>
      </c>
      <c r="BM572" t="s">
        <v>10901</v>
      </c>
      <c r="BN572">
        <v>22710891</v>
      </c>
      <c r="BO572" t="s">
        <v>74</v>
      </c>
      <c r="BP572" t="s">
        <v>74</v>
      </c>
      <c r="BQ572" t="s">
        <v>74</v>
      </c>
      <c r="BR572" t="s">
        <v>101</v>
      </c>
      <c r="BS572" t="s">
        <v>10902</v>
      </c>
      <c r="BT572" t="str">
        <f>HYPERLINK("https%3A%2F%2Fwww.webofscience.com%2Fwos%2Fwoscc%2Ffull-record%2FWOS:000307890600005","View Full Record in Web of Science")</f>
        <v>View Full Record in Web of Science</v>
      </c>
    </row>
    <row r="573" spans="1:72" x14ac:dyDescent="0.15">
      <c r="A573" t="s">
        <v>72</v>
      </c>
      <c r="B573" t="s">
        <v>10903</v>
      </c>
      <c r="C573" t="s">
        <v>74</v>
      </c>
      <c r="D573" t="s">
        <v>74</v>
      </c>
      <c r="E573" t="s">
        <v>74</v>
      </c>
      <c r="F573" t="s">
        <v>10904</v>
      </c>
      <c r="G573" t="s">
        <v>74</v>
      </c>
      <c r="H573" t="s">
        <v>74</v>
      </c>
      <c r="I573" t="s">
        <v>10905</v>
      </c>
      <c r="J573" t="s">
        <v>1567</v>
      </c>
      <c r="K573" t="s">
        <v>74</v>
      </c>
      <c r="L573" t="s">
        <v>74</v>
      </c>
      <c r="M573" t="s">
        <v>78</v>
      </c>
      <c r="N573" t="s">
        <v>79</v>
      </c>
      <c r="O573" t="s">
        <v>74</v>
      </c>
      <c r="P573" t="s">
        <v>74</v>
      </c>
      <c r="Q573" t="s">
        <v>74</v>
      </c>
      <c r="R573" t="s">
        <v>74</v>
      </c>
      <c r="S573" t="s">
        <v>74</v>
      </c>
      <c r="T573" t="s">
        <v>74</v>
      </c>
      <c r="U573" t="s">
        <v>10906</v>
      </c>
      <c r="V573" t="s">
        <v>10907</v>
      </c>
      <c r="W573" t="s">
        <v>10908</v>
      </c>
      <c r="X573" t="s">
        <v>10909</v>
      </c>
      <c r="Y573" t="s">
        <v>10910</v>
      </c>
      <c r="Z573" t="s">
        <v>10911</v>
      </c>
      <c r="AA573" t="s">
        <v>10912</v>
      </c>
      <c r="AB573" t="s">
        <v>10913</v>
      </c>
      <c r="AC573" t="s">
        <v>10914</v>
      </c>
      <c r="AD573" t="s">
        <v>10915</v>
      </c>
      <c r="AE573" t="s">
        <v>10916</v>
      </c>
      <c r="AF573" t="s">
        <v>74</v>
      </c>
      <c r="AG573">
        <v>32</v>
      </c>
      <c r="AH573">
        <v>44</v>
      </c>
      <c r="AI573">
        <v>48</v>
      </c>
      <c r="AJ573">
        <v>0</v>
      </c>
      <c r="AK573">
        <v>17</v>
      </c>
      <c r="AL573" t="s">
        <v>1429</v>
      </c>
      <c r="AM573" t="s">
        <v>1430</v>
      </c>
      <c r="AN573" t="s">
        <v>1431</v>
      </c>
      <c r="AO573" t="s">
        <v>1579</v>
      </c>
      <c r="AP573" t="s">
        <v>74</v>
      </c>
      <c r="AQ573" t="s">
        <v>74</v>
      </c>
      <c r="AR573" t="s">
        <v>1581</v>
      </c>
      <c r="AS573" t="s">
        <v>1582</v>
      </c>
      <c r="AT573" t="s">
        <v>10359</v>
      </c>
      <c r="AU573">
        <v>2012</v>
      </c>
      <c r="AV573">
        <v>42</v>
      </c>
      <c r="AW573">
        <v>8</v>
      </c>
      <c r="AX573" t="s">
        <v>74</v>
      </c>
      <c r="AY573" t="s">
        <v>74</v>
      </c>
      <c r="AZ573" t="s">
        <v>74</v>
      </c>
      <c r="BA573" t="s">
        <v>74</v>
      </c>
      <c r="BB573">
        <v>1270</v>
      </c>
      <c r="BC573">
        <v>1287</v>
      </c>
      <c r="BD573" t="s">
        <v>74</v>
      </c>
      <c r="BE573" t="s">
        <v>10917</v>
      </c>
      <c r="BF573" t="str">
        <f>HYPERLINK("http://dx.doi.org/10.1175/JPO-D-11-0198.1","http://dx.doi.org/10.1175/JPO-D-11-0198.1")</f>
        <v>http://dx.doi.org/10.1175/JPO-D-11-0198.1</v>
      </c>
      <c r="BG573" t="s">
        <v>74</v>
      </c>
      <c r="BH573" t="s">
        <v>74</v>
      </c>
      <c r="BI573">
        <v>18</v>
      </c>
      <c r="BJ573" t="s">
        <v>941</v>
      </c>
      <c r="BK573" t="s">
        <v>98</v>
      </c>
      <c r="BL573" t="s">
        <v>941</v>
      </c>
      <c r="BM573" t="s">
        <v>10918</v>
      </c>
      <c r="BN573" t="s">
        <v>74</v>
      </c>
      <c r="BO573" t="s">
        <v>1254</v>
      </c>
      <c r="BP573" t="s">
        <v>74</v>
      </c>
      <c r="BQ573" t="s">
        <v>74</v>
      </c>
      <c r="BR573" t="s">
        <v>101</v>
      </c>
      <c r="BS573" t="s">
        <v>10919</v>
      </c>
      <c r="BT573" t="str">
        <f>HYPERLINK("https%3A%2F%2Fwww.webofscience.com%2Fwos%2Fwoscc%2Ffull-record%2FWOS:000307794100002","View Full Record in Web of Science")</f>
        <v>View Full Record in Web of Science</v>
      </c>
    </row>
    <row r="574" spans="1:72" x14ac:dyDescent="0.15">
      <c r="A574" t="s">
        <v>72</v>
      </c>
      <c r="B574" t="s">
        <v>10920</v>
      </c>
      <c r="C574" t="s">
        <v>74</v>
      </c>
      <c r="D574" t="s">
        <v>74</v>
      </c>
      <c r="E574" t="s">
        <v>74</v>
      </c>
      <c r="F574" t="s">
        <v>10921</v>
      </c>
      <c r="G574" t="s">
        <v>74</v>
      </c>
      <c r="H574" t="s">
        <v>74</v>
      </c>
      <c r="I574" t="s">
        <v>10922</v>
      </c>
      <c r="J574" t="s">
        <v>1567</v>
      </c>
      <c r="K574" t="s">
        <v>74</v>
      </c>
      <c r="L574" t="s">
        <v>74</v>
      </c>
      <c r="M574" t="s">
        <v>78</v>
      </c>
      <c r="N574" t="s">
        <v>79</v>
      </c>
      <c r="O574" t="s">
        <v>74</v>
      </c>
      <c r="P574" t="s">
        <v>74</v>
      </c>
      <c r="Q574" t="s">
        <v>74</v>
      </c>
      <c r="R574" t="s">
        <v>74</v>
      </c>
      <c r="S574" t="s">
        <v>74</v>
      </c>
      <c r="T574" t="s">
        <v>74</v>
      </c>
      <c r="U574" t="s">
        <v>10923</v>
      </c>
      <c r="V574" t="s">
        <v>10924</v>
      </c>
      <c r="W574" t="s">
        <v>10925</v>
      </c>
      <c r="X574" t="s">
        <v>4616</v>
      </c>
      <c r="Y574" t="s">
        <v>10926</v>
      </c>
      <c r="Z574" t="s">
        <v>10927</v>
      </c>
      <c r="AA574" t="s">
        <v>74</v>
      </c>
      <c r="AB574" t="s">
        <v>10928</v>
      </c>
      <c r="AC574" t="s">
        <v>10929</v>
      </c>
      <c r="AD574" t="s">
        <v>10930</v>
      </c>
      <c r="AE574" t="s">
        <v>10931</v>
      </c>
      <c r="AF574" t="s">
        <v>74</v>
      </c>
      <c r="AG574">
        <v>49</v>
      </c>
      <c r="AH574">
        <v>20</v>
      </c>
      <c r="AI574">
        <v>21</v>
      </c>
      <c r="AJ574">
        <v>0</v>
      </c>
      <c r="AK574">
        <v>15</v>
      </c>
      <c r="AL574" t="s">
        <v>1429</v>
      </c>
      <c r="AM574" t="s">
        <v>1430</v>
      </c>
      <c r="AN574" t="s">
        <v>1431</v>
      </c>
      <c r="AO574" t="s">
        <v>1579</v>
      </c>
      <c r="AP574" t="s">
        <v>1580</v>
      </c>
      <c r="AQ574" t="s">
        <v>74</v>
      </c>
      <c r="AR574" t="s">
        <v>1581</v>
      </c>
      <c r="AS574" t="s">
        <v>1582</v>
      </c>
      <c r="AT574" t="s">
        <v>10359</v>
      </c>
      <c r="AU574">
        <v>2012</v>
      </c>
      <c r="AV574">
        <v>42</v>
      </c>
      <c r="AW574">
        <v>8</v>
      </c>
      <c r="AX574" t="s">
        <v>74</v>
      </c>
      <c r="AY574" t="s">
        <v>74</v>
      </c>
      <c r="AZ574" t="s">
        <v>74</v>
      </c>
      <c r="BA574" t="s">
        <v>74</v>
      </c>
      <c r="BB574">
        <v>1288</v>
      </c>
      <c r="BC574">
        <v>1302</v>
      </c>
      <c r="BD574" t="s">
        <v>74</v>
      </c>
      <c r="BE574" t="s">
        <v>10932</v>
      </c>
      <c r="BF574" t="str">
        <f>HYPERLINK("http://dx.doi.org/10.1175/JPO-D-11-0173.1","http://dx.doi.org/10.1175/JPO-D-11-0173.1")</f>
        <v>http://dx.doi.org/10.1175/JPO-D-11-0173.1</v>
      </c>
      <c r="BG574" t="s">
        <v>74</v>
      </c>
      <c r="BH574" t="s">
        <v>74</v>
      </c>
      <c r="BI574">
        <v>15</v>
      </c>
      <c r="BJ574" t="s">
        <v>941</v>
      </c>
      <c r="BK574" t="s">
        <v>98</v>
      </c>
      <c r="BL574" t="s">
        <v>941</v>
      </c>
      <c r="BM574" t="s">
        <v>10918</v>
      </c>
      <c r="BN574" t="s">
        <v>74</v>
      </c>
      <c r="BO574" t="s">
        <v>380</v>
      </c>
      <c r="BP574" t="s">
        <v>74</v>
      </c>
      <c r="BQ574" t="s">
        <v>74</v>
      </c>
      <c r="BR574" t="s">
        <v>101</v>
      </c>
      <c r="BS574" t="s">
        <v>10933</v>
      </c>
      <c r="BT574" t="str">
        <f>HYPERLINK("https%3A%2F%2Fwww.webofscience.com%2Fwos%2Fwoscc%2Ffull-record%2FWOS:000307794100003","View Full Record in Web of Science")</f>
        <v>View Full Record in Web of Science</v>
      </c>
    </row>
    <row r="575" spans="1:72" x14ac:dyDescent="0.15">
      <c r="A575" t="s">
        <v>72</v>
      </c>
      <c r="B575" t="s">
        <v>537</v>
      </c>
      <c r="C575" t="s">
        <v>74</v>
      </c>
      <c r="D575" t="s">
        <v>74</v>
      </c>
      <c r="E575" t="s">
        <v>74</v>
      </c>
      <c r="F575" t="s">
        <v>537</v>
      </c>
      <c r="G575" t="s">
        <v>74</v>
      </c>
      <c r="H575" t="s">
        <v>74</v>
      </c>
      <c r="I575" t="s">
        <v>10934</v>
      </c>
      <c r="J575" t="s">
        <v>10935</v>
      </c>
      <c r="K575" t="s">
        <v>74</v>
      </c>
      <c r="L575" t="s">
        <v>74</v>
      </c>
      <c r="M575" t="s">
        <v>78</v>
      </c>
      <c r="N575" t="s">
        <v>540</v>
      </c>
      <c r="O575" t="s">
        <v>74</v>
      </c>
      <c r="P575" t="s">
        <v>74</v>
      </c>
      <c r="Q575" t="s">
        <v>74</v>
      </c>
      <c r="R575" t="s">
        <v>74</v>
      </c>
      <c r="S575" t="s">
        <v>74</v>
      </c>
      <c r="T575" t="s">
        <v>74</v>
      </c>
      <c r="U575" t="s">
        <v>74</v>
      </c>
      <c r="V575" t="s">
        <v>74</v>
      </c>
      <c r="W575" t="s">
        <v>74</v>
      </c>
      <c r="X575" t="s">
        <v>74</v>
      </c>
      <c r="Y575" t="s">
        <v>74</v>
      </c>
      <c r="Z575" t="s">
        <v>74</v>
      </c>
      <c r="AA575" t="s">
        <v>74</v>
      </c>
      <c r="AB575" t="s">
        <v>74</v>
      </c>
      <c r="AC575" t="s">
        <v>74</v>
      </c>
      <c r="AD575" t="s">
        <v>74</v>
      </c>
      <c r="AE575" t="s">
        <v>74</v>
      </c>
      <c r="AF575" t="s">
        <v>74</v>
      </c>
      <c r="AG575">
        <v>0</v>
      </c>
      <c r="AH575">
        <v>0</v>
      </c>
      <c r="AI575">
        <v>0</v>
      </c>
      <c r="AJ575">
        <v>0</v>
      </c>
      <c r="AK575">
        <v>29</v>
      </c>
      <c r="AL575" t="s">
        <v>89</v>
      </c>
      <c r="AM575" t="s">
        <v>90</v>
      </c>
      <c r="AN575" t="s">
        <v>91</v>
      </c>
      <c r="AO575" t="s">
        <v>10936</v>
      </c>
      <c r="AP575" t="s">
        <v>10937</v>
      </c>
      <c r="AQ575" t="s">
        <v>74</v>
      </c>
      <c r="AR575" t="s">
        <v>10938</v>
      </c>
      <c r="AS575" t="s">
        <v>10939</v>
      </c>
      <c r="AT575" t="s">
        <v>10359</v>
      </c>
      <c r="AU575">
        <v>2012</v>
      </c>
      <c r="AV575">
        <v>64</v>
      </c>
      <c r="AW575">
        <v>8</v>
      </c>
      <c r="AX575" t="s">
        <v>74</v>
      </c>
      <c r="AY575" t="s">
        <v>74</v>
      </c>
      <c r="AZ575" t="s">
        <v>74</v>
      </c>
      <c r="BA575" t="s">
        <v>74</v>
      </c>
      <c r="BB575">
        <v>1517</v>
      </c>
      <c r="BC575">
        <v>1517</v>
      </c>
      <c r="BD575" t="s">
        <v>74</v>
      </c>
      <c r="BE575" t="s">
        <v>74</v>
      </c>
      <c r="BF575" t="s">
        <v>74</v>
      </c>
      <c r="BG575" t="s">
        <v>74</v>
      </c>
      <c r="BH575" t="s">
        <v>74</v>
      </c>
      <c r="BI575">
        <v>1</v>
      </c>
      <c r="BJ575" t="s">
        <v>10940</v>
      </c>
      <c r="BK575" t="s">
        <v>98</v>
      </c>
      <c r="BL575" t="s">
        <v>3116</v>
      </c>
      <c r="BM575" t="s">
        <v>10941</v>
      </c>
      <c r="BN575" t="s">
        <v>74</v>
      </c>
      <c r="BO575" t="s">
        <v>74</v>
      </c>
      <c r="BP575" t="s">
        <v>74</v>
      </c>
      <c r="BQ575" t="s">
        <v>74</v>
      </c>
      <c r="BR575" t="s">
        <v>101</v>
      </c>
      <c r="BS575" t="s">
        <v>10942</v>
      </c>
      <c r="BT575" t="str">
        <f>HYPERLINK("https%3A%2F%2Fwww.webofscience.com%2Fwos%2Fwoscc%2Ffull-record%2FWOS:000307492800011","View Full Record in Web of Science")</f>
        <v>View Full Record in Web of Science</v>
      </c>
    </row>
    <row r="576" spans="1:72" x14ac:dyDescent="0.15">
      <c r="A576" t="s">
        <v>72</v>
      </c>
      <c r="B576" t="s">
        <v>10943</v>
      </c>
      <c r="C576" t="s">
        <v>74</v>
      </c>
      <c r="D576" t="s">
        <v>74</v>
      </c>
      <c r="E576" t="s">
        <v>74</v>
      </c>
      <c r="F576" t="s">
        <v>10944</v>
      </c>
      <c r="G576" t="s">
        <v>74</v>
      </c>
      <c r="H576" t="s">
        <v>74</v>
      </c>
      <c r="I576" t="s">
        <v>10945</v>
      </c>
      <c r="J576" t="s">
        <v>10946</v>
      </c>
      <c r="K576" t="s">
        <v>74</v>
      </c>
      <c r="L576" t="s">
        <v>74</v>
      </c>
      <c r="M576" t="s">
        <v>78</v>
      </c>
      <c r="N576" t="s">
        <v>79</v>
      </c>
      <c r="O576" t="s">
        <v>74</v>
      </c>
      <c r="P576" t="s">
        <v>74</v>
      </c>
      <c r="Q576" t="s">
        <v>74</v>
      </c>
      <c r="R576" t="s">
        <v>74</v>
      </c>
      <c r="S576" t="s">
        <v>74</v>
      </c>
      <c r="T576" t="s">
        <v>10947</v>
      </c>
      <c r="U576" t="s">
        <v>10948</v>
      </c>
      <c r="V576" t="s">
        <v>10949</v>
      </c>
      <c r="W576" t="s">
        <v>10950</v>
      </c>
      <c r="X576" t="s">
        <v>10951</v>
      </c>
      <c r="Y576" t="s">
        <v>10952</v>
      </c>
      <c r="Z576" t="s">
        <v>10953</v>
      </c>
      <c r="AA576" t="s">
        <v>74</v>
      </c>
      <c r="AB576" t="s">
        <v>74</v>
      </c>
      <c r="AC576" t="s">
        <v>10954</v>
      </c>
      <c r="AD576" t="s">
        <v>10955</v>
      </c>
      <c r="AE576" t="s">
        <v>10956</v>
      </c>
      <c r="AF576" t="s">
        <v>74</v>
      </c>
      <c r="AG576">
        <v>62</v>
      </c>
      <c r="AH576">
        <v>30</v>
      </c>
      <c r="AI576">
        <v>33</v>
      </c>
      <c r="AJ576">
        <v>0</v>
      </c>
      <c r="AK576">
        <v>27</v>
      </c>
      <c r="AL576" t="s">
        <v>898</v>
      </c>
      <c r="AM576" t="s">
        <v>899</v>
      </c>
      <c r="AN576" t="s">
        <v>900</v>
      </c>
      <c r="AO576" t="s">
        <v>10957</v>
      </c>
      <c r="AP576" t="s">
        <v>10958</v>
      </c>
      <c r="AQ576" t="s">
        <v>74</v>
      </c>
      <c r="AR576" t="s">
        <v>10946</v>
      </c>
      <c r="AS576" t="s">
        <v>10959</v>
      </c>
      <c r="AT576" t="s">
        <v>10359</v>
      </c>
      <c r="AU576">
        <v>2012</v>
      </c>
      <c r="AV576">
        <v>61</v>
      </c>
      <c r="AW576">
        <v>4</v>
      </c>
      <c r="AX576" t="s">
        <v>74</v>
      </c>
      <c r="AY576" t="s">
        <v>74</v>
      </c>
      <c r="AZ576" t="s">
        <v>74</v>
      </c>
      <c r="BA576" t="s">
        <v>74</v>
      </c>
      <c r="BB576">
        <v>826</v>
      </c>
      <c r="BC576">
        <v>840</v>
      </c>
      <c r="BD576" t="s">
        <v>74</v>
      </c>
      <c r="BE576" t="s">
        <v>10960</v>
      </c>
      <c r="BF576" t="str">
        <f>HYPERLINK("http://dx.doi.org/10.1002/tax.614008","http://dx.doi.org/10.1002/tax.614008")</f>
        <v>http://dx.doi.org/10.1002/tax.614008</v>
      </c>
      <c r="BG576" t="s">
        <v>74</v>
      </c>
      <c r="BH576" t="s">
        <v>74</v>
      </c>
      <c r="BI576">
        <v>15</v>
      </c>
      <c r="BJ576" t="s">
        <v>10961</v>
      </c>
      <c r="BK576" t="s">
        <v>98</v>
      </c>
      <c r="BL576" t="s">
        <v>10961</v>
      </c>
      <c r="BM576" t="s">
        <v>10962</v>
      </c>
      <c r="BN576" t="s">
        <v>74</v>
      </c>
      <c r="BO576" t="s">
        <v>74</v>
      </c>
      <c r="BP576" t="s">
        <v>74</v>
      </c>
      <c r="BQ576" t="s">
        <v>74</v>
      </c>
      <c r="BR576" t="s">
        <v>101</v>
      </c>
      <c r="BS576" t="s">
        <v>10963</v>
      </c>
      <c r="BT576" t="str">
        <f>HYPERLINK("https%3A%2F%2Fwww.webofscience.com%2Fwos%2Fwoscc%2Ffull-record%2FWOS:000307746700008","View Full Record in Web of Science")</f>
        <v>View Full Record in Web of Science</v>
      </c>
    </row>
    <row r="577" spans="1:72" x14ac:dyDescent="0.15">
      <c r="A577" t="s">
        <v>72</v>
      </c>
      <c r="B577" t="s">
        <v>10964</v>
      </c>
      <c r="C577" t="s">
        <v>74</v>
      </c>
      <c r="D577" t="s">
        <v>74</v>
      </c>
      <c r="E577" t="s">
        <v>74</v>
      </c>
      <c r="F577" t="s">
        <v>10965</v>
      </c>
      <c r="G577" t="s">
        <v>74</v>
      </c>
      <c r="H577" t="s">
        <v>74</v>
      </c>
      <c r="I577" t="s">
        <v>10966</v>
      </c>
      <c r="J577" t="s">
        <v>1634</v>
      </c>
      <c r="K577" t="s">
        <v>74</v>
      </c>
      <c r="L577" t="s">
        <v>74</v>
      </c>
      <c r="M577" t="s">
        <v>78</v>
      </c>
      <c r="N577" t="s">
        <v>79</v>
      </c>
      <c r="O577" t="s">
        <v>74</v>
      </c>
      <c r="P577" t="s">
        <v>74</v>
      </c>
      <c r="Q577" t="s">
        <v>74</v>
      </c>
      <c r="R577" t="s">
        <v>74</v>
      </c>
      <c r="S577" t="s">
        <v>74</v>
      </c>
      <c r="T577" t="s">
        <v>74</v>
      </c>
      <c r="U577" t="s">
        <v>74</v>
      </c>
      <c r="V577" t="s">
        <v>10967</v>
      </c>
      <c r="W577" t="s">
        <v>10968</v>
      </c>
      <c r="X577" t="s">
        <v>10969</v>
      </c>
      <c r="Y577" t="s">
        <v>10970</v>
      </c>
      <c r="Z577" t="s">
        <v>10971</v>
      </c>
      <c r="AA577" t="s">
        <v>10972</v>
      </c>
      <c r="AB577" t="s">
        <v>10973</v>
      </c>
      <c r="AC577" t="s">
        <v>10974</v>
      </c>
      <c r="AD577" t="s">
        <v>10975</v>
      </c>
      <c r="AE577" t="s">
        <v>10976</v>
      </c>
      <c r="AF577" t="s">
        <v>74</v>
      </c>
      <c r="AG577">
        <v>5</v>
      </c>
      <c r="AH577">
        <v>13</v>
      </c>
      <c r="AI577">
        <v>14</v>
      </c>
      <c r="AJ577">
        <v>1</v>
      </c>
      <c r="AK577">
        <v>7</v>
      </c>
      <c r="AL577" t="s">
        <v>1646</v>
      </c>
      <c r="AM577" t="s">
        <v>119</v>
      </c>
      <c r="AN577" t="s">
        <v>1647</v>
      </c>
      <c r="AO577" t="s">
        <v>1648</v>
      </c>
      <c r="AP577" t="s">
        <v>74</v>
      </c>
      <c r="AQ577" t="s">
        <v>74</v>
      </c>
      <c r="AR577" t="s">
        <v>1650</v>
      </c>
      <c r="AS577" t="s">
        <v>1651</v>
      </c>
      <c r="AT577" t="s">
        <v>10359</v>
      </c>
      <c r="AU577">
        <v>2012</v>
      </c>
      <c r="AV577">
        <v>194</v>
      </c>
      <c r="AW577">
        <v>16</v>
      </c>
      <c r="AX577" t="s">
        <v>74</v>
      </c>
      <c r="AY577" t="s">
        <v>74</v>
      </c>
      <c r="AZ577" t="s">
        <v>74</v>
      </c>
      <c r="BA577" t="s">
        <v>74</v>
      </c>
      <c r="BB577">
        <v>4465</v>
      </c>
      <c r="BC577">
        <v>4465</v>
      </c>
      <c r="BD577" t="s">
        <v>74</v>
      </c>
      <c r="BE577" t="s">
        <v>10977</v>
      </c>
      <c r="BF577" t="str">
        <f>HYPERLINK("http://dx.doi.org/10.1128/JB.00888-12","http://dx.doi.org/10.1128/JB.00888-12")</f>
        <v>http://dx.doi.org/10.1128/JB.00888-12</v>
      </c>
      <c r="BG577" t="s">
        <v>74</v>
      </c>
      <c r="BH577" t="s">
        <v>74</v>
      </c>
      <c r="BI577">
        <v>1</v>
      </c>
      <c r="BJ577" t="s">
        <v>775</v>
      </c>
      <c r="BK577" t="s">
        <v>98</v>
      </c>
      <c r="BL577" t="s">
        <v>775</v>
      </c>
      <c r="BM577" t="s">
        <v>10978</v>
      </c>
      <c r="BN577">
        <v>22843594</v>
      </c>
      <c r="BO577" t="s">
        <v>1458</v>
      </c>
      <c r="BP577" t="s">
        <v>74</v>
      </c>
      <c r="BQ577" t="s">
        <v>74</v>
      </c>
      <c r="BR577" t="s">
        <v>101</v>
      </c>
      <c r="BS577" t="s">
        <v>10979</v>
      </c>
      <c r="BT577" t="str">
        <f>HYPERLINK("https%3A%2F%2Fwww.webofscience.com%2Fwos%2Fwoscc%2Ffull-record%2FWOS:000307198100050","View Full Record in Web of Science")</f>
        <v>View Full Record in Web of Science</v>
      </c>
    </row>
    <row r="578" spans="1:72" x14ac:dyDescent="0.15">
      <c r="A578" t="s">
        <v>72</v>
      </c>
      <c r="B578" t="s">
        <v>10980</v>
      </c>
      <c r="C578" t="s">
        <v>74</v>
      </c>
      <c r="D578" t="s">
        <v>74</v>
      </c>
      <c r="E578" t="s">
        <v>74</v>
      </c>
      <c r="F578" t="s">
        <v>10981</v>
      </c>
      <c r="G578" t="s">
        <v>74</v>
      </c>
      <c r="H578" t="s">
        <v>74</v>
      </c>
      <c r="I578" t="s">
        <v>10982</v>
      </c>
      <c r="J578" t="s">
        <v>2768</v>
      </c>
      <c r="K578" t="s">
        <v>74</v>
      </c>
      <c r="L578" t="s">
        <v>74</v>
      </c>
      <c r="M578" t="s">
        <v>78</v>
      </c>
      <c r="N578" t="s">
        <v>79</v>
      </c>
      <c r="O578" t="s">
        <v>74</v>
      </c>
      <c r="P578" t="s">
        <v>74</v>
      </c>
      <c r="Q578" t="s">
        <v>74</v>
      </c>
      <c r="R578" t="s">
        <v>74</v>
      </c>
      <c r="S578" t="s">
        <v>74</v>
      </c>
      <c r="T578" t="s">
        <v>10983</v>
      </c>
      <c r="U578" t="s">
        <v>10984</v>
      </c>
      <c r="V578" t="s">
        <v>10985</v>
      </c>
      <c r="W578" t="s">
        <v>10986</v>
      </c>
      <c r="X578" t="s">
        <v>10987</v>
      </c>
      <c r="Y578" t="s">
        <v>10988</v>
      </c>
      <c r="Z578" t="s">
        <v>10989</v>
      </c>
      <c r="AA578" t="s">
        <v>10990</v>
      </c>
      <c r="AB578" t="s">
        <v>10991</v>
      </c>
      <c r="AC578" t="s">
        <v>10992</v>
      </c>
      <c r="AD578" t="s">
        <v>5263</v>
      </c>
      <c r="AE578" t="s">
        <v>10993</v>
      </c>
      <c r="AF578" t="s">
        <v>74</v>
      </c>
      <c r="AG578">
        <v>25</v>
      </c>
      <c r="AH578">
        <v>3</v>
      </c>
      <c r="AI578">
        <v>3</v>
      </c>
      <c r="AJ578">
        <v>0</v>
      </c>
      <c r="AK578">
        <v>11</v>
      </c>
      <c r="AL578" t="s">
        <v>2780</v>
      </c>
      <c r="AM578" t="s">
        <v>371</v>
      </c>
      <c r="AN578" t="s">
        <v>2781</v>
      </c>
      <c r="AO578" t="s">
        <v>2782</v>
      </c>
      <c r="AP578" t="s">
        <v>2783</v>
      </c>
      <c r="AQ578" t="s">
        <v>74</v>
      </c>
      <c r="AR578" t="s">
        <v>2784</v>
      </c>
      <c r="AS578" t="s">
        <v>2785</v>
      </c>
      <c r="AT578" t="s">
        <v>10359</v>
      </c>
      <c r="AU578">
        <v>2012</v>
      </c>
      <c r="AV578">
        <v>92</v>
      </c>
      <c r="AW578">
        <v>5</v>
      </c>
      <c r="AX578" t="s">
        <v>74</v>
      </c>
      <c r="AY578" t="s">
        <v>74</v>
      </c>
      <c r="AZ578" t="s">
        <v>74</v>
      </c>
      <c r="BA578" t="s">
        <v>74</v>
      </c>
      <c r="BB578">
        <v>1161</v>
      </c>
      <c r="BC578">
        <v>1174</v>
      </c>
      <c r="BD578" t="s">
        <v>74</v>
      </c>
      <c r="BE578" t="s">
        <v>10994</v>
      </c>
      <c r="BF578" t="str">
        <f>HYPERLINK("http://dx.doi.org/10.1017/S0025315411000348","http://dx.doi.org/10.1017/S0025315411000348")</f>
        <v>http://dx.doi.org/10.1017/S0025315411000348</v>
      </c>
      <c r="BG578" t="s">
        <v>74</v>
      </c>
      <c r="BH578" t="s">
        <v>74</v>
      </c>
      <c r="BI578">
        <v>14</v>
      </c>
      <c r="BJ578" t="s">
        <v>1753</v>
      </c>
      <c r="BK578" t="s">
        <v>98</v>
      </c>
      <c r="BL578" t="s">
        <v>1753</v>
      </c>
      <c r="BM578" t="s">
        <v>10995</v>
      </c>
      <c r="BN578" t="s">
        <v>74</v>
      </c>
      <c r="BO578" t="s">
        <v>74</v>
      </c>
      <c r="BP578" t="s">
        <v>74</v>
      </c>
      <c r="BQ578" t="s">
        <v>74</v>
      </c>
      <c r="BR578" t="s">
        <v>101</v>
      </c>
      <c r="BS578" t="s">
        <v>10996</v>
      </c>
      <c r="BT578" t="str">
        <f>HYPERLINK("https%3A%2F%2Fwww.webofscience.com%2Fwos%2Fwoscc%2Ffull-record%2FWOS:000307173100027","View Full Record in Web of Science")</f>
        <v>View Full Record in Web of Science</v>
      </c>
    </row>
    <row r="579" spans="1:72" x14ac:dyDescent="0.15">
      <c r="A579" t="s">
        <v>72</v>
      </c>
      <c r="B579" t="s">
        <v>10997</v>
      </c>
      <c r="C579" t="s">
        <v>74</v>
      </c>
      <c r="D579" t="s">
        <v>74</v>
      </c>
      <c r="E579" t="s">
        <v>74</v>
      </c>
      <c r="F579" t="s">
        <v>10998</v>
      </c>
      <c r="G579" t="s">
        <v>74</v>
      </c>
      <c r="H579" t="s">
        <v>74</v>
      </c>
      <c r="I579" t="s">
        <v>10999</v>
      </c>
      <c r="J579" t="s">
        <v>315</v>
      </c>
      <c r="K579" t="s">
        <v>74</v>
      </c>
      <c r="L579" t="s">
        <v>74</v>
      </c>
      <c r="M579" t="s">
        <v>78</v>
      </c>
      <c r="N579" t="s">
        <v>79</v>
      </c>
      <c r="O579" t="s">
        <v>74</v>
      </c>
      <c r="P579" t="s">
        <v>74</v>
      </c>
      <c r="Q579" t="s">
        <v>74</v>
      </c>
      <c r="R579" t="s">
        <v>74</v>
      </c>
      <c r="S579" t="s">
        <v>74</v>
      </c>
      <c r="T579" t="s">
        <v>11000</v>
      </c>
      <c r="U579" t="s">
        <v>11001</v>
      </c>
      <c r="V579" t="s">
        <v>11002</v>
      </c>
      <c r="W579" t="s">
        <v>11003</v>
      </c>
      <c r="X579" t="s">
        <v>11004</v>
      </c>
      <c r="Y579" t="s">
        <v>11005</v>
      </c>
      <c r="Z579" t="s">
        <v>11006</v>
      </c>
      <c r="AA579" t="s">
        <v>11007</v>
      </c>
      <c r="AB579" t="s">
        <v>11008</v>
      </c>
      <c r="AC579" t="s">
        <v>11009</v>
      </c>
      <c r="AD579" t="s">
        <v>11009</v>
      </c>
      <c r="AE579" t="s">
        <v>11010</v>
      </c>
      <c r="AF579" t="s">
        <v>74</v>
      </c>
      <c r="AG579">
        <v>72</v>
      </c>
      <c r="AH579">
        <v>30</v>
      </c>
      <c r="AI579">
        <v>31</v>
      </c>
      <c r="AJ579">
        <v>2</v>
      </c>
      <c r="AK579">
        <v>86</v>
      </c>
      <c r="AL579" t="s">
        <v>188</v>
      </c>
      <c r="AM579" t="s">
        <v>189</v>
      </c>
      <c r="AN579" t="s">
        <v>190</v>
      </c>
      <c r="AO579" t="s">
        <v>328</v>
      </c>
      <c r="AP579" t="s">
        <v>351</v>
      </c>
      <c r="AQ579" t="s">
        <v>74</v>
      </c>
      <c r="AR579" t="s">
        <v>329</v>
      </c>
      <c r="AS579" t="s">
        <v>330</v>
      </c>
      <c r="AT579" t="s">
        <v>11011</v>
      </c>
      <c r="AU579">
        <v>2012</v>
      </c>
      <c r="AV579">
        <v>431</v>
      </c>
      <c r="AW579" t="s">
        <v>74</v>
      </c>
      <c r="AX579" t="s">
        <v>74</v>
      </c>
      <c r="AY579" t="s">
        <v>74</v>
      </c>
      <c r="AZ579" t="s">
        <v>74</v>
      </c>
      <c r="BA579" t="s">
        <v>74</v>
      </c>
      <c r="BB579">
        <v>92</v>
      </c>
      <c r="BC579">
        <v>99</v>
      </c>
      <c r="BD579" t="s">
        <v>74</v>
      </c>
      <c r="BE579" t="s">
        <v>11012</v>
      </c>
      <c r="BF579" t="str">
        <f>HYPERLINK("http://dx.doi.org/10.1016/j.scitotenv.2012.05.018","http://dx.doi.org/10.1016/j.scitotenv.2012.05.018")</f>
        <v>http://dx.doi.org/10.1016/j.scitotenv.2012.05.018</v>
      </c>
      <c r="BG579" t="s">
        <v>74</v>
      </c>
      <c r="BH579" t="s">
        <v>74</v>
      </c>
      <c r="BI579">
        <v>8</v>
      </c>
      <c r="BJ579" t="s">
        <v>332</v>
      </c>
      <c r="BK579" t="s">
        <v>98</v>
      </c>
      <c r="BL579" t="s">
        <v>333</v>
      </c>
      <c r="BM579" t="s">
        <v>11013</v>
      </c>
      <c r="BN579">
        <v>22673175</v>
      </c>
      <c r="BO579" t="s">
        <v>74</v>
      </c>
      <c r="BP579" t="s">
        <v>74</v>
      </c>
      <c r="BQ579" t="s">
        <v>74</v>
      </c>
      <c r="BR579" t="s">
        <v>101</v>
      </c>
      <c r="BS579" t="s">
        <v>11014</v>
      </c>
      <c r="BT579" t="str">
        <f>HYPERLINK("https%3A%2F%2Fwww.webofscience.com%2Fwos%2Fwoscc%2Ffull-record%2FWOS:000306887900012","View Full Record in Web of Science")</f>
        <v>View Full Record in Web of Science</v>
      </c>
    </row>
    <row r="580" spans="1:72" x14ac:dyDescent="0.15">
      <c r="A580" t="s">
        <v>72</v>
      </c>
      <c r="B580" t="s">
        <v>11015</v>
      </c>
      <c r="C580" t="s">
        <v>74</v>
      </c>
      <c r="D580" t="s">
        <v>74</v>
      </c>
      <c r="E580" t="s">
        <v>74</v>
      </c>
      <c r="F580" t="s">
        <v>11016</v>
      </c>
      <c r="G580" t="s">
        <v>74</v>
      </c>
      <c r="H580" t="s">
        <v>74</v>
      </c>
      <c r="I580" t="s">
        <v>11017</v>
      </c>
      <c r="J580" t="s">
        <v>5097</v>
      </c>
      <c r="K580" t="s">
        <v>74</v>
      </c>
      <c r="L580" t="s">
        <v>74</v>
      </c>
      <c r="M580" t="s">
        <v>78</v>
      </c>
      <c r="N580" t="s">
        <v>79</v>
      </c>
      <c r="O580" t="s">
        <v>74</v>
      </c>
      <c r="P580" t="s">
        <v>74</v>
      </c>
      <c r="Q580" t="s">
        <v>74</v>
      </c>
      <c r="R580" t="s">
        <v>74</v>
      </c>
      <c r="S580" t="s">
        <v>74</v>
      </c>
      <c r="T580" t="s">
        <v>11018</v>
      </c>
      <c r="U580" t="s">
        <v>11019</v>
      </c>
      <c r="V580" t="s">
        <v>11020</v>
      </c>
      <c r="W580" t="s">
        <v>11021</v>
      </c>
      <c r="X580" t="s">
        <v>11022</v>
      </c>
      <c r="Y580" t="s">
        <v>11023</v>
      </c>
      <c r="Z580" t="s">
        <v>11024</v>
      </c>
      <c r="AA580" t="s">
        <v>11025</v>
      </c>
      <c r="AB580" t="s">
        <v>11026</v>
      </c>
      <c r="AC580" t="s">
        <v>11027</v>
      </c>
      <c r="AD580" t="s">
        <v>11028</v>
      </c>
      <c r="AE580" t="s">
        <v>11029</v>
      </c>
      <c r="AF580" t="s">
        <v>74</v>
      </c>
      <c r="AG580">
        <v>47</v>
      </c>
      <c r="AH580">
        <v>11</v>
      </c>
      <c r="AI580">
        <v>11</v>
      </c>
      <c r="AJ580">
        <v>0</v>
      </c>
      <c r="AK580">
        <v>24</v>
      </c>
      <c r="AL580" t="s">
        <v>2780</v>
      </c>
      <c r="AM580" t="s">
        <v>371</v>
      </c>
      <c r="AN580" t="s">
        <v>2781</v>
      </c>
      <c r="AO580" t="s">
        <v>5108</v>
      </c>
      <c r="AP580" t="s">
        <v>74</v>
      </c>
      <c r="AQ580" t="s">
        <v>74</v>
      </c>
      <c r="AR580" t="s">
        <v>5110</v>
      </c>
      <c r="AS580" t="s">
        <v>5111</v>
      </c>
      <c r="AT580" t="s">
        <v>10359</v>
      </c>
      <c r="AU580">
        <v>2012</v>
      </c>
      <c r="AV580">
        <v>24</v>
      </c>
      <c r="AW580">
        <v>4</v>
      </c>
      <c r="AX580" t="s">
        <v>74</v>
      </c>
      <c r="AY580" t="s">
        <v>74</v>
      </c>
      <c r="AZ580" t="s">
        <v>74</v>
      </c>
      <c r="BA580" t="s">
        <v>74</v>
      </c>
      <c r="BB580">
        <v>342</v>
      </c>
      <c r="BC580">
        <v>352</v>
      </c>
      <c r="BD580" t="s">
        <v>74</v>
      </c>
      <c r="BE580" t="s">
        <v>11030</v>
      </c>
      <c r="BF580" t="str">
        <f>HYPERLINK("http://dx.doi.org/10.1017/S0954102012000041","http://dx.doi.org/10.1017/S0954102012000041")</f>
        <v>http://dx.doi.org/10.1017/S0954102012000041</v>
      </c>
      <c r="BG580" t="s">
        <v>74</v>
      </c>
      <c r="BH580" t="s">
        <v>74</v>
      </c>
      <c r="BI580">
        <v>11</v>
      </c>
      <c r="BJ580" t="s">
        <v>5113</v>
      </c>
      <c r="BK580" t="s">
        <v>98</v>
      </c>
      <c r="BL580" t="s">
        <v>5114</v>
      </c>
      <c r="BM580" t="s">
        <v>11031</v>
      </c>
      <c r="BN580" t="s">
        <v>74</v>
      </c>
      <c r="BO580" t="s">
        <v>74</v>
      </c>
      <c r="BP580" t="s">
        <v>74</v>
      </c>
      <c r="BQ580" t="s">
        <v>74</v>
      </c>
      <c r="BR580" t="s">
        <v>101</v>
      </c>
      <c r="BS580" t="s">
        <v>11032</v>
      </c>
      <c r="BT580" t="str">
        <f>HYPERLINK("https%3A%2F%2Fwww.webofscience.com%2Fwos%2Fwoscc%2Ffull-record%2FWOS:000307141600004","View Full Record in Web of Science")</f>
        <v>View Full Record in Web of Science</v>
      </c>
    </row>
    <row r="581" spans="1:72" x14ac:dyDescent="0.15">
      <c r="A581" t="s">
        <v>72</v>
      </c>
      <c r="B581" t="s">
        <v>11033</v>
      </c>
      <c r="C581" t="s">
        <v>74</v>
      </c>
      <c r="D581" t="s">
        <v>74</v>
      </c>
      <c r="E581" t="s">
        <v>74</v>
      </c>
      <c r="F581" t="s">
        <v>11034</v>
      </c>
      <c r="G581" t="s">
        <v>74</v>
      </c>
      <c r="H581" t="s">
        <v>74</v>
      </c>
      <c r="I581" t="s">
        <v>11035</v>
      </c>
      <c r="J581" t="s">
        <v>5097</v>
      </c>
      <c r="K581" t="s">
        <v>74</v>
      </c>
      <c r="L581" t="s">
        <v>74</v>
      </c>
      <c r="M581" t="s">
        <v>78</v>
      </c>
      <c r="N581" t="s">
        <v>79</v>
      </c>
      <c r="O581" t="s">
        <v>74</v>
      </c>
      <c r="P581" t="s">
        <v>74</v>
      </c>
      <c r="Q581" t="s">
        <v>74</v>
      </c>
      <c r="R581" t="s">
        <v>74</v>
      </c>
      <c r="S581" t="s">
        <v>74</v>
      </c>
      <c r="T581" t="s">
        <v>11036</v>
      </c>
      <c r="U581" t="s">
        <v>11037</v>
      </c>
      <c r="V581" t="s">
        <v>11038</v>
      </c>
      <c r="W581" t="s">
        <v>11039</v>
      </c>
      <c r="X581" t="s">
        <v>11040</v>
      </c>
      <c r="Y581" t="s">
        <v>11041</v>
      </c>
      <c r="Z581" t="s">
        <v>11042</v>
      </c>
      <c r="AA581" t="s">
        <v>74</v>
      </c>
      <c r="AB581" t="s">
        <v>11043</v>
      </c>
      <c r="AC581" t="s">
        <v>74</v>
      </c>
      <c r="AD581" t="s">
        <v>74</v>
      </c>
      <c r="AE581" t="s">
        <v>74</v>
      </c>
      <c r="AF581" t="s">
        <v>74</v>
      </c>
      <c r="AG581">
        <v>40</v>
      </c>
      <c r="AH581">
        <v>6</v>
      </c>
      <c r="AI581">
        <v>6</v>
      </c>
      <c r="AJ581">
        <v>0</v>
      </c>
      <c r="AK581">
        <v>6</v>
      </c>
      <c r="AL581" t="s">
        <v>2780</v>
      </c>
      <c r="AM581" t="s">
        <v>371</v>
      </c>
      <c r="AN581" t="s">
        <v>2781</v>
      </c>
      <c r="AO581" t="s">
        <v>5108</v>
      </c>
      <c r="AP581" t="s">
        <v>74</v>
      </c>
      <c r="AQ581" t="s">
        <v>74</v>
      </c>
      <c r="AR581" t="s">
        <v>5110</v>
      </c>
      <c r="AS581" t="s">
        <v>5111</v>
      </c>
      <c r="AT581" t="s">
        <v>10359</v>
      </c>
      <c r="AU581">
        <v>2012</v>
      </c>
      <c r="AV581">
        <v>24</v>
      </c>
      <c r="AW581">
        <v>4</v>
      </c>
      <c r="AX581" t="s">
        <v>74</v>
      </c>
      <c r="AY581" t="s">
        <v>74</v>
      </c>
      <c r="AZ581" t="s">
        <v>74</v>
      </c>
      <c r="BA581" t="s">
        <v>74</v>
      </c>
      <c r="BB581">
        <v>353</v>
      </c>
      <c r="BC581">
        <v>358</v>
      </c>
      <c r="BD581" t="s">
        <v>74</v>
      </c>
      <c r="BE581" t="s">
        <v>11044</v>
      </c>
      <c r="BF581" t="str">
        <f>HYPERLINK("http://dx.doi.org/10.1017/S0954102012000211","http://dx.doi.org/10.1017/S0954102012000211")</f>
        <v>http://dx.doi.org/10.1017/S0954102012000211</v>
      </c>
      <c r="BG581" t="s">
        <v>74</v>
      </c>
      <c r="BH581" t="s">
        <v>74</v>
      </c>
      <c r="BI581">
        <v>6</v>
      </c>
      <c r="BJ581" t="s">
        <v>5113</v>
      </c>
      <c r="BK581" t="s">
        <v>98</v>
      </c>
      <c r="BL581" t="s">
        <v>5114</v>
      </c>
      <c r="BM581" t="s">
        <v>11031</v>
      </c>
      <c r="BN581" t="s">
        <v>74</v>
      </c>
      <c r="BO581" t="s">
        <v>74</v>
      </c>
      <c r="BP581" t="s">
        <v>74</v>
      </c>
      <c r="BQ581" t="s">
        <v>74</v>
      </c>
      <c r="BR581" t="s">
        <v>101</v>
      </c>
      <c r="BS581" t="s">
        <v>11045</v>
      </c>
      <c r="BT581" t="str">
        <f>HYPERLINK("https%3A%2F%2Fwww.webofscience.com%2Fwos%2Fwoscc%2Ffull-record%2FWOS:000307141600005","View Full Record in Web of Science")</f>
        <v>View Full Record in Web of Science</v>
      </c>
    </row>
    <row r="582" spans="1:72" x14ac:dyDescent="0.15">
      <c r="A582" t="s">
        <v>72</v>
      </c>
      <c r="B582" t="s">
        <v>11046</v>
      </c>
      <c r="C582" t="s">
        <v>74</v>
      </c>
      <c r="D582" t="s">
        <v>74</v>
      </c>
      <c r="E582" t="s">
        <v>74</v>
      </c>
      <c r="F582" t="s">
        <v>11047</v>
      </c>
      <c r="G582" t="s">
        <v>74</v>
      </c>
      <c r="H582" t="s">
        <v>74</v>
      </c>
      <c r="I582" t="s">
        <v>11048</v>
      </c>
      <c r="J582" t="s">
        <v>5097</v>
      </c>
      <c r="K582" t="s">
        <v>74</v>
      </c>
      <c r="L582" t="s">
        <v>74</v>
      </c>
      <c r="M582" t="s">
        <v>78</v>
      </c>
      <c r="N582" t="s">
        <v>79</v>
      </c>
      <c r="O582" t="s">
        <v>74</v>
      </c>
      <c r="P582" t="s">
        <v>74</v>
      </c>
      <c r="Q582" t="s">
        <v>74</v>
      </c>
      <c r="R582" t="s">
        <v>74</v>
      </c>
      <c r="S582" t="s">
        <v>74</v>
      </c>
      <c r="T582" t="s">
        <v>11049</v>
      </c>
      <c r="U582" t="s">
        <v>11050</v>
      </c>
      <c r="V582" t="s">
        <v>11051</v>
      </c>
      <c r="W582" t="s">
        <v>11052</v>
      </c>
      <c r="X582" t="s">
        <v>11053</v>
      </c>
      <c r="Y582" t="s">
        <v>11054</v>
      </c>
      <c r="Z582" t="s">
        <v>11055</v>
      </c>
      <c r="AA582" t="s">
        <v>11056</v>
      </c>
      <c r="AB582" t="s">
        <v>11057</v>
      </c>
      <c r="AC582" t="s">
        <v>11058</v>
      </c>
      <c r="AD582" t="s">
        <v>11059</v>
      </c>
      <c r="AE582" t="s">
        <v>11060</v>
      </c>
      <c r="AF582" t="s">
        <v>74</v>
      </c>
      <c r="AG582">
        <v>33</v>
      </c>
      <c r="AH582">
        <v>10</v>
      </c>
      <c r="AI582">
        <v>11</v>
      </c>
      <c r="AJ582">
        <v>0</v>
      </c>
      <c r="AK582">
        <v>18</v>
      </c>
      <c r="AL582" t="s">
        <v>2780</v>
      </c>
      <c r="AM582" t="s">
        <v>371</v>
      </c>
      <c r="AN582" t="s">
        <v>2781</v>
      </c>
      <c r="AO582" t="s">
        <v>5108</v>
      </c>
      <c r="AP582" t="s">
        <v>5109</v>
      </c>
      <c r="AQ582" t="s">
        <v>74</v>
      </c>
      <c r="AR582" t="s">
        <v>5110</v>
      </c>
      <c r="AS582" t="s">
        <v>5111</v>
      </c>
      <c r="AT582" t="s">
        <v>10359</v>
      </c>
      <c r="AU582">
        <v>2012</v>
      </c>
      <c r="AV582">
        <v>24</v>
      </c>
      <c r="AW582">
        <v>4</v>
      </c>
      <c r="AX582" t="s">
        <v>74</v>
      </c>
      <c r="AY582" t="s">
        <v>74</v>
      </c>
      <c r="AZ582" t="s">
        <v>74</v>
      </c>
      <c r="BA582" t="s">
        <v>74</v>
      </c>
      <c r="BB582">
        <v>367</v>
      </c>
      <c r="BC582">
        <v>376</v>
      </c>
      <c r="BD582" t="s">
        <v>74</v>
      </c>
      <c r="BE582" t="s">
        <v>11061</v>
      </c>
      <c r="BF582" t="str">
        <f>HYPERLINK("http://dx.doi.org/10.1017/S0954102012000193","http://dx.doi.org/10.1017/S0954102012000193")</f>
        <v>http://dx.doi.org/10.1017/S0954102012000193</v>
      </c>
      <c r="BG582" t="s">
        <v>74</v>
      </c>
      <c r="BH582" t="s">
        <v>74</v>
      </c>
      <c r="BI582">
        <v>10</v>
      </c>
      <c r="BJ582" t="s">
        <v>5113</v>
      </c>
      <c r="BK582" t="s">
        <v>98</v>
      </c>
      <c r="BL582" t="s">
        <v>5114</v>
      </c>
      <c r="BM582" t="s">
        <v>11031</v>
      </c>
      <c r="BN582" t="s">
        <v>74</v>
      </c>
      <c r="BO582" t="s">
        <v>74</v>
      </c>
      <c r="BP582" t="s">
        <v>74</v>
      </c>
      <c r="BQ582" t="s">
        <v>74</v>
      </c>
      <c r="BR582" t="s">
        <v>101</v>
      </c>
      <c r="BS582" t="s">
        <v>11062</v>
      </c>
      <c r="BT582" t="str">
        <f>HYPERLINK("https%3A%2F%2Fwww.webofscience.com%2Fwos%2Fwoscc%2Ffull-record%2FWOS:000307141600007","View Full Record in Web of Science")</f>
        <v>View Full Record in Web of Science</v>
      </c>
    </row>
    <row r="583" spans="1:72" x14ac:dyDescent="0.15">
      <c r="A583" t="s">
        <v>72</v>
      </c>
      <c r="B583" t="s">
        <v>11063</v>
      </c>
      <c r="C583" t="s">
        <v>74</v>
      </c>
      <c r="D583" t="s">
        <v>74</v>
      </c>
      <c r="E583" t="s">
        <v>74</v>
      </c>
      <c r="F583" t="s">
        <v>11064</v>
      </c>
      <c r="G583" t="s">
        <v>74</v>
      </c>
      <c r="H583" t="s">
        <v>74</v>
      </c>
      <c r="I583" t="s">
        <v>11065</v>
      </c>
      <c r="J583" t="s">
        <v>5097</v>
      </c>
      <c r="K583" t="s">
        <v>74</v>
      </c>
      <c r="L583" t="s">
        <v>74</v>
      </c>
      <c r="M583" t="s">
        <v>78</v>
      </c>
      <c r="N583" t="s">
        <v>79</v>
      </c>
      <c r="O583" t="s">
        <v>74</v>
      </c>
      <c r="P583" t="s">
        <v>74</v>
      </c>
      <c r="Q583" t="s">
        <v>74</v>
      </c>
      <c r="R583" t="s">
        <v>74</v>
      </c>
      <c r="S583" t="s">
        <v>74</v>
      </c>
      <c r="T583" t="s">
        <v>11066</v>
      </c>
      <c r="U583" t="s">
        <v>11067</v>
      </c>
      <c r="V583" t="s">
        <v>11068</v>
      </c>
      <c r="W583" t="s">
        <v>11069</v>
      </c>
      <c r="X583" t="s">
        <v>11070</v>
      </c>
      <c r="Y583" t="s">
        <v>11071</v>
      </c>
      <c r="Z583" t="s">
        <v>11072</v>
      </c>
      <c r="AA583" t="s">
        <v>11073</v>
      </c>
      <c r="AB583" t="s">
        <v>11074</v>
      </c>
      <c r="AC583" t="s">
        <v>11075</v>
      </c>
      <c r="AD583" t="s">
        <v>11076</v>
      </c>
      <c r="AE583" t="s">
        <v>11077</v>
      </c>
      <c r="AF583" t="s">
        <v>74</v>
      </c>
      <c r="AG583">
        <v>32</v>
      </c>
      <c r="AH583">
        <v>10</v>
      </c>
      <c r="AI583">
        <v>10</v>
      </c>
      <c r="AJ583">
        <v>2</v>
      </c>
      <c r="AK583">
        <v>40</v>
      </c>
      <c r="AL583" t="s">
        <v>2780</v>
      </c>
      <c r="AM583" t="s">
        <v>371</v>
      </c>
      <c r="AN583" t="s">
        <v>2781</v>
      </c>
      <c r="AO583" t="s">
        <v>5108</v>
      </c>
      <c r="AP583" t="s">
        <v>5109</v>
      </c>
      <c r="AQ583" t="s">
        <v>74</v>
      </c>
      <c r="AR583" t="s">
        <v>5110</v>
      </c>
      <c r="AS583" t="s">
        <v>5111</v>
      </c>
      <c r="AT583" t="s">
        <v>10359</v>
      </c>
      <c r="AU583">
        <v>2012</v>
      </c>
      <c r="AV583">
        <v>24</v>
      </c>
      <c r="AW583">
        <v>4</v>
      </c>
      <c r="AX583" t="s">
        <v>74</v>
      </c>
      <c r="AY583" t="s">
        <v>74</v>
      </c>
      <c r="AZ583" t="s">
        <v>74</v>
      </c>
      <c r="BA583" t="s">
        <v>74</v>
      </c>
      <c r="BB583">
        <v>395</v>
      </c>
      <c r="BC583">
        <v>407</v>
      </c>
      <c r="BD583" t="s">
        <v>74</v>
      </c>
      <c r="BE583" t="s">
        <v>11078</v>
      </c>
      <c r="BF583" t="str">
        <f>HYPERLINK("http://dx.doi.org/10.1017/S0954102012000107","http://dx.doi.org/10.1017/S0954102012000107")</f>
        <v>http://dx.doi.org/10.1017/S0954102012000107</v>
      </c>
      <c r="BG583" t="s">
        <v>74</v>
      </c>
      <c r="BH583" t="s">
        <v>74</v>
      </c>
      <c r="BI583">
        <v>13</v>
      </c>
      <c r="BJ583" t="s">
        <v>5113</v>
      </c>
      <c r="BK583" t="s">
        <v>98</v>
      </c>
      <c r="BL583" t="s">
        <v>5114</v>
      </c>
      <c r="BM583" t="s">
        <v>11031</v>
      </c>
      <c r="BN583" t="s">
        <v>74</v>
      </c>
      <c r="BO583" t="s">
        <v>74</v>
      </c>
      <c r="BP583" t="s">
        <v>74</v>
      </c>
      <c r="BQ583" t="s">
        <v>74</v>
      </c>
      <c r="BR583" t="s">
        <v>101</v>
      </c>
      <c r="BS583" t="s">
        <v>11079</v>
      </c>
      <c r="BT583" t="str">
        <f>HYPERLINK("https%3A%2F%2Fwww.webofscience.com%2Fwos%2Fwoscc%2Ffull-record%2FWOS:000307141600009","View Full Record in Web of Science")</f>
        <v>View Full Record in Web of Science</v>
      </c>
    </row>
    <row r="584" spans="1:72" x14ac:dyDescent="0.15">
      <c r="A584" t="s">
        <v>72</v>
      </c>
      <c r="B584" t="s">
        <v>11080</v>
      </c>
      <c r="C584" t="s">
        <v>74</v>
      </c>
      <c r="D584" t="s">
        <v>74</v>
      </c>
      <c r="E584" t="s">
        <v>74</v>
      </c>
      <c r="F584" t="s">
        <v>11081</v>
      </c>
      <c r="G584" t="s">
        <v>74</v>
      </c>
      <c r="H584" t="s">
        <v>74</v>
      </c>
      <c r="I584" t="s">
        <v>11082</v>
      </c>
      <c r="J584" t="s">
        <v>5097</v>
      </c>
      <c r="K584" t="s">
        <v>74</v>
      </c>
      <c r="L584" t="s">
        <v>74</v>
      </c>
      <c r="M584" t="s">
        <v>78</v>
      </c>
      <c r="N584" t="s">
        <v>79</v>
      </c>
      <c r="O584" t="s">
        <v>74</v>
      </c>
      <c r="P584" t="s">
        <v>74</v>
      </c>
      <c r="Q584" t="s">
        <v>74</v>
      </c>
      <c r="R584" t="s">
        <v>74</v>
      </c>
      <c r="S584" t="s">
        <v>74</v>
      </c>
      <c r="T584" t="s">
        <v>11083</v>
      </c>
      <c r="U584" t="s">
        <v>11084</v>
      </c>
      <c r="V584" t="s">
        <v>11085</v>
      </c>
      <c r="W584" t="s">
        <v>11086</v>
      </c>
      <c r="X584" t="s">
        <v>11087</v>
      </c>
      <c r="Y584" t="s">
        <v>4167</v>
      </c>
      <c r="Z584" t="s">
        <v>4168</v>
      </c>
      <c r="AA584" t="s">
        <v>11088</v>
      </c>
      <c r="AB584" t="s">
        <v>11089</v>
      </c>
      <c r="AC584" t="s">
        <v>11090</v>
      </c>
      <c r="AD584" t="s">
        <v>11091</v>
      </c>
      <c r="AE584" t="s">
        <v>11092</v>
      </c>
      <c r="AF584" t="s">
        <v>74</v>
      </c>
      <c r="AG584">
        <v>41</v>
      </c>
      <c r="AH584">
        <v>15</v>
      </c>
      <c r="AI584">
        <v>16</v>
      </c>
      <c r="AJ584">
        <v>0</v>
      </c>
      <c r="AK584">
        <v>7</v>
      </c>
      <c r="AL584" t="s">
        <v>2780</v>
      </c>
      <c r="AM584" t="s">
        <v>371</v>
      </c>
      <c r="AN584" t="s">
        <v>2781</v>
      </c>
      <c r="AO584" t="s">
        <v>5108</v>
      </c>
      <c r="AP584" t="s">
        <v>74</v>
      </c>
      <c r="AQ584" t="s">
        <v>74</v>
      </c>
      <c r="AR584" t="s">
        <v>5110</v>
      </c>
      <c r="AS584" t="s">
        <v>5111</v>
      </c>
      <c r="AT584" t="s">
        <v>10359</v>
      </c>
      <c r="AU584">
        <v>2012</v>
      </c>
      <c r="AV584">
        <v>24</v>
      </c>
      <c r="AW584">
        <v>4</v>
      </c>
      <c r="AX584" t="s">
        <v>74</v>
      </c>
      <c r="AY584" t="s">
        <v>74</v>
      </c>
      <c r="AZ584" t="s">
        <v>74</v>
      </c>
      <c r="BA584" t="s">
        <v>74</v>
      </c>
      <c r="BB584">
        <v>408</v>
      </c>
      <c r="BC584">
        <v>416</v>
      </c>
      <c r="BD584" t="s">
        <v>74</v>
      </c>
      <c r="BE584" t="s">
        <v>11093</v>
      </c>
      <c r="BF584" t="str">
        <f>HYPERLINK("http://dx.doi.org/10.1017/S095410201200020X","http://dx.doi.org/10.1017/S095410201200020X")</f>
        <v>http://dx.doi.org/10.1017/S095410201200020X</v>
      </c>
      <c r="BG584" t="s">
        <v>74</v>
      </c>
      <c r="BH584" t="s">
        <v>74</v>
      </c>
      <c r="BI584">
        <v>9</v>
      </c>
      <c r="BJ584" t="s">
        <v>5113</v>
      </c>
      <c r="BK584" t="s">
        <v>98</v>
      </c>
      <c r="BL584" t="s">
        <v>5114</v>
      </c>
      <c r="BM584" t="s">
        <v>11031</v>
      </c>
      <c r="BN584" t="s">
        <v>74</v>
      </c>
      <c r="BO584" t="s">
        <v>74</v>
      </c>
      <c r="BP584" t="s">
        <v>74</v>
      </c>
      <c r="BQ584" t="s">
        <v>74</v>
      </c>
      <c r="BR584" t="s">
        <v>101</v>
      </c>
      <c r="BS584" t="s">
        <v>11094</v>
      </c>
      <c r="BT584" t="str">
        <f>HYPERLINK("https%3A%2F%2Fwww.webofscience.com%2Fwos%2Fwoscc%2Ffull-record%2FWOS:000307141600010","View Full Record in Web of Science")</f>
        <v>View Full Record in Web of Science</v>
      </c>
    </row>
    <row r="585" spans="1:72" x14ac:dyDescent="0.15">
      <c r="A585" t="s">
        <v>72</v>
      </c>
      <c r="B585" t="s">
        <v>11095</v>
      </c>
      <c r="C585" t="s">
        <v>74</v>
      </c>
      <c r="D585" t="s">
        <v>74</v>
      </c>
      <c r="E585" t="s">
        <v>74</v>
      </c>
      <c r="F585" t="s">
        <v>11096</v>
      </c>
      <c r="G585" t="s">
        <v>74</v>
      </c>
      <c r="H585" t="s">
        <v>74</v>
      </c>
      <c r="I585" t="s">
        <v>11097</v>
      </c>
      <c r="J585" t="s">
        <v>1709</v>
      </c>
      <c r="K585" t="s">
        <v>74</v>
      </c>
      <c r="L585" t="s">
        <v>74</v>
      </c>
      <c r="M585" t="s">
        <v>78</v>
      </c>
      <c r="N585" t="s">
        <v>79</v>
      </c>
      <c r="O585" t="s">
        <v>74</v>
      </c>
      <c r="P585" t="s">
        <v>74</v>
      </c>
      <c r="Q585" t="s">
        <v>74</v>
      </c>
      <c r="R585" t="s">
        <v>74</v>
      </c>
      <c r="S585" t="s">
        <v>74</v>
      </c>
      <c r="T585" t="s">
        <v>11098</v>
      </c>
      <c r="U585" t="s">
        <v>11099</v>
      </c>
      <c r="V585" t="s">
        <v>11100</v>
      </c>
      <c r="W585" t="s">
        <v>11101</v>
      </c>
      <c r="X585" t="s">
        <v>11102</v>
      </c>
      <c r="Y585" t="s">
        <v>11103</v>
      </c>
      <c r="Z585" t="s">
        <v>11104</v>
      </c>
      <c r="AA585" t="s">
        <v>11105</v>
      </c>
      <c r="AB585" t="s">
        <v>11106</v>
      </c>
      <c r="AC585" t="s">
        <v>11107</v>
      </c>
      <c r="AD585" t="s">
        <v>11108</v>
      </c>
      <c r="AE585" t="s">
        <v>11109</v>
      </c>
      <c r="AF585" t="s">
        <v>74</v>
      </c>
      <c r="AG585">
        <v>57</v>
      </c>
      <c r="AH585">
        <v>21</v>
      </c>
      <c r="AI585">
        <v>24</v>
      </c>
      <c r="AJ585">
        <v>1</v>
      </c>
      <c r="AK585">
        <v>38</v>
      </c>
      <c r="AL585" t="s">
        <v>935</v>
      </c>
      <c r="AM585" t="s">
        <v>371</v>
      </c>
      <c r="AN585" t="s">
        <v>936</v>
      </c>
      <c r="AO585" t="s">
        <v>1722</v>
      </c>
      <c r="AP585" t="s">
        <v>1723</v>
      </c>
      <c r="AQ585" t="s">
        <v>74</v>
      </c>
      <c r="AR585" t="s">
        <v>1724</v>
      </c>
      <c r="AS585" t="s">
        <v>1725</v>
      </c>
      <c r="AT585" t="s">
        <v>10359</v>
      </c>
      <c r="AU585">
        <v>2012</v>
      </c>
      <c r="AV585">
        <v>39</v>
      </c>
      <c r="AW585" t="s">
        <v>11110</v>
      </c>
      <c r="AX585" t="s">
        <v>74</v>
      </c>
      <c r="AY585" t="s">
        <v>74</v>
      </c>
      <c r="AZ585" t="s">
        <v>74</v>
      </c>
      <c r="BA585" t="s">
        <v>74</v>
      </c>
      <c r="BB585">
        <v>953</v>
      </c>
      <c r="BC585">
        <v>969</v>
      </c>
      <c r="BD585" t="s">
        <v>74</v>
      </c>
      <c r="BE585" t="s">
        <v>11111</v>
      </c>
      <c r="BF585" t="str">
        <f>HYPERLINK("http://dx.doi.org/10.1007/s00382-011-1280-1","http://dx.doi.org/10.1007/s00382-011-1280-1")</f>
        <v>http://dx.doi.org/10.1007/s00382-011-1280-1</v>
      </c>
      <c r="BG585" t="s">
        <v>74</v>
      </c>
      <c r="BH585" t="s">
        <v>74</v>
      </c>
      <c r="BI585">
        <v>17</v>
      </c>
      <c r="BJ585" t="s">
        <v>378</v>
      </c>
      <c r="BK585" t="s">
        <v>98</v>
      </c>
      <c r="BL585" t="s">
        <v>378</v>
      </c>
      <c r="BM585" t="s">
        <v>11112</v>
      </c>
      <c r="BN585" t="s">
        <v>74</v>
      </c>
      <c r="BO585" t="s">
        <v>74</v>
      </c>
      <c r="BP585" t="s">
        <v>74</v>
      </c>
      <c r="BQ585" t="s">
        <v>74</v>
      </c>
      <c r="BR585" t="s">
        <v>101</v>
      </c>
      <c r="BS585" t="s">
        <v>11113</v>
      </c>
      <c r="BT585" t="str">
        <f>HYPERLINK("https%3A%2F%2Fwww.webofscience.com%2Fwos%2Fwoscc%2Ffull-record%2FWOS:000307271200027","View Full Record in Web of Science")</f>
        <v>View Full Record in Web of Science</v>
      </c>
    </row>
    <row r="586" spans="1:72" x14ac:dyDescent="0.15">
      <c r="A586" t="s">
        <v>72</v>
      </c>
      <c r="B586" t="s">
        <v>11114</v>
      </c>
      <c r="C586" t="s">
        <v>74</v>
      </c>
      <c r="D586" t="s">
        <v>74</v>
      </c>
      <c r="E586" t="s">
        <v>74</v>
      </c>
      <c r="F586" t="s">
        <v>11115</v>
      </c>
      <c r="G586" t="s">
        <v>74</v>
      </c>
      <c r="H586" t="s">
        <v>74</v>
      </c>
      <c r="I586" t="s">
        <v>11116</v>
      </c>
      <c r="J586" t="s">
        <v>2828</v>
      </c>
      <c r="K586" t="s">
        <v>74</v>
      </c>
      <c r="L586" t="s">
        <v>74</v>
      </c>
      <c r="M586" t="s">
        <v>78</v>
      </c>
      <c r="N586" t="s">
        <v>79</v>
      </c>
      <c r="O586" t="s">
        <v>74</v>
      </c>
      <c r="P586" t="s">
        <v>74</v>
      </c>
      <c r="Q586" t="s">
        <v>74</v>
      </c>
      <c r="R586" t="s">
        <v>74</v>
      </c>
      <c r="S586" t="s">
        <v>74</v>
      </c>
      <c r="T586" t="s">
        <v>74</v>
      </c>
      <c r="U586" t="s">
        <v>11117</v>
      </c>
      <c r="V586" t="s">
        <v>11118</v>
      </c>
      <c r="W586" t="s">
        <v>11119</v>
      </c>
      <c r="X586" t="s">
        <v>11120</v>
      </c>
      <c r="Y586" t="s">
        <v>11121</v>
      </c>
      <c r="Z586" t="s">
        <v>11122</v>
      </c>
      <c r="AA586" t="s">
        <v>11123</v>
      </c>
      <c r="AB586" t="s">
        <v>11124</v>
      </c>
      <c r="AC586" t="s">
        <v>11125</v>
      </c>
      <c r="AD586" t="s">
        <v>11125</v>
      </c>
      <c r="AE586" t="s">
        <v>11126</v>
      </c>
      <c r="AF586" t="s">
        <v>74</v>
      </c>
      <c r="AG586">
        <v>28</v>
      </c>
      <c r="AH586">
        <v>73</v>
      </c>
      <c r="AI586">
        <v>80</v>
      </c>
      <c r="AJ586">
        <v>2</v>
      </c>
      <c r="AK586">
        <v>31</v>
      </c>
      <c r="AL586" t="s">
        <v>6956</v>
      </c>
      <c r="AM586" t="s">
        <v>6957</v>
      </c>
      <c r="AN586" t="s">
        <v>6958</v>
      </c>
      <c r="AO586" t="s">
        <v>2837</v>
      </c>
      <c r="AP586" t="s">
        <v>2838</v>
      </c>
      <c r="AQ586" t="s">
        <v>74</v>
      </c>
      <c r="AR586" t="s">
        <v>2839</v>
      </c>
      <c r="AS586" t="s">
        <v>2840</v>
      </c>
      <c r="AT586" t="s">
        <v>10359</v>
      </c>
      <c r="AU586">
        <v>2012</v>
      </c>
      <c r="AV586">
        <v>2</v>
      </c>
      <c r="AW586">
        <v>8</v>
      </c>
      <c r="AX586" t="s">
        <v>74</v>
      </c>
      <c r="AY586" t="s">
        <v>74</v>
      </c>
      <c r="AZ586" t="s">
        <v>74</v>
      </c>
      <c r="BA586" t="s">
        <v>74</v>
      </c>
      <c r="BB586">
        <v>608</v>
      </c>
      <c r="BC586">
        <v>612</v>
      </c>
      <c r="BD586" t="s">
        <v>74</v>
      </c>
      <c r="BE586" t="s">
        <v>11127</v>
      </c>
      <c r="BF586" t="str">
        <f>HYPERLINK("http://dx.doi.org/10.1038/NCLIMATE1587","http://dx.doi.org/10.1038/NCLIMATE1587")</f>
        <v>http://dx.doi.org/10.1038/NCLIMATE1587</v>
      </c>
      <c r="BG586" t="s">
        <v>74</v>
      </c>
      <c r="BH586" t="s">
        <v>74</v>
      </c>
      <c r="BI586">
        <v>5</v>
      </c>
      <c r="BJ586" t="s">
        <v>2842</v>
      </c>
      <c r="BK586" t="s">
        <v>2843</v>
      </c>
      <c r="BL586" t="s">
        <v>2844</v>
      </c>
      <c r="BM586" t="s">
        <v>11128</v>
      </c>
      <c r="BN586" t="s">
        <v>74</v>
      </c>
      <c r="BO586" t="s">
        <v>74</v>
      </c>
      <c r="BP586" t="s">
        <v>74</v>
      </c>
      <c r="BQ586" t="s">
        <v>74</v>
      </c>
      <c r="BR586" t="s">
        <v>101</v>
      </c>
      <c r="BS586" t="s">
        <v>11129</v>
      </c>
      <c r="BT586" t="str">
        <f>HYPERLINK("https%3A%2F%2Fwww.webofscience.com%2Fwos%2Fwoscc%2Ffull-record%2FWOS:000307369300018","View Full Record in Web of Science")</f>
        <v>View Full Record in Web of Science</v>
      </c>
    </row>
    <row r="587" spans="1:72" x14ac:dyDescent="0.15">
      <c r="A587" t="s">
        <v>72</v>
      </c>
      <c r="B587" t="s">
        <v>11130</v>
      </c>
      <c r="C587" t="s">
        <v>74</v>
      </c>
      <c r="D587" t="s">
        <v>74</v>
      </c>
      <c r="E587" t="s">
        <v>74</v>
      </c>
      <c r="F587" t="s">
        <v>11131</v>
      </c>
      <c r="G587" t="s">
        <v>74</v>
      </c>
      <c r="H587" t="s">
        <v>74</v>
      </c>
      <c r="I587" t="s">
        <v>11132</v>
      </c>
      <c r="J587" t="s">
        <v>11133</v>
      </c>
      <c r="K587" t="s">
        <v>74</v>
      </c>
      <c r="L587" t="s">
        <v>74</v>
      </c>
      <c r="M587" t="s">
        <v>78</v>
      </c>
      <c r="N587" t="s">
        <v>52</v>
      </c>
      <c r="O587" t="s">
        <v>11134</v>
      </c>
      <c r="P587" t="s">
        <v>11135</v>
      </c>
      <c r="Q587" t="s">
        <v>11136</v>
      </c>
      <c r="R587" t="s">
        <v>74</v>
      </c>
      <c r="S587" t="s">
        <v>74</v>
      </c>
      <c r="T587" t="s">
        <v>74</v>
      </c>
      <c r="U587" t="s">
        <v>74</v>
      </c>
      <c r="V587" t="s">
        <v>74</v>
      </c>
      <c r="W587" t="s">
        <v>11137</v>
      </c>
      <c r="X587" t="s">
        <v>11138</v>
      </c>
      <c r="Y587" t="s">
        <v>74</v>
      </c>
      <c r="Z587" t="s">
        <v>74</v>
      </c>
      <c r="AA587" t="s">
        <v>10652</v>
      </c>
      <c r="AB587" t="s">
        <v>74</v>
      </c>
      <c r="AC587" t="s">
        <v>74</v>
      </c>
      <c r="AD587" t="s">
        <v>74</v>
      </c>
      <c r="AE587" t="s">
        <v>74</v>
      </c>
      <c r="AF587" t="s">
        <v>74</v>
      </c>
      <c r="AG587">
        <v>0</v>
      </c>
      <c r="AH587">
        <v>0</v>
      </c>
      <c r="AI587">
        <v>0</v>
      </c>
      <c r="AJ587">
        <v>0</v>
      </c>
      <c r="AK587">
        <v>7</v>
      </c>
      <c r="AL587" t="s">
        <v>11139</v>
      </c>
      <c r="AM587" t="s">
        <v>11140</v>
      </c>
      <c r="AN587" t="s">
        <v>11141</v>
      </c>
      <c r="AO587" t="s">
        <v>11142</v>
      </c>
      <c r="AP587" t="s">
        <v>74</v>
      </c>
      <c r="AQ587" t="s">
        <v>74</v>
      </c>
      <c r="AR587" t="s">
        <v>11143</v>
      </c>
      <c r="AS587" t="s">
        <v>11144</v>
      </c>
      <c r="AT587" t="s">
        <v>10359</v>
      </c>
      <c r="AU587">
        <v>2012</v>
      </c>
      <c r="AV587">
        <v>78</v>
      </c>
      <c r="AW587">
        <v>11</v>
      </c>
      <c r="AX587" t="s">
        <v>74</v>
      </c>
      <c r="AY587" t="s">
        <v>74</v>
      </c>
      <c r="AZ587" t="s">
        <v>74</v>
      </c>
      <c r="BA587" t="s">
        <v>74</v>
      </c>
      <c r="BB587">
        <v>1153</v>
      </c>
      <c r="BC587">
        <v>1153</v>
      </c>
      <c r="BD587" t="s">
        <v>74</v>
      </c>
      <c r="BE587" t="s">
        <v>74</v>
      </c>
      <c r="BF587" t="s">
        <v>74</v>
      </c>
      <c r="BG587" t="s">
        <v>74</v>
      </c>
      <c r="BH587" t="s">
        <v>74</v>
      </c>
      <c r="BI587">
        <v>1</v>
      </c>
      <c r="BJ587" t="s">
        <v>11145</v>
      </c>
      <c r="BK587" t="s">
        <v>491</v>
      </c>
      <c r="BL587" t="s">
        <v>11146</v>
      </c>
      <c r="BM587" t="s">
        <v>11147</v>
      </c>
      <c r="BN587" t="s">
        <v>74</v>
      </c>
      <c r="BO587" t="s">
        <v>74</v>
      </c>
      <c r="BP587" t="s">
        <v>74</v>
      </c>
      <c r="BQ587" t="s">
        <v>74</v>
      </c>
      <c r="BR587" t="s">
        <v>101</v>
      </c>
      <c r="BS587" t="s">
        <v>11148</v>
      </c>
      <c r="BT587" t="str">
        <f>HYPERLINK("https%3A%2F%2Fwww.webofscience.com%2Fwos%2Fwoscc%2Ffull-record%2FWOS:000307042800541","View Full Record in Web of Science")</f>
        <v>View Full Record in Web of Science</v>
      </c>
    </row>
    <row r="588" spans="1:72" x14ac:dyDescent="0.15">
      <c r="A588" t="s">
        <v>72</v>
      </c>
      <c r="B588" t="s">
        <v>11149</v>
      </c>
      <c r="C588" t="s">
        <v>74</v>
      </c>
      <c r="D588" t="s">
        <v>74</v>
      </c>
      <c r="E588" t="s">
        <v>74</v>
      </c>
      <c r="F588" t="s">
        <v>11150</v>
      </c>
      <c r="G588" t="s">
        <v>74</v>
      </c>
      <c r="H588" t="s">
        <v>74</v>
      </c>
      <c r="I588" t="s">
        <v>11151</v>
      </c>
      <c r="J588" t="s">
        <v>11152</v>
      </c>
      <c r="K588" t="s">
        <v>74</v>
      </c>
      <c r="L588" t="s">
        <v>74</v>
      </c>
      <c r="M588" t="s">
        <v>78</v>
      </c>
      <c r="N588" t="s">
        <v>79</v>
      </c>
      <c r="O588" t="s">
        <v>74</v>
      </c>
      <c r="P588" t="s">
        <v>74</v>
      </c>
      <c r="Q588" t="s">
        <v>74</v>
      </c>
      <c r="R588" t="s">
        <v>74</v>
      </c>
      <c r="S588" t="s">
        <v>74</v>
      </c>
      <c r="T588" t="s">
        <v>11153</v>
      </c>
      <c r="U588" t="s">
        <v>11154</v>
      </c>
      <c r="V588" t="s">
        <v>11155</v>
      </c>
      <c r="W588" t="s">
        <v>11156</v>
      </c>
      <c r="X588" t="s">
        <v>11157</v>
      </c>
      <c r="Y588" t="s">
        <v>11158</v>
      </c>
      <c r="Z588" t="s">
        <v>11159</v>
      </c>
      <c r="AA588" t="s">
        <v>74</v>
      </c>
      <c r="AB588" t="s">
        <v>74</v>
      </c>
      <c r="AC588" t="s">
        <v>11160</v>
      </c>
      <c r="AD588" t="s">
        <v>5322</v>
      </c>
      <c r="AE588" t="s">
        <v>11161</v>
      </c>
      <c r="AF588" t="s">
        <v>74</v>
      </c>
      <c r="AG588">
        <v>59</v>
      </c>
      <c r="AH588">
        <v>4</v>
      </c>
      <c r="AI588">
        <v>6</v>
      </c>
      <c r="AJ588">
        <v>0</v>
      </c>
      <c r="AK588">
        <v>33</v>
      </c>
      <c r="AL588" t="s">
        <v>1932</v>
      </c>
      <c r="AM588" t="s">
        <v>1933</v>
      </c>
      <c r="AN588" t="s">
        <v>1934</v>
      </c>
      <c r="AO588" t="s">
        <v>11162</v>
      </c>
      <c r="AP588" t="s">
        <v>11163</v>
      </c>
      <c r="AQ588" t="s">
        <v>74</v>
      </c>
      <c r="AR588" t="s">
        <v>11164</v>
      </c>
      <c r="AS588" t="s">
        <v>11165</v>
      </c>
      <c r="AT588" t="s">
        <v>10359</v>
      </c>
      <c r="AU588">
        <v>2012</v>
      </c>
      <c r="AV588">
        <v>55</v>
      </c>
      <c r="AW588">
        <v>8</v>
      </c>
      <c r="AX588" t="s">
        <v>74</v>
      </c>
      <c r="AY588" t="s">
        <v>74</v>
      </c>
      <c r="AZ588" t="s">
        <v>74</v>
      </c>
      <c r="BA588" t="s">
        <v>74</v>
      </c>
      <c r="BB588">
        <v>1238</v>
      </c>
      <c r="BC588">
        <v>1247</v>
      </c>
      <c r="BD588" t="s">
        <v>74</v>
      </c>
      <c r="BE588" t="s">
        <v>11166</v>
      </c>
      <c r="BF588" t="str">
        <f>HYPERLINK("http://dx.doi.org/10.1007/s11430-012-4439-7","http://dx.doi.org/10.1007/s11430-012-4439-7")</f>
        <v>http://dx.doi.org/10.1007/s11430-012-4439-7</v>
      </c>
      <c r="BG588" t="s">
        <v>74</v>
      </c>
      <c r="BH588" t="s">
        <v>74</v>
      </c>
      <c r="BI588">
        <v>10</v>
      </c>
      <c r="BJ588" t="s">
        <v>461</v>
      </c>
      <c r="BK588" t="s">
        <v>98</v>
      </c>
      <c r="BL588" t="s">
        <v>462</v>
      </c>
      <c r="BM588" t="s">
        <v>11167</v>
      </c>
      <c r="BN588" t="s">
        <v>74</v>
      </c>
      <c r="BO588" t="s">
        <v>74</v>
      </c>
      <c r="BP588" t="s">
        <v>74</v>
      </c>
      <c r="BQ588" t="s">
        <v>74</v>
      </c>
      <c r="BR588" t="s">
        <v>101</v>
      </c>
      <c r="BS588" t="s">
        <v>11168</v>
      </c>
      <c r="BT588" t="str">
        <f>HYPERLINK("https%3A%2F%2Fwww.webofscience.com%2Fwos%2Fwoscc%2Ffull-record%2FWOS:000307255500003","View Full Record in Web of Science")</f>
        <v>View Full Record in Web of Science</v>
      </c>
    </row>
    <row r="589" spans="1:72" x14ac:dyDescent="0.15">
      <c r="A589" t="s">
        <v>72</v>
      </c>
      <c r="B589" t="s">
        <v>11169</v>
      </c>
      <c r="C589" t="s">
        <v>74</v>
      </c>
      <c r="D589" t="s">
        <v>74</v>
      </c>
      <c r="E589" t="s">
        <v>74</v>
      </c>
      <c r="F589" t="s">
        <v>11170</v>
      </c>
      <c r="G589" t="s">
        <v>74</v>
      </c>
      <c r="H589" t="s">
        <v>74</v>
      </c>
      <c r="I589" t="s">
        <v>11171</v>
      </c>
      <c r="J589" t="s">
        <v>11152</v>
      </c>
      <c r="K589" t="s">
        <v>74</v>
      </c>
      <c r="L589" t="s">
        <v>74</v>
      </c>
      <c r="M589" t="s">
        <v>78</v>
      </c>
      <c r="N589" t="s">
        <v>79</v>
      </c>
      <c r="O589" t="s">
        <v>74</v>
      </c>
      <c r="P589" t="s">
        <v>74</v>
      </c>
      <c r="Q589" t="s">
        <v>74</v>
      </c>
      <c r="R589" t="s">
        <v>74</v>
      </c>
      <c r="S589" t="s">
        <v>74</v>
      </c>
      <c r="T589" t="s">
        <v>11172</v>
      </c>
      <c r="U589" t="s">
        <v>11173</v>
      </c>
      <c r="V589" t="s">
        <v>11174</v>
      </c>
      <c r="W589" t="s">
        <v>11175</v>
      </c>
      <c r="X589" t="s">
        <v>11176</v>
      </c>
      <c r="Y589" t="s">
        <v>11177</v>
      </c>
      <c r="Z589" t="s">
        <v>11178</v>
      </c>
      <c r="AA589" t="s">
        <v>11179</v>
      </c>
      <c r="AB589" t="s">
        <v>11180</v>
      </c>
      <c r="AC589" t="s">
        <v>11181</v>
      </c>
      <c r="AD589" t="s">
        <v>11182</v>
      </c>
      <c r="AE589" t="s">
        <v>11183</v>
      </c>
      <c r="AF589" t="s">
        <v>74</v>
      </c>
      <c r="AG589">
        <v>42</v>
      </c>
      <c r="AH589">
        <v>7</v>
      </c>
      <c r="AI589">
        <v>10</v>
      </c>
      <c r="AJ589">
        <v>0</v>
      </c>
      <c r="AK589">
        <v>29</v>
      </c>
      <c r="AL589" t="s">
        <v>1932</v>
      </c>
      <c r="AM589" t="s">
        <v>1933</v>
      </c>
      <c r="AN589" t="s">
        <v>1934</v>
      </c>
      <c r="AO589" t="s">
        <v>11162</v>
      </c>
      <c r="AP589" t="s">
        <v>11163</v>
      </c>
      <c r="AQ589" t="s">
        <v>74</v>
      </c>
      <c r="AR589" t="s">
        <v>11164</v>
      </c>
      <c r="AS589" t="s">
        <v>11165</v>
      </c>
      <c r="AT589" t="s">
        <v>10359</v>
      </c>
      <c r="AU589">
        <v>2012</v>
      </c>
      <c r="AV589">
        <v>55</v>
      </c>
      <c r="AW589">
        <v>8</v>
      </c>
      <c r="AX589" t="s">
        <v>74</v>
      </c>
      <c r="AY589" t="s">
        <v>74</v>
      </c>
      <c r="AZ589" t="s">
        <v>74</v>
      </c>
      <c r="BA589" t="s">
        <v>74</v>
      </c>
      <c r="BB589">
        <v>1280</v>
      </c>
      <c r="BC589">
        <v>1288</v>
      </c>
      <c r="BD589" t="s">
        <v>74</v>
      </c>
      <c r="BE589" t="s">
        <v>11184</v>
      </c>
      <c r="BF589" t="str">
        <f>HYPERLINK("http://dx.doi.org/10.1007/s11430-012-4393-4","http://dx.doi.org/10.1007/s11430-012-4393-4")</f>
        <v>http://dx.doi.org/10.1007/s11430-012-4393-4</v>
      </c>
      <c r="BG589" t="s">
        <v>74</v>
      </c>
      <c r="BH589" t="s">
        <v>74</v>
      </c>
      <c r="BI589">
        <v>9</v>
      </c>
      <c r="BJ589" t="s">
        <v>461</v>
      </c>
      <c r="BK589" t="s">
        <v>98</v>
      </c>
      <c r="BL589" t="s">
        <v>462</v>
      </c>
      <c r="BM589" t="s">
        <v>11167</v>
      </c>
      <c r="BN589" t="s">
        <v>74</v>
      </c>
      <c r="BO589" t="s">
        <v>74</v>
      </c>
      <c r="BP589" t="s">
        <v>74</v>
      </c>
      <c r="BQ589" t="s">
        <v>74</v>
      </c>
      <c r="BR589" t="s">
        <v>101</v>
      </c>
      <c r="BS589" t="s">
        <v>11185</v>
      </c>
      <c r="BT589" t="str">
        <f>HYPERLINK("https%3A%2F%2Fwww.webofscience.com%2Fwos%2Fwoscc%2Ffull-record%2FWOS:000307255500008","View Full Record in Web of Science")</f>
        <v>View Full Record in Web of Science</v>
      </c>
    </row>
    <row r="590" spans="1:72" x14ac:dyDescent="0.15">
      <c r="A590" t="s">
        <v>72</v>
      </c>
      <c r="B590" t="s">
        <v>11186</v>
      </c>
      <c r="C590" t="s">
        <v>74</v>
      </c>
      <c r="D590" t="s">
        <v>74</v>
      </c>
      <c r="E590" t="s">
        <v>74</v>
      </c>
      <c r="F590" t="s">
        <v>11187</v>
      </c>
      <c r="G590" t="s">
        <v>74</v>
      </c>
      <c r="H590" t="s">
        <v>74</v>
      </c>
      <c r="I590" t="s">
        <v>11188</v>
      </c>
      <c r="J590" t="s">
        <v>3098</v>
      </c>
      <c r="K590" t="s">
        <v>74</v>
      </c>
      <c r="L590" t="s">
        <v>74</v>
      </c>
      <c r="M590" t="s">
        <v>78</v>
      </c>
      <c r="N590" t="s">
        <v>79</v>
      </c>
      <c r="O590" t="s">
        <v>74</v>
      </c>
      <c r="P590" t="s">
        <v>74</v>
      </c>
      <c r="Q590" t="s">
        <v>74</v>
      </c>
      <c r="R590" t="s">
        <v>74</v>
      </c>
      <c r="S590" t="s">
        <v>74</v>
      </c>
      <c r="T590" t="s">
        <v>11189</v>
      </c>
      <c r="U590" t="s">
        <v>11190</v>
      </c>
      <c r="V590" t="s">
        <v>11191</v>
      </c>
      <c r="W590" t="s">
        <v>11192</v>
      </c>
      <c r="X590" t="s">
        <v>4900</v>
      </c>
      <c r="Y590" t="s">
        <v>4901</v>
      </c>
      <c r="Z590" t="s">
        <v>4902</v>
      </c>
      <c r="AA590" t="s">
        <v>74</v>
      </c>
      <c r="AB590" t="s">
        <v>74</v>
      </c>
      <c r="AC590" t="s">
        <v>11193</v>
      </c>
      <c r="AD590" t="s">
        <v>11194</v>
      </c>
      <c r="AE590" t="s">
        <v>11195</v>
      </c>
      <c r="AF590" t="s">
        <v>74</v>
      </c>
      <c r="AG590">
        <v>59</v>
      </c>
      <c r="AH590">
        <v>15</v>
      </c>
      <c r="AI590">
        <v>15</v>
      </c>
      <c r="AJ590">
        <v>2</v>
      </c>
      <c r="AK590">
        <v>17</v>
      </c>
      <c r="AL590" t="s">
        <v>188</v>
      </c>
      <c r="AM590" t="s">
        <v>189</v>
      </c>
      <c r="AN590" t="s">
        <v>190</v>
      </c>
      <c r="AO590" t="s">
        <v>3110</v>
      </c>
      <c r="AP590" t="s">
        <v>3111</v>
      </c>
      <c r="AQ590" t="s">
        <v>74</v>
      </c>
      <c r="AR590" t="s">
        <v>3112</v>
      </c>
      <c r="AS590" t="s">
        <v>3113</v>
      </c>
      <c r="AT590" t="s">
        <v>11011</v>
      </c>
      <c r="AU590">
        <v>2012</v>
      </c>
      <c r="AV590">
        <v>424</v>
      </c>
      <c r="AW590" t="s">
        <v>74</v>
      </c>
      <c r="AX590" t="s">
        <v>74</v>
      </c>
      <c r="AY590" t="s">
        <v>74</v>
      </c>
      <c r="AZ590" t="s">
        <v>74</v>
      </c>
      <c r="BA590" t="s">
        <v>74</v>
      </c>
      <c r="BB590">
        <v>78</v>
      </c>
      <c r="BC590">
        <v>88</v>
      </c>
      <c r="BD590" t="s">
        <v>74</v>
      </c>
      <c r="BE590" t="s">
        <v>11196</v>
      </c>
      <c r="BF590" t="str">
        <f>HYPERLINK("http://dx.doi.org/10.1016/j.jembe.2012.05.003","http://dx.doi.org/10.1016/j.jembe.2012.05.003")</f>
        <v>http://dx.doi.org/10.1016/j.jembe.2012.05.003</v>
      </c>
      <c r="BG590" t="s">
        <v>74</v>
      </c>
      <c r="BH590" t="s">
        <v>74</v>
      </c>
      <c r="BI590">
        <v>11</v>
      </c>
      <c r="BJ590" t="s">
        <v>3115</v>
      </c>
      <c r="BK590" t="s">
        <v>98</v>
      </c>
      <c r="BL590" t="s">
        <v>3116</v>
      </c>
      <c r="BM590" t="s">
        <v>11197</v>
      </c>
      <c r="BN590" t="s">
        <v>74</v>
      </c>
      <c r="BO590" t="s">
        <v>1254</v>
      </c>
      <c r="BP590" t="s">
        <v>74</v>
      </c>
      <c r="BQ590" t="s">
        <v>74</v>
      </c>
      <c r="BR590" t="s">
        <v>101</v>
      </c>
      <c r="BS590" t="s">
        <v>11198</v>
      </c>
      <c r="BT590" t="str">
        <f>HYPERLINK("https%3A%2F%2Fwww.webofscience.com%2Fwos%2Fwoscc%2Ffull-record%2FWOS:000306766700011","View Full Record in Web of Science")</f>
        <v>View Full Record in Web of Science</v>
      </c>
    </row>
    <row r="591" spans="1:72" x14ac:dyDescent="0.15">
      <c r="A591" t="s">
        <v>72</v>
      </c>
      <c r="B591" t="s">
        <v>11199</v>
      </c>
      <c r="C591" t="s">
        <v>74</v>
      </c>
      <c r="D591" t="s">
        <v>74</v>
      </c>
      <c r="E591" t="s">
        <v>74</v>
      </c>
      <c r="F591" t="s">
        <v>11200</v>
      </c>
      <c r="G591" t="s">
        <v>74</v>
      </c>
      <c r="H591" t="s">
        <v>74</v>
      </c>
      <c r="I591" t="s">
        <v>11201</v>
      </c>
      <c r="J591" t="s">
        <v>2850</v>
      </c>
      <c r="K591" t="s">
        <v>74</v>
      </c>
      <c r="L591" t="s">
        <v>74</v>
      </c>
      <c r="M591" t="s">
        <v>78</v>
      </c>
      <c r="N591" t="s">
        <v>79</v>
      </c>
      <c r="O591" t="s">
        <v>74</v>
      </c>
      <c r="P591" t="s">
        <v>74</v>
      </c>
      <c r="Q591" t="s">
        <v>74</v>
      </c>
      <c r="R591" t="s">
        <v>74</v>
      </c>
      <c r="S591" t="s">
        <v>74</v>
      </c>
      <c r="T591" t="s">
        <v>74</v>
      </c>
      <c r="U591" t="s">
        <v>11202</v>
      </c>
      <c r="V591" t="s">
        <v>11203</v>
      </c>
      <c r="W591" t="s">
        <v>11204</v>
      </c>
      <c r="X591" t="s">
        <v>11205</v>
      </c>
      <c r="Y591" t="s">
        <v>11206</v>
      </c>
      <c r="Z591" t="s">
        <v>11207</v>
      </c>
      <c r="AA591" t="s">
        <v>11208</v>
      </c>
      <c r="AB591" t="s">
        <v>11209</v>
      </c>
      <c r="AC591" t="s">
        <v>11210</v>
      </c>
      <c r="AD591" t="s">
        <v>11211</v>
      </c>
      <c r="AE591" t="s">
        <v>11212</v>
      </c>
      <c r="AF591" t="s">
        <v>74</v>
      </c>
      <c r="AG591">
        <v>30</v>
      </c>
      <c r="AH591">
        <v>24</v>
      </c>
      <c r="AI591">
        <v>26</v>
      </c>
      <c r="AJ591">
        <v>0</v>
      </c>
      <c r="AK591">
        <v>26</v>
      </c>
      <c r="AL591" t="s">
        <v>433</v>
      </c>
      <c r="AM591" t="s">
        <v>371</v>
      </c>
      <c r="AN591" t="s">
        <v>2862</v>
      </c>
      <c r="AO591" t="s">
        <v>2863</v>
      </c>
      <c r="AP591" t="s">
        <v>74</v>
      </c>
      <c r="AQ591" t="s">
        <v>74</v>
      </c>
      <c r="AR591" t="s">
        <v>2865</v>
      </c>
      <c r="AS591" t="s">
        <v>2866</v>
      </c>
      <c r="AT591" t="s">
        <v>10359</v>
      </c>
      <c r="AU591">
        <v>2012</v>
      </c>
      <c r="AV591">
        <v>5</v>
      </c>
      <c r="AW591">
        <v>8</v>
      </c>
      <c r="AX591" t="s">
        <v>74</v>
      </c>
      <c r="AY591" t="s">
        <v>74</v>
      </c>
      <c r="AZ591" t="s">
        <v>74</v>
      </c>
      <c r="BA591" t="s">
        <v>74</v>
      </c>
      <c r="BB591">
        <v>542</v>
      </c>
      <c r="BC591">
        <v>546</v>
      </c>
      <c r="BD591" t="s">
        <v>74</v>
      </c>
      <c r="BE591" t="s">
        <v>11213</v>
      </c>
      <c r="BF591" t="str">
        <f>HYPERLINK("http://dx.doi.org/10.1038/NGEO1502","http://dx.doi.org/10.1038/NGEO1502")</f>
        <v>http://dx.doi.org/10.1038/NGEO1502</v>
      </c>
      <c r="BG591" t="s">
        <v>74</v>
      </c>
      <c r="BH591" t="s">
        <v>74</v>
      </c>
      <c r="BI591">
        <v>5</v>
      </c>
      <c r="BJ591" t="s">
        <v>461</v>
      </c>
      <c r="BK591" t="s">
        <v>98</v>
      </c>
      <c r="BL591" t="s">
        <v>462</v>
      </c>
      <c r="BM591" t="s">
        <v>11214</v>
      </c>
      <c r="BN591" t="s">
        <v>74</v>
      </c>
      <c r="BO591" t="s">
        <v>74</v>
      </c>
      <c r="BP591" t="s">
        <v>74</v>
      </c>
      <c r="BQ591" t="s">
        <v>74</v>
      </c>
      <c r="BR591" t="s">
        <v>101</v>
      </c>
      <c r="BS591" t="s">
        <v>11215</v>
      </c>
      <c r="BT591" t="str">
        <f>HYPERLINK("https%3A%2F%2Fwww.webofscience.com%2Fwos%2Fwoscc%2Ffull-record%2FWOS:000307099000010","View Full Record in Web of Science")</f>
        <v>View Full Record in Web of Science</v>
      </c>
    </row>
    <row r="592" spans="1:72" x14ac:dyDescent="0.15">
      <c r="A592" t="s">
        <v>72</v>
      </c>
      <c r="B592" t="s">
        <v>11216</v>
      </c>
      <c r="C592" t="s">
        <v>74</v>
      </c>
      <c r="D592" t="s">
        <v>74</v>
      </c>
      <c r="E592" t="s">
        <v>74</v>
      </c>
      <c r="F592" t="s">
        <v>11217</v>
      </c>
      <c r="G592" t="s">
        <v>74</v>
      </c>
      <c r="H592" t="s">
        <v>74</v>
      </c>
      <c r="I592" t="s">
        <v>11218</v>
      </c>
      <c r="J592" t="s">
        <v>2850</v>
      </c>
      <c r="K592" t="s">
        <v>74</v>
      </c>
      <c r="L592" t="s">
        <v>74</v>
      </c>
      <c r="M592" t="s">
        <v>78</v>
      </c>
      <c r="N592" t="s">
        <v>79</v>
      </c>
      <c r="O592" t="s">
        <v>74</v>
      </c>
      <c r="P592" t="s">
        <v>74</v>
      </c>
      <c r="Q592" t="s">
        <v>74</v>
      </c>
      <c r="R592" t="s">
        <v>74</v>
      </c>
      <c r="S592" t="s">
        <v>74</v>
      </c>
      <c r="T592" t="s">
        <v>74</v>
      </c>
      <c r="U592" t="s">
        <v>11219</v>
      </c>
      <c r="V592" t="s">
        <v>11220</v>
      </c>
      <c r="W592" t="s">
        <v>11221</v>
      </c>
      <c r="X592" t="s">
        <v>11222</v>
      </c>
      <c r="Y592" t="s">
        <v>11223</v>
      </c>
      <c r="Z592" t="s">
        <v>11224</v>
      </c>
      <c r="AA592" t="s">
        <v>11225</v>
      </c>
      <c r="AB592" t="s">
        <v>11226</v>
      </c>
      <c r="AC592" t="s">
        <v>11227</v>
      </c>
      <c r="AD592" t="s">
        <v>11228</v>
      </c>
      <c r="AE592" t="s">
        <v>11229</v>
      </c>
      <c r="AF592" t="s">
        <v>74</v>
      </c>
      <c r="AG592">
        <v>30</v>
      </c>
      <c r="AH592">
        <v>90</v>
      </c>
      <c r="AI592">
        <v>101</v>
      </c>
      <c r="AJ592">
        <v>1</v>
      </c>
      <c r="AK592">
        <v>58</v>
      </c>
      <c r="AL592" t="s">
        <v>433</v>
      </c>
      <c r="AM592" t="s">
        <v>371</v>
      </c>
      <c r="AN592" t="s">
        <v>2862</v>
      </c>
      <c r="AO592" t="s">
        <v>2863</v>
      </c>
      <c r="AP592" t="s">
        <v>2864</v>
      </c>
      <c r="AQ592" t="s">
        <v>74</v>
      </c>
      <c r="AR592" t="s">
        <v>2865</v>
      </c>
      <c r="AS592" t="s">
        <v>2866</v>
      </c>
      <c r="AT592" t="s">
        <v>10359</v>
      </c>
      <c r="AU592">
        <v>2012</v>
      </c>
      <c r="AV592">
        <v>5</v>
      </c>
      <c r="AW592">
        <v>8</v>
      </c>
      <c r="AX592" t="s">
        <v>74</v>
      </c>
      <c r="AY592" t="s">
        <v>74</v>
      </c>
      <c r="AZ592" t="s">
        <v>74</v>
      </c>
      <c r="BA592" t="s">
        <v>74</v>
      </c>
      <c r="BB592">
        <v>557</v>
      </c>
      <c r="BC592">
        <v>560</v>
      </c>
      <c r="BD592" t="s">
        <v>74</v>
      </c>
      <c r="BE592" t="s">
        <v>11230</v>
      </c>
      <c r="BF592" t="str">
        <f>HYPERLINK("http://dx.doi.org/10.1038/NGEO1498","http://dx.doi.org/10.1038/NGEO1498")</f>
        <v>http://dx.doi.org/10.1038/NGEO1498</v>
      </c>
      <c r="BG592" t="s">
        <v>74</v>
      </c>
      <c r="BH592" t="s">
        <v>74</v>
      </c>
      <c r="BI592">
        <v>4</v>
      </c>
      <c r="BJ592" t="s">
        <v>461</v>
      </c>
      <c r="BK592" t="s">
        <v>98</v>
      </c>
      <c r="BL592" t="s">
        <v>462</v>
      </c>
      <c r="BM592" t="s">
        <v>11214</v>
      </c>
      <c r="BN592" t="s">
        <v>74</v>
      </c>
      <c r="BO592" t="s">
        <v>74</v>
      </c>
      <c r="BP592" t="s">
        <v>74</v>
      </c>
      <c r="BQ592" t="s">
        <v>74</v>
      </c>
      <c r="BR592" t="s">
        <v>101</v>
      </c>
      <c r="BS592" t="s">
        <v>11231</v>
      </c>
      <c r="BT592" t="str">
        <f>HYPERLINK("https%3A%2F%2Fwww.webofscience.com%2Fwos%2Fwoscc%2Ffull-record%2FWOS:000307099000013","View Full Record in Web of Science")</f>
        <v>View Full Record in Web of Science</v>
      </c>
    </row>
    <row r="593" spans="1:72" x14ac:dyDescent="0.15">
      <c r="A593" t="s">
        <v>72</v>
      </c>
      <c r="B593" t="s">
        <v>11232</v>
      </c>
      <c r="C593" t="s">
        <v>74</v>
      </c>
      <c r="D593" t="s">
        <v>74</v>
      </c>
      <c r="E593" t="s">
        <v>74</v>
      </c>
      <c r="F593" t="s">
        <v>11233</v>
      </c>
      <c r="G593" t="s">
        <v>74</v>
      </c>
      <c r="H593" t="s">
        <v>74</v>
      </c>
      <c r="I593" t="s">
        <v>11234</v>
      </c>
      <c r="J593" t="s">
        <v>11235</v>
      </c>
      <c r="K593" t="s">
        <v>74</v>
      </c>
      <c r="L593" t="s">
        <v>74</v>
      </c>
      <c r="M593" t="s">
        <v>78</v>
      </c>
      <c r="N593" t="s">
        <v>79</v>
      </c>
      <c r="O593" t="s">
        <v>74</v>
      </c>
      <c r="P593" t="s">
        <v>74</v>
      </c>
      <c r="Q593" t="s">
        <v>74</v>
      </c>
      <c r="R593" t="s">
        <v>74</v>
      </c>
      <c r="S593" t="s">
        <v>74</v>
      </c>
      <c r="T593" t="s">
        <v>11236</v>
      </c>
      <c r="U593" t="s">
        <v>11237</v>
      </c>
      <c r="V593" t="s">
        <v>11238</v>
      </c>
      <c r="W593" t="s">
        <v>11239</v>
      </c>
      <c r="X593" t="s">
        <v>11240</v>
      </c>
      <c r="Y593" t="s">
        <v>11241</v>
      </c>
      <c r="Z593" t="s">
        <v>11242</v>
      </c>
      <c r="AA593" t="s">
        <v>11243</v>
      </c>
      <c r="AB593" t="s">
        <v>11244</v>
      </c>
      <c r="AC593" t="s">
        <v>11245</v>
      </c>
      <c r="AD593" t="s">
        <v>11246</v>
      </c>
      <c r="AE593" t="s">
        <v>11247</v>
      </c>
      <c r="AF593" t="s">
        <v>74</v>
      </c>
      <c r="AG593">
        <v>45</v>
      </c>
      <c r="AH593">
        <v>44</v>
      </c>
      <c r="AI593">
        <v>47</v>
      </c>
      <c r="AJ593">
        <v>1</v>
      </c>
      <c r="AK593">
        <v>57</v>
      </c>
      <c r="AL593" t="s">
        <v>1771</v>
      </c>
      <c r="AM593" t="s">
        <v>90</v>
      </c>
      <c r="AN593" t="s">
        <v>1772</v>
      </c>
      <c r="AO593" t="s">
        <v>11248</v>
      </c>
      <c r="AP593" t="s">
        <v>11249</v>
      </c>
      <c r="AQ593" t="s">
        <v>74</v>
      </c>
      <c r="AR593" t="s">
        <v>11250</v>
      </c>
      <c r="AS593" t="s">
        <v>11251</v>
      </c>
      <c r="AT593" t="s">
        <v>10359</v>
      </c>
      <c r="AU593">
        <v>2012</v>
      </c>
      <c r="AV593">
        <v>110</v>
      </c>
      <c r="AW593">
        <v>3</v>
      </c>
      <c r="AX593" t="s">
        <v>74</v>
      </c>
      <c r="AY593" t="s">
        <v>74</v>
      </c>
      <c r="AZ593" t="s">
        <v>74</v>
      </c>
      <c r="BA593" t="s">
        <v>74</v>
      </c>
      <c r="BB593">
        <v>653</v>
      </c>
      <c r="BC593">
        <v>665</v>
      </c>
      <c r="BD593" t="s">
        <v>74</v>
      </c>
      <c r="BE593" t="s">
        <v>11252</v>
      </c>
      <c r="BF593" t="str">
        <f>HYPERLINK("http://dx.doi.org/10.1093/aob/mcs123","http://dx.doi.org/10.1093/aob/mcs123")</f>
        <v>http://dx.doi.org/10.1093/aob/mcs123</v>
      </c>
      <c r="BG593" t="s">
        <v>74</v>
      </c>
      <c r="BH593" t="s">
        <v>74</v>
      </c>
      <c r="BI593">
        <v>13</v>
      </c>
      <c r="BJ593" t="s">
        <v>2056</v>
      </c>
      <c r="BK593" t="s">
        <v>98</v>
      </c>
      <c r="BL593" t="s">
        <v>2056</v>
      </c>
      <c r="BM593" t="s">
        <v>11253</v>
      </c>
      <c r="BN593">
        <v>22700943</v>
      </c>
      <c r="BO593" t="s">
        <v>1458</v>
      </c>
      <c r="BP593" t="s">
        <v>74</v>
      </c>
      <c r="BQ593" t="s">
        <v>74</v>
      </c>
      <c r="BR593" t="s">
        <v>101</v>
      </c>
      <c r="BS593" t="s">
        <v>11254</v>
      </c>
      <c r="BT593" t="str">
        <f>HYPERLINK("https%3A%2F%2Fwww.webofscience.com%2Fwos%2Fwoscc%2Ffull-record%2FWOS:000306612000010","View Full Record in Web of Science")</f>
        <v>View Full Record in Web of Science</v>
      </c>
    </row>
    <row r="594" spans="1:72" x14ac:dyDescent="0.15">
      <c r="A594" t="s">
        <v>72</v>
      </c>
      <c r="B594" t="s">
        <v>11255</v>
      </c>
      <c r="C594" t="s">
        <v>74</v>
      </c>
      <c r="D594" t="s">
        <v>74</v>
      </c>
      <c r="E594" t="s">
        <v>74</v>
      </c>
      <c r="F594" t="s">
        <v>11256</v>
      </c>
      <c r="G594" t="s">
        <v>74</v>
      </c>
      <c r="H594" t="s">
        <v>74</v>
      </c>
      <c r="I594" t="s">
        <v>11257</v>
      </c>
      <c r="J594" t="s">
        <v>11258</v>
      </c>
      <c r="K594" t="s">
        <v>74</v>
      </c>
      <c r="L594" t="s">
        <v>74</v>
      </c>
      <c r="M594" t="s">
        <v>78</v>
      </c>
      <c r="N594" t="s">
        <v>79</v>
      </c>
      <c r="O594" t="s">
        <v>74</v>
      </c>
      <c r="P594" t="s">
        <v>74</v>
      </c>
      <c r="Q594" t="s">
        <v>74</v>
      </c>
      <c r="R594" t="s">
        <v>74</v>
      </c>
      <c r="S594" t="s">
        <v>74</v>
      </c>
      <c r="T594" t="s">
        <v>11259</v>
      </c>
      <c r="U594" t="s">
        <v>11260</v>
      </c>
      <c r="V594" t="s">
        <v>11261</v>
      </c>
      <c r="W594" t="s">
        <v>11262</v>
      </c>
      <c r="X594" t="s">
        <v>11263</v>
      </c>
      <c r="Y594" t="s">
        <v>11264</v>
      </c>
      <c r="Z594" t="s">
        <v>11265</v>
      </c>
      <c r="AA594" t="s">
        <v>11266</v>
      </c>
      <c r="AB594" t="s">
        <v>11267</v>
      </c>
      <c r="AC594" t="s">
        <v>11268</v>
      </c>
      <c r="AD594" t="s">
        <v>11269</v>
      </c>
      <c r="AE594" t="s">
        <v>11270</v>
      </c>
      <c r="AF594" t="s">
        <v>74</v>
      </c>
      <c r="AG594">
        <v>57</v>
      </c>
      <c r="AH594">
        <v>5</v>
      </c>
      <c r="AI594">
        <v>5</v>
      </c>
      <c r="AJ594">
        <v>0</v>
      </c>
      <c r="AK594">
        <v>24</v>
      </c>
      <c r="AL594" t="s">
        <v>898</v>
      </c>
      <c r="AM594" t="s">
        <v>899</v>
      </c>
      <c r="AN594" t="s">
        <v>900</v>
      </c>
      <c r="AO594" t="s">
        <v>11271</v>
      </c>
      <c r="AP594" t="s">
        <v>11272</v>
      </c>
      <c r="AQ594" t="s">
        <v>74</v>
      </c>
      <c r="AR594" t="s">
        <v>11273</v>
      </c>
      <c r="AS594" t="s">
        <v>11274</v>
      </c>
      <c r="AT594" t="s">
        <v>10359</v>
      </c>
      <c r="AU594">
        <v>2012</v>
      </c>
      <c r="AV594">
        <v>37</v>
      </c>
      <c r="AW594">
        <v>5</v>
      </c>
      <c r="AX594" t="s">
        <v>74</v>
      </c>
      <c r="AY594" t="s">
        <v>74</v>
      </c>
      <c r="AZ594" t="s">
        <v>74</v>
      </c>
      <c r="BA594" t="s">
        <v>74</v>
      </c>
      <c r="BB594">
        <v>556</v>
      </c>
      <c r="BC594">
        <v>568</v>
      </c>
      <c r="BD594" t="s">
        <v>74</v>
      </c>
      <c r="BE594" t="s">
        <v>11275</v>
      </c>
      <c r="BF594" t="str">
        <f>HYPERLINK("http://dx.doi.org/10.1111/j.1442-9993.2011.02316.x","http://dx.doi.org/10.1111/j.1442-9993.2011.02316.x")</f>
        <v>http://dx.doi.org/10.1111/j.1442-9993.2011.02316.x</v>
      </c>
      <c r="BG594" t="s">
        <v>74</v>
      </c>
      <c r="BH594" t="s">
        <v>74</v>
      </c>
      <c r="BI594">
        <v>13</v>
      </c>
      <c r="BJ594" t="s">
        <v>515</v>
      </c>
      <c r="BK594" t="s">
        <v>98</v>
      </c>
      <c r="BL594" t="s">
        <v>333</v>
      </c>
      <c r="BM594" t="s">
        <v>11276</v>
      </c>
      <c r="BN594" t="s">
        <v>74</v>
      </c>
      <c r="BO594" t="s">
        <v>1254</v>
      </c>
      <c r="BP594" t="s">
        <v>74</v>
      </c>
      <c r="BQ594" t="s">
        <v>74</v>
      </c>
      <c r="BR594" t="s">
        <v>101</v>
      </c>
      <c r="BS594" t="s">
        <v>11277</v>
      </c>
      <c r="BT594" t="str">
        <f>HYPERLINK("https%3A%2F%2Fwww.webofscience.com%2Fwos%2Fwoscc%2Ffull-record%2FWOS:000306663600004","View Full Record in Web of Science")</f>
        <v>View Full Record in Web of Science</v>
      </c>
    </row>
    <row r="595" spans="1:72" x14ac:dyDescent="0.15">
      <c r="A595" t="s">
        <v>72</v>
      </c>
      <c r="B595" t="s">
        <v>11278</v>
      </c>
      <c r="C595" t="s">
        <v>74</v>
      </c>
      <c r="D595" t="s">
        <v>74</v>
      </c>
      <c r="E595" t="s">
        <v>74</v>
      </c>
      <c r="F595" t="s">
        <v>11279</v>
      </c>
      <c r="G595" t="s">
        <v>74</v>
      </c>
      <c r="H595" t="s">
        <v>74</v>
      </c>
      <c r="I595" t="s">
        <v>11280</v>
      </c>
      <c r="J595" t="s">
        <v>11281</v>
      </c>
      <c r="K595" t="s">
        <v>74</v>
      </c>
      <c r="L595" t="s">
        <v>74</v>
      </c>
      <c r="M595" t="s">
        <v>78</v>
      </c>
      <c r="N595" t="s">
        <v>79</v>
      </c>
      <c r="O595" t="s">
        <v>74</v>
      </c>
      <c r="P595" t="s">
        <v>74</v>
      </c>
      <c r="Q595" t="s">
        <v>74</v>
      </c>
      <c r="R595" t="s">
        <v>74</v>
      </c>
      <c r="S595" t="s">
        <v>74</v>
      </c>
      <c r="T595" t="s">
        <v>11282</v>
      </c>
      <c r="U595" t="s">
        <v>11283</v>
      </c>
      <c r="V595" t="s">
        <v>11284</v>
      </c>
      <c r="W595" t="s">
        <v>11285</v>
      </c>
      <c r="X595" t="s">
        <v>11286</v>
      </c>
      <c r="Y595" t="s">
        <v>11287</v>
      </c>
      <c r="Z595" t="s">
        <v>11288</v>
      </c>
      <c r="AA595" t="s">
        <v>11289</v>
      </c>
      <c r="AB595" t="s">
        <v>11290</v>
      </c>
      <c r="AC595" t="s">
        <v>11291</v>
      </c>
      <c r="AD595" t="s">
        <v>11292</v>
      </c>
      <c r="AE595" t="s">
        <v>11293</v>
      </c>
      <c r="AF595" t="s">
        <v>74</v>
      </c>
      <c r="AG595">
        <v>30</v>
      </c>
      <c r="AH595">
        <v>2</v>
      </c>
      <c r="AI595">
        <v>2</v>
      </c>
      <c r="AJ595">
        <v>1</v>
      </c>
      <c r="AK595">
        <v>6</v>
      </c>
      <c r="AL595" t="s">
        <v>11294</v>
      </c>
      <c r="AM595" t="s">
        <v>11295</v>
      </c>
      <c r="AN595" t="s">
        <v>11296</v>
      </c>
      <c r="AO595" t="s">
        <v>11297</v>
      </c>
      <c r="AP595" t="s">
        <v>74</v>
      </c>
      <c r="AQ595" t="s">
        <v>74</v>
      </c>
      <c r="AR595" t="s">
        <v>11298</v>
      </c>
      <c r="AS595" t="s">
        <v>11299</v>
      </c>
      <c r="AT595" t="s">
        <v>10359</v>
      </c>
      <c r="AU595">
        <v>2012</v>
      </c>
      <c r="AV595">
        <v>50</v>
      </c>
      <c r="AW595">
        <v>8</v>
      </c>
      <c r="AX595" t="s">
        <v>74</v>
      </c>
      <c r="AY595" t="s">
        <v>74</v>
      </c>
      <c r="AZ595" t="s">
        <v>74</v>
      </c>
      <c r="BA595" t="s">
        <v>74</v>
      </c>
      <c r="BB595">
        <v>2923</v>
      </c>
      <c r="BC595">
        <v>2933</v>
      </c>
      <c r="BD595" t="s">
        <v>74</v>
      </c>
      <c r="BE595" t="s">
        <v>11300</v>
      </c>
      <c r="BF595" t="str">
        <f>HYPERLINK("http://dx.doi.org/10.1109/TGRS.2011.2177467","http://dx.doi.org/10.1109/TGRS.2011.2177467")</f>
        <v>http://dx.doi.org/10.1109/TGRS.2011.2177467</v>
      </c>
      <c r="BG595" t="s">
        <v>74</v>
      </c>
      <c r="BH595" t="s">
        <v>74</v>
      </c>
      <c r="BI595">
        <v>11</v>
      </c>
      <c r="BJ595" t="s">
        <v>11301</v>
      </c>
      <c r="BK595" t="s">
        <v>98</v>
      </c>
      <c r="BL595" t="s">
        <v>11302</v>
      </c>
      <c r="BM595" t="s">
        <v>11303</v>
      </c>
      <c r="BN595" t="s">
        <v>74</v>
      </c>
      <c r="BO595" t="s">
        <v>74</v>
      </c>
      <c r="BP595" t="s">
        <v>74</v>
      </c>
      <c r="BQ595" t="s">
        <v>74</v>
      </c>
      <c r="BR595" t="s">
        <v>101</v>
      </c>
      <c r="BS595" t="s">
        <v>11304</v>
      </c>
      <c r="BT595" t="str">
        <f>HYPERLINK("https%3A%2F%2Fwww.webofscience.com%2Fwos%2Fwoscc%2Ffull-record%2FWOS:000306691200001","View Full Record in Web of Science")</f>
        <v>View Full Record in Web of Science</v>
      </c>
    </row>
    <row r="596" spans="1:72" x14ac:dyDescent="0.15">
      <c r="A596" t="s">
        <v>72</v>
      </c>
      <c r="B596" t="s">
        <v>11305</v>
      </c>
      <c r="C596" t="s">
        <v>74</v>
      </c>
      <c r="D596" t="s">
        <v>74</v>
      </c>
      <c r="E596" t="s">
        <v>74</v>
      </c>
      <c r="F596" t="s">
        <v>11306</v>
      </c>
      <c r="G596" t="s">
        <v>74</v>
      </c>
      <c r="H596" t="s">
        <v>74</v>
      </c>
      <c r="I596" t="s">
        <v>11307</v>
      </c>
      <c r="J596" t="s">
        <v>11308</v>
      </c>
      <c r="K596" t="s">
        <v>74</v>
      </c>
      <c r="L596" t="s">
        <v>74</v>
      </c>
      <c r="M596" t="s">
        <v>78</v>
      </c>
      <c r="N596" t="s">
        <v>79</v>
      </c>
      <c r="O596" t="s">
        <v>74</v>
      </c>
      <c r="P596" t="s">
        <v>74</v>
      </c>
      <c r="Q596" t="s">
        <v>74</v>
      </c>
      <c r="R596" t="s">
        <v>74</v>
      </c>
      <c r="S596" t="s">
        <v>74</v>
      </c>
      <c r="T596" t="s">
        <v>74</v>
      </c>
      <c r="U596" t="s">
        <v>11309</v>
      </c>
      <c r="V596" t="s">
        <v>11310</v>
      </c>
      <c r="W596" t="s">
        <v>11311</v>
      </c>
      <c r="X596" t="s">
        <v>11312</v>
      </c>
      <c r="Y596" t="s">
        <v>11313</v>
      </c>
      <c r="Z596" t="s">
        <v>11314</v>
      </c>
      <c r="AA596" t="s">
        <v>11315</v>
      </c>
      <c r="AB596" t="s">
        <v>11316</v>
      </c>
      <c r="AC596" t="s">
        <v>11317</v>
      </c>
      <c r="AD596" t="s">
        <v>11318</v>
      </c>
      <c r="AE596" t="s">
        <v>11319</v>
      </c>
      <c r="AF596" t="s">
        <v>74</v>
      </c>
      <c r="AG596">
        <v>36</v>
      </c>
      <c r="AH596">
        <v>29</v>
      </c>
      <c r="AI596">
        <v>29</v>
      </c>
      <c r="AJ596">
        <v>1</v>
      </c>
      <c r="AK596">
        <v>20</v>
      </c>
      <c r="AL596" t="s">
        <v>935</v>
      </c>
      <c r="AM596" t="s">
        <v>371</v>
      </c>
      <c r="AN596" t="s">
        <v>1873</v>
      </c>
      <c r="AO596" t="s">
        <v>11320</v>
      </c>
      <c r="AP596" t="s">
        <v>11321</v>
      </c>
      <c r="AQ596" t="s">
        <v>74</v>
      </c>
      <c r="AR596" t="s">
        <v>11322</v>
      </c>
      <c r="AS596" t="s">
        <v>11323</v>
      </c>
      <c r="AT596" t="s">
        <v>10359</v>
      </c>
      <c r="AU596">
        <v>2012</v>
      </c>
      <c r="AV596">
        <v>111</v>
      </c>
      <c r="AW596">
        <v>2</v>
      </c>
      <c r="AX596" t="s">
        <v>74</v>
      </c>
      <c r="AY596" t="s">
        <v>74</v>
      </c>
      <c r="AZ596" t="s">
        <v>74</v>
      </c>
      <c r="BA596" t="s">
        <v>74</v>
      </c>
      <c r="BB596">
        <v>723</v>
      </c>
      <c r="BC596">
        <v>727</v>
      </c>
      <c r="BD596" t="s">
        <v>74</v>
      </c>
      <c r="BE596" t="s">
        <v>11324</v>
      </c>
      <c r="BF596" t="str">
        <f>HYPERLINK("http://dx.doi.org/10.1007/s00436-012-2892-z","http://dx.doi.org/10.1007/s00436-012-2892-z")</f>
        <v>http://dx.doi.org/10.1007/s00436-012-2892-z</v>
      </c>
      <c r="BG596" t="s">
        <v>74</v>
      </c>
      <c r="BH596" t="s">
        <v>74</v>
      </c>
      <c r="BI596">
        <v>5</v>
      </c>
      <c r="BJ596" t="s">
        <v>8154</v>
      </c>
      <c r="BK596" t="s">
        <v>98</v>
      </c>
      <c r="BL596" t="s">
        <v>8154</v>
      </c>
      <c r="BM596" t="s">
        <v>11325</v>
      </c>
      <c r="BN596">
        <v>22453499</v>
      </c>
      <c r="BO596" t="s">
        <v>1499</v>
      </c>
      <c r="BP596" t="s">
        <v>74</v>
      </c>
      <c r="BQ596" t="s">
        <v>74</v>
      </c>
      <c r="BR596" t="s">
        <v>101</v>
      </c>
      <c r="BS596" t="s">
        <v>11326</v>
      </c>
      <c r="BT596" t="str">
        <f>HYPERLINK("https%3A%2F%2Fwww.webofscience.com%2Fwos%2Fwoscc%2Ffull-record%2FWOS:000306694400027","View Full Record in Web of Science")</f>
        <v>View Full Record in Web of Science</v>
      </c>
    </row>
    <row r="597" spans="1:72" x14ac:dyDescent="0.15">
      <c r="A597" t="s">
        <v>72</v>
      </c>
      <c r="B597" t="s">
        <v>11327</v>
      </c>
      <c r="C597" t="s">
        <v>74</v>
      </c>
      <c r="D597" t="s">
        <v>74</v>
      </c>
      <c r="E597" t="s">
        <v>74</v>
      </c>
      <c r="F597" t="s">
        <v>11328</v>
      </c>
      <c r="G597" t="s">
        <v>74</v>
      </c>
      <c r="H597" t="s">
        <v>74</v>
      </c>
      <c r="I597" t="s">
        <v>11329</v>
      </c>
      <c r="J597" t="s">
        <v>11330</v>
      </c>
      <c r="K597" t="s">
        <v>74</v>
      </c>
      <c r="L597" t="s">
        <v>74</v>
      </c>
      <c r="M597" t="s">
        <v>78</v>
      </c>
      <c r="N597" t="s">
        <v>79</v>
      </c>
      <c r="O597" t="s">
        <v>74</v>
      </c>
      <c r="P597" t="s">
        <v>74</v>
      </c>
      <c r="Q597" t="s">
        <v>74</v>
      </c>
      <c r="R597" t="s">
        <v>74</v>
      </c>
      <c r="S597" t="s">
        <v>74</v>
      </c>
      <c r="T597" t="s">
        <v>11331</v>
      </c>
      <c r="U597" t="s">
        <v>11332</v>
      </c>
      <c r="V597" t="s">
        <v>11333</v>
      </c>
      <c r="W597" t="s">
        <v>11334</v>
      </c>
      <c r="X597" t="s">
        <v>11335</v>
      </c>
      <c r="Y597" t="s">
        <v>11336</v>
      </c>
      <c r="Z597" t="s">
        <v>11337</v>
      </c>
      <c r="AA597" t="s">
        <v>11338</v>
      </c>
      <c r="AB597" t="s">
        <v>11339</v>
      </c>
      <c r="AC597" t="s">
        <v>11340</v>
      </c>
      <c r="AD597" t="s">
        <v>11341</v>
      </c>
      <c r="AE597" t="s">
        <v>11342</v>
      </c>
      <c r="AF597" t="s">
        <v>74</v>
      </c>
      <c r="AG597">
        <v>39</v>
      </c>
      <c r="AH597">
        <v>23</v>
      </c>
      <c r="AI597">
        <v>25</v>
      </c>
      <c r="AJ597">
        <v>0</v>
      </c>
      <c r="AK597">
        <v>10</v>
      </c>
      <c r="AL597" t="s">
        <v>11343</v>
      </c>
      <c r="AM597" t="s">
        <v>4123</v>
      </c>
      <c r="AN597" t="s">
        <v>4124</v>
      </c>
      <c r="AO597" t="s">
        <v>11344</v>
      </c>
      <c r="AP597" t="s">
        <v>74</v>
      </c>
      <c r="AQ597" t="s">
        <v>74</v>
      </c>
      <c r="AR597" t="s">
        <v>11345</v>
      </c>
      <c r="AS597" t="s">
        <v>11346</v>
      </c>
      <c r="AT597" t="s">
        <v>11011</v>
      </c>
      <c r="AU597">
        <v>2012</v>
      </c>
      <c r="AV597">
        <v>754</v>
      </c>
      <c r="AW597">
        <v>2</v>
      </c>
      <c r="AX597" t="s">
        <v>74</v>
      </c>
      <c r="AY597" t="s">
        <v>74</v>
      </c>
      <c r="AZ597" t="s">
        <v>74</v>
      </c>
      <c r="BA597" t="s">
        <v>74</v>
      </c>
      <c r="BB597" t="s">
        <v>74</v>
      </c>
      <c r="BC597" t="s">
        <v>74</v>
      </c>
      <c r="BD597" t="s">
        <v>11347</v>
      </c>
      <c r="BE597" t="s">
        <v>11348</v>
      </c>
      <c r="BF597" t="str">
        <f>HYPERLINK("http://dx.doi.org/10.1088/2041-8205/754/2/L41","http://dx.doi.org/10.1088/2041-8205/754/2/L41")</f>
        <v>http://dx.doi.org/10.1088/2041-8205/754/2/L41</v>
      </c>
      <c r="BG597" t="s">
        <v>74</v>
      </c>
      <c r="BH597" t="s">
        <v>74</v>
      </c>
      <c r="BI597">
        <v>6</v>
      </c>
      <c r="BJ597" t="s">
        <v>127</v>
      </c>
      <c r="BK597" t="s">
        <v>98</v>
      </c>
      <c r="BL597" t="s">
        <v>127</v>
      </c>
      <c r="BM597" t="s">
        <v>11349</v>
      </c>
      <c r="BN597" t="s">
        <v>74</v>
      </c>
      <c r="BO597" t="s">
        <v>607</v>
      </c>
      <c r="BP597" t="s">
        <v>74</v>
      </c>
      <c r="BQ597" t="s">
        <v>74</v>
      </c>
      <c r="BR597" t="s">
        <v>101</v>
      </c>
      <c r="BS597" t="s">
        <v>11350</v>
      </c>
      <c r="BT597" t="str">
        <f>HYPERLINK("https%3A%2F%2Fwww.webofscience.com%2Fwos%2Fwoscc%2Ffull-record%2FWOS:000306527200023","View Full Record in Web of Science")</f>
        <v>View Full Record in Web of Science</v>
      </c>
    </row>
    <row r="598" spans="1:72" x14ac:dyDescent="0.15">
      <c r="A598" t="s">
        <v>72</v>
      </c>
      <c r="B598" t="s">
        <v>11351</v>
      </c>
      <c r="C598" t="s">
        <v>74</v>
      </c>
      <c r="D598" t="s">
        <v>74</v>
      </c>
      <c r="E598" t="s">
        <v>74</v>
      </c>
      <c r="F598" t="s">
        <v>11352</v>
      </c>
      <c r="G598" t="s">
        <v>74</v>
      </c>
      <c r="H598" t="s">
        <v>74</v>
      </c>
      <c r="I598" t="s">
        <v>11353</v>
      </c>
      <c r="J598" t="s">
        <v>11354</v>
      </c>
      <c r="K598" t="s">
        <v>74</v>
      </c>
      <c r="L598" t="s">
        <v>74</v>
      </c>
      <c r="M598" t="s">
        <v>78</v>
      </c>
      <c r="N598" t="s">
        <v>79</v>
      </c>
      <c r="O598" t="s">
        <v>74</v>
      </c>
      <c r="P598" t="s">
        <v>74</v>
      </c>
      <c r="Q598" t="s">
        <v>74</v>
      </c>
      <c r="R598" t="s">
        <v>74</v>
      </c>
      <c r="S598" t="s">
        <v>74</v>
      </c>
      <c r="T598" t="s">
        <v>11355</v>
      </c>
      <c r="U598" t="s">
        <v>11356</v>
      </c>
      <c r="V598" t="s">
        <v>11357</v>
      </c>
      <c r="W598" t="s">
        <v>11358</v>
      </c>
      <c r="X598" t="s">
        <v>5279</v>
      </c>
      <c r="Y598" t="s">
        <v>11359</v>
      </c>
      <c r="Z598" t="s">
        <v>11360</v>
      </c>
      <c r="AA598" t="s">
        <v>11361</v>
      </c>
      <c r="AB598" t="s">
        <v>11362</v>
      </c>
      <c r="AC598" t="s">
        <v>11363</v>
      </c>
      <c r="AD598" t="s">
        <v>11364</v>
      </c>
      <c r="AE598" t="s">
        <v>11365</v>
      </c>
      <c r="AF598" t="s">
        <v>74</v>
      </c>
      <c r="AG598">
        <v>48</v>
      </c>
      <c r="AH598">
        <v>8</v>
      </c>
      <c r="AI598">
        <v>9</v>
      </c>
      <c r="AJ598">
        <v>0</v>
      </c>
      <c r="AK598">
        <v>49</v>
      </c>
      <c r="AL598" t="s">
        <v>898</v>
      </c>
      <c r="AM598" t="s">
        <v>899</v>
      </c>
      <c r="AN598" t="s">
        <v>900</v>
      </c>
      <c r="AO598" t="s">
        <v>11366</v>
      </c>
      <c r="AP598" t="s">
        <v>11367</v>
      </c>
      <c r="AQ598" t="s">
        <v>74</v>
      </c>
      <c r="AR598" t="s">
        <v>11368</v>
      </c>
      <c r="AS598" t="s">
        <v>11369</v>
      </c>
      <c r="AT598" t="s">
        <v>10359</v>
      </c>
      <c r="AU598">
        <v>2012</v>
      </c>
      <c r="AV598">
        <v>49</v>
      </c>
      <c r="AW598">
        <v>4</v>
      </c>
      <c r="AX598" t="s">
        <v>74</v>
      </c>
      <c r="AY598" t="s">
        <v>74</v>
      </c>
      <c r="AZ598" t="s">
        <v>74</v>
      </c>
      <c r="BA598" t="s">
        <v>74</v>
      </c>
      <c r="BB598">
        <v>851</v>
      </c>
      <c r="BC598">
        <v>860</v>
      </c>
      <c r="BD598" t="s">
        <v>74</v>
      </c>
      <c r="BE598" t="s">
        <v>11370</v>
      </c>
      <c r="BF598" t="str">
        <f>HYPERLINK("http://dx.doi.org/10.1111/j.1365-2664.2012.02155.x","http://dx.doi.org/10.1111/j.1365-2664.2012.02155.x")</f>
        <v>http://dx.doi.org/10.1111/j.1365-2664.2012.02155.x</v>
      </c>
      <c r="BG598" t="s">
        <v>74</v>
      </c>
      <c r="BH598" t="s">
        <v>74</v>
      </c>
      <c r="BI598">
        <v>10</v>
      </c>
      <c r="BJ598" t="s">
        <v>1879</v>
      </c>
      <c r="BK598" t="s">
        <v>98</v>
      </c>
      <c r="BL598" t="s">
        <v>1880</v>
      </c>
      <c r="BM598" t="s">
        <v>11371</v>
      </c>
      <c r="BN598" t="s">
        <v>74</v>
      </c>
      <c r="BO598" t="s">
        <v>607</v>
      </c>
      <c r="BP598" t="s">
        <v>74</v>
      </c>
      <c r="BQ598" t="s">
        <v>74</v>
      </c>
      <c r="BR598" t="s">
        <v>101</v>
      </c>
      <c r="BS598" t="s">
        <v>11372</v>
      </c>
      <c r="BT598" t="str">
        <f>HYPERLINK("https%3A%2F%2Fwww.webofscience.com%2Fwos%2Fwoscc%2Ffull-record%2FWOS:000306477000012","View Full Record in Web of Science")</f>
        <v>View Full Record in Web of Science</v>
      </c>
    </row>
    <row r="599" spans="1:72" x14ac:dyDescent="0.15">
      <c r="A599" t="s">
        <v>72</v>
      </c>
      <c r="B599" t="s">
        <v>11373</v>
      </c>
      <c r="C599" t="s">
        <v>74</v>
      </c>
      <c r="D599" t="s">
        <v>74</v>
      </c>
      <c r="E599" t="s">
        <v>74</v>
      </c>
      <c r="F599" t="s">
        <v>11374</v>
      </c>
      <c r="G599" t="s">
        <v>74</v>
      </c>
      <c r="H599" t="s">
        <v>74</v>
      </c>
      <c r="I599" t="s">
        <v>11375</v>
      </c>
      <c r="J599" t="s">
        <v>5097</v>
      </c>
      <c r="K599" t="s">
        <v>74</v>
      </c>
      <c r="L599" t="s">
        <v>74</v>
      </c>
      <c r="M599" t="s">
        <v>78</v>
      </c>
      <c r="N599" t="s">
        <v>2829</v>
      </c>
      <c r="O599" t="s">
        <v>74</v>
      </c>
      <c r="P599" t="s">
        <v>74</v>
      </c>
      <c r="Q599" t="s">
        <v>74</v>
      </c>
      <c r="R599" t="s">
        <v>74</v>
      </c>
      <c r="S599" t="s">
        <v>74</v>
      </c>
      <c r="T599" t="s">
        <v>74</v>
      </c>
      <c r="U599" t="s">
        <v>74</v>
      </c>
      <c r="V599" t="s">
        <v>74</v>
      </c>
      <c r="W599" t="s">
        <v>74</v>
      </c>
      <c r="X599" t="s">
        <v>74</v>
      </c>
      <c r="Y599" t="s">
        <v>74</v>
      </c>
      <c r="Z599" t="s">
        <v>74</v>
      </c>
      <c r="AA599" t="s">
        <v>74</v>
      </c>
      <c r="AB599" t="s">
        <v>74</v>
      </c>
      <c r="AC599" t="s">
        <v>11376</v>
      </c>
      <c r="AD599" t="s">
        <v>5910</v>
      </c>
      <c r="AE599" t="s">
        <v>74</v>
      </c>
      <c r="AF599" t="s">
        <v>74</v>
      </c>
      <c r="AG599">
        <v>0</v>
      </c>
      <c r="AH599">
        <v>4</v>
      </c>
      <c r="AI599">
        <v>4</v>
      </c>
      <c r="AJ599">
        <v>0</v>
      </c>
      <c r="AK599">
        <v>2</v>
      </c>
      <c r="AL599" t="s">
        <v>2780</v>
      </c>
      <c r="AM599" t="s">
        <v>371</v>
      </c>
      <c r="AN599" t="s">
        <v>2781</v>
      </c>
      <c r="AO599" t="s">
        <v>5108</v>
      </c>
      <c r="AP599" t="s">
        <v>74</v>
      </c>
      <c r="AQ599" t="s">
        <v>74</v>
      </c>
      <c r="AR599" t="s">
        <v>5110</v>
      </c>
      <c r="AS599" t="s">
        <v>5111</v>
      </c>
      <c r="AT599" t="s">
        <v>10359</v>
      </c>
      <c r="AU599">
        <v>2012</v>
      </c>
      <c r="AV599">
        <v>24</v>
      </c>
      <c r="AW599">
        <v>4</v>
      </c>
      <c r="AX599" t="s">
        <v>74</v>
      </c>
      <c r="AY599" t="s">
        <v>74</v>
      </c>
      <c r="AZ599" t="s">
        <v>74</v>
      </c>
      <c r="BA599" t="s">
        <v>74</v>
      </c>
      <c r="BB599">
        <v>321</v>
      </c>
      <c r="BC599">
        <v>321</v>
      </c>
      <c r="BD599" t="s">
        <v>74</v>
      </c>
      <c r="BE599" t="s">
        <v>11377</v>
      </c>
      <c r="BF599" t="str">
        <f>HYPERLINK("http://dx.doi.org/10.1017/S0954102012000594","http://dx.doi.org/10.1017/S0954102012000594")</f>
        <v>http://dx.doi.org/10.1017/S0954102012000594</v>
      </c>
      <c r="BG599" t="s">
        <v>74</v>
      </c>
      <c r="BH599" t="s">
        <v>74</v>
      </c>
      <c r="BI599">
        <v>1</v>
      </c>
      <c r="BJ599" t="s">
        <v>5113</v>
      </c>
      <c r="BK599" t="s">
        <v>98</v>
      </c>
      <c r="BL599" t="s">
        <v>5114</v>
      </c>
      <c r="BM599" t="s">
        <v>11031</v>
      </c>
      <c r="BN599" t="s">
        <v>74</v>
      </c>
      <c r="BO599" t="s">
        <v>1347</v>
      </c>
      <c r="BP599" t="s">
        <v>74</v>
      </c>
      <c r="BQ599" t="s">
        <v>74</v>
      </c>
      <c r="BR599" t="s">
        <v>101</v>
      </c>
      <c r="BS599" t="s">
        <v>11378</v>
      </c>
      <c r="BT599" t="str">
        <f>HYPERLINK("https%3A%2F%2Fwww.webofscience.com%2Fwos%2Fwoscc%2Ffull-record%2FWOS:000307141600001","View Full Record in Web of Science")</f>
        <v>View Full Record in Web of Science</v>
      </c>
    </row>
    <row r="600" spans="1:72" x14ac:dyDescent="0.15">
      <c r="A600" t="s">
        <v>72</v>
      </c>
      <c r="B600" t="s">
        <v>11379</v>
      </c>
      <c r="C600" t="s">
        <v>74</v>
      </c>
      <c r="D600" t="s">
        <v>74</v>
      </c>
      <c r="E600" t="s">
        <v>74</v>
      </c>
      <c r="F600" t="s">
        <v>11380</v>
      </c>
      <c r="G600" t="s">
        <v>74</v>
      </c>
      <c r="H600" t="s">
        <v>74</v>
      </c>
      <c r="I600" t="s">
        <v>11381</v>
      </c>
      <c r="J600" t="s">
        <v>5097</v>
      </c>
      <c r="K600" t="s">
        <v>74</v>
      </c>
      <c r="L600" t="s">
        <v>74</v>
      </c>
      <c r="M600" t="s">
        <v>78</v>
      </c>
      <c r="N600" t="s">
        <v>79</v>
      </c>
      <c r="O600" t="s">
        <v>74</v>
      </c>
      <c r="P600" t="s">
        <v>74</v>
      </c>
      <c r="Q600" t="s">
        <v>74</v>
      </c>
      <c r="R600" t="s">
        <v>74</v>
      </c>
      <c r="S600" t="s">
        <v>74</v>
      </c>
      <c r="T600" t="s">
        <v>11382</v>
      </c>
      <c r="U600" t="s">
        <v>11383</v>
      </c>
      <c r="V600" t="s">
        <v>11384</v>
      </c>
      <c r="W600" t="s">
        <v>11385</v>
      </c>
      <c r="X600" t="s">
        <v>11386</v>
      </c>
      <c r="Y600" t="s">
        <v>11387</v>
      </c>
      <c r="Z600" t="s">
        <v>11388</v>
      </c>
      <c r="AA600" t="s">
        <v>11389</v>
      </c>
      <c r="AB600" t="s">
        <v>11390</v>
      </c>
      <c r="AC600" t="s">
        <v>11391</v>
      </c>
      <c r="AD600" t="s">
        <v>11392</v>
      </c>
      <c r="AE600" t="s">
        <v>11393</v>
      </c>
      <c r="AF600" t="s">
        <v>74</v>
      </c>
      <c r="AG600">
        <v>43</v>
      </c>
      <c r="AH600">
        <v>49</v>
      </c>
      <c r="AI600">
        <v>52</v>
      </c>
      <c r="AJ600">
        <v>0</v>
      </c>
      <c r="AK600">
        <v>72</v>
      </c>
      <c r="AL600" t="s">
        <v>2780</v>
      </c>
      <c r="AM600" t="s">
        <v>371</v>
      </c>
      <c r="AN600" t="s">
        <v>2781</v>
      </c>
      <c r="AO600" t="s">
        <v>5108</v>
      </c>
      <c r="AP600" t="s">
        <v>5109</v>
      </c>
      <c r="AQ600" t="s">
        <v>74</v>
      </c>
      <c r="AR600" t="s">
        <v>5110</v>
      </c>
      <c r="AS600" t="s">
        <v>5111</v>
      </c>
      <c r="AT600" t="s">
        <v>10359</v>
      </c>
      <c r="AU600">
        <v>2012</v>
      </c>
      <c r="AV600">
        <v>24</v>
      </c>
      <c r="AW600">
        <v>4</v>
      </c>
      <c r="AX600" t="s">
        <v>74</v>
      </c>
      <c r="AY600" t="s">
        <v>74</v>
      </c>
      <c r="AZ600" t="s">
        <v>74</v>
      </c>
      <c r="BA600" t="s">
        <v>74</v>
      </c>
      <c r="BB600">
        <v>323</v>
      </c>
      <c r="BC600">
        <v>336</v>
      </c>
      <c r="BD600" t="s">
        <v>74</v>
      </c>
      <c r="BE600" t="s">
        <v>11394</v>
      </c>
      <c r="BF600" t="str">
        <f>HYPERLINK("http://dx.doi.org/10.1017/S0954102012000120","http://dx.doi.org/10.1017/S0954102012000120")</f>
        <v>http://dx.doi.org/10.1017/S0954102012000120</v>
      </c>
      <c r="BG600" t="s">
        <v>74</v>
      </c>
      <c r="BH600" t="s">
        <v>74</v>
      </c>
      <c r="BI600">
        <v>14</v>
      </c>
      <c r="BJ600" t="s">
        <v>5113</v>
      </c>
      <c r="BK600" t="s">
        <v>98</v>
      </c>
      <c r="BL600" t="s">
        <v>5114</v>
      </c>
      <c r="BM600" t="s">
        <v>11031</v>
      </c>
      <c r="BN600" t="s">
        <v>74</v>
      </c>
      <c r="BO600" t="s">
        <v>11395</v>
      </c>
      <c r="BP600" t="s">
        <v>74</v>
      </c>
      <c r="BQ600" t="s">
        <v>74</v>
      </c>
      <c r="BR600" t="s">
        <v>101</v>
      </c>
      <c r="BS600" t="s">
        <v>11396</v>
      </c>
      <c r="BT600" t="str">
        <f>HYPERLINK("https%3A%2F%2Fwww.webofscience.com%2Fwos%2Fwoscc%2Ffull-record%2FWOS:000307141600002","View Full Record in Web of Science")</f>
        <v>View Full Record in Web of Science</v>
      </c>
    </row>
    <row r="601" spans="1:72" x14ac:dyDescent="0.15">
      <c r="A601" t="s">
        <v>72</v>
      </c>
      <c r="B601" t="s">
        <v>11397</v>
      </c>
      <c r="C601" t="s">
        <v>74</v>
      </c>
      <c r="D601" t="s">
        <v>74</v>
      </c>
      <c r="E601" t="s">
        <v>74</v>
      </c>
      <c r="F601" t="s">
        <v>11398</v>
      </c>
      <c r="G601" t="s">
        <v>74</v>
      </c>
      <c r="H601" t="s">
        <v>74</v>
      </c>
      <c r="I601" t="s">
        <v>11399</v>
      </c>
      <c r="J601" t="s">
        <v>5097</v>
      </c>
      <c r="K601" t="s">
        <v>74</v>
      </c>
      <c r="L601" t="s">
        <v>74</v>
      </c>
      <c r="M601" t="s">
        <v>78</v>
      </c>
      <c r="N601" t="s">
        <v>79</v>
      </c>
      <c r="O601" t="s">
        <v>74</v>
      </c>
      <c r="P601" t="s">
        <v>74</v>
      </c>
      <c r="Q601" t="s">
        <v>74</v>
      </c>
      <c r="R601" t="s">
        <v>74</v>
      </c>
      <c r="S601" t="s">
        <v>74</v>
      </c>
      <c r="T601" t="s">
        <v>11400</v>
      </c>
      <c r="U601" t="s">
        <v>11401</v>
      </c>
      <c r="V601" t="s">
        <v>11402</v>
      </c>
      <c r="W601" t="s">
        <v>11403</v>
      </c>
      <c r="X601" t="s">
        <v>11404</v>
      </c>
      <c r="Y601" t="s">
        <v>11405</v>
      </c>
      <c r="Z601" t="s">
        <v>11406</v>
      </c>
      <c r="AA601" t="s">
        <v>74</v>
      </c>
      <c r="AB601" t="s">
        <v>74</v>
      </c>
      <c r="AC601" t="s">
        <v>11407</v>
      </c>
      <c r="AD601" t="s">
        <v>11408</v>
      </c>
      <c r="AE601" t="s">
        <v>11409</v>
      </c>
      <c r="AF601" t="s">
        <v>74</v>
      </c>
      <c r="AG601">
        <v>20</v>
      </c>
      <c r="AH601">
        <v>3</v>
      </c>
      <c r="AI601">
        <v>3</v>
      </c>
      <c r="AJ601">
        <v>0</v>
      </c>
      <c r="AK601">
        <v>23</v>
      </c>
      <c r="AL601" t="s">
        <v>2780</v>
      </c>
      <c r="AM601" t="s">
        <v>371</v>
      </c>
      <c r="AN601" t="s">
        <v>2781</v>
      </c>
      <c r="AO601" t="s">
        <v>5108</v>
      </c>
      <c r="AP601" t="s">
        <v>74</v>
      </c>
      <c r="AQ601" t="s">
        <v>74</v>
      </c>
      <c r="AR601" t="s">
        <v>5110</v>
      </c>
      <c r="AS601" t="s">
        <v>5111</v>
      </c>
      <c r="AT601" t="s">
        <v>10359</v>
      </c>
      <c r="AU601">
        <v>2012</v>
      </c>
      <c r="AV601">
        <v>24</v>
      </c>
      <c r="AW601">
        <v>4</v>
      </c>
      <c r="AX601" t="s">
        <v>74</v>
      </c>
      <c r="AY601" t="s">
        <v>74</v>
      </c>
      <c r="AZ601" t="s">
        <v>74</v>
      </c>
      <c r="BA601" t="s">
        <v>74</v>
      </c>
      <c r="BB601">
        <v>337</v>
      </c>
      <c r="BC601">
        <v>341</v>
      </c>
      <c r="BD601" t="s">
        <v>74</v>
      </c>
      <c r="BE601" t="s">
        <v>11410</v>
      </c>
      <c r="BF601" t="str">
        <f>HYPERLINK("http://dx.doi.org/10.1017/S0954102012000168","http://dx.doi.org/10.1017/S0954102012000168")</f>
        <v>http://dx.doi.org/10.1017/S0954102012000168</v>
      </c>
      <c r="BG601" t="s">
        <v>74</v>
      </c>
      <c r="BH601" t="s">
        <v>74</v>
      </c>
      <c r="BI601">
        <v>5</v>
      </c>
      <c r="BJ601" t="s">
        <v>5113</v>
      </c>
      <c r="BK601" t="s">
        <v>98</v>
      </c>
      <c r="BL601" t="s">
        <v>5114</v>
      </c>
      <c r="BM601" t="s">
        <v>11031</v>
      </c>
      <c r="BN601" t="s">
        <v>74</v>
      </c>
      <c r="BO601" t="s">
        <v>74</v>
      </c>
      <c r="BP601" t="s">
        <v>74</v>
      </c>
      <c r="BQ601" t="s">
        <v>74</v>
      </c>
      <c r="BR601" t="s">
        <v>101</v>
      </c>
      <c r="BS601" t="s">
        <v>11411</v>
      </c>
      <c r="BT601" t="str">
        <f>HYPERLINK("https%3A%2F%2Fwww.webofscience.com%2Fwos%2Fwoscc%2Ffull-record%2FWOS:000307141600003","View Full Record in Web of Science")</f>
        <v>View Full Record in Web of Science</v>
      </c>
    </row>
    <row r="602" spans="1:72" x14ac:dyDescent="0.15">
      <c r="A602" t="s">
        <v>72</v>
      </c>
      <c r="B602" t="s">
        <v>11412</v>
      </c>
      <c r="C602" t="s">
        <v>74</v>
      </c>
      <c r="D602" t="s">
        <v>74</v>
      </c>
      <c r="E602" t="s">
        <v>74</v>
      </c>
      <c r="F602" t="s">
        <v>11413</v>
      </c>
      <c r="G602" t="s">
        <v>74</v>
      </c>
      <c r="H602" t="s">
        <v>74</v>
      </c>
      <c r="I602" t="s">
        <v>11414</v>
      </c>
      <c r="J602" t="s">
        <v>5097</v>
      </c>
      <c r="K602" t="s">
        <v>74</v>
      </c>
      <c r="L602" t="s">
        <v>74</v>
      </c>
      <c r="M602" t="s">
        <v>78</v>
      </c>
      <c r="N602" t="s">
        <v>79</v>
      </c>
      <c r="O602" t="s">
        <v>74</v>
      </c>
      <c r="P602" t="s">
        <v>74</v>
      </c>
      <c r="Q602" t="s">
        <v>74</v>
      </c>
      <c r="R602" t="s">
        <v>74</v>
      </c>
      <c r="S602" t="s">
        <v>74</v>
      </c>
      <c r="T602" t="s">
        <v>11415</v>
      </c>
      <c r="U602" t="s">
        <v>11416</v>
      </c>
      <c r="V602" t="s">
        <v>11417</v>
      </c>
      <c r="W602" t="s">
        <v>11418</v>
      </c>
      <c r="X602" t="s">
        <v>11419</v>
      </c>
      <c r="Y602" t="s">
        <v>11420</v>
      </c>
      <c r="Z602" t="s">
        <v>11421</v>
      </c>
      <c r="AA602" t="s">
        <v>11422</v>
      </c>
      <c r="AB602" t="s">
        <v>74</v>
      </c>
      <c r="AC602" t="s">
        <v>11423</v>
      </c>
      <c r="AD602" t="s">
        <v>2953</v>
      </c>
      <c r="AE602" t="s">
        <v>11424</v>
      </c>
      <c r="AF602" t="s">
        <v>74</v>
      </c>
      <c r="AG602">
        <v>43</v>
      </c>
      <c r="AH602">
        <v>10</v>
      </c>
      <c r="AI602">
        <v>10</v>
      </c>
      <c r="AJ602">
        <v>0</v>
      </c>
      <c r="AK602">
        <v>7</v>
      </c>
      <c r="AL602" t="s">
        <v>2780</v>
      </c>
      <c r="AM602" t="s">
        <v>371</v>
      </c>
      <c r="AN602" t="s">
        <v>2781</v>
      </c>
      <c r="AO602" t="s">
        <v>5108</v>
      </c>
      <c r="AP602" t="s">
        <v>5109</v>
      </c>
      <c r="AQ602" t="s">
        <v>74</v>
      </c>
      <c r="AR602" t="s">
        <v>5110</v>
      </c>
      <c r="AS602" t="s">
        <v>5111</v>
      </c>
      <c r="AT602" t="s">
        <v>10359</v>
      </c>
      <c r="AU602">
        <v>2012</v>
      </c>
      <c r="AV602">
        <v>24</v>
      </c>
      <c r="AW602">
        <v>4</v>
      </c>
      <c r="AX602" t="s">
        <v>74</v>
      </c>
      <c r="AY602" t="s">
        <v>74</v>
      </c>
      <c r="AZ602" t="s">
        <v>74</v>
      </c>
      <c r="BA602" t="s">
        <v>74</v>
      </c>
      <c r="BB602">
        <v>359</v>
      </c>
      <c r="BC602">
        <v>366</v>
      </c>
      <c r="BD602" t="s">
        <v>74</v>
      </c>
      <c r="BE602" t="s">
        <v>11425</v>
      </c>
      <c r="BF602" t="str">
        <f>HYPERLINK("http://dx.doi.org/10.1017/S0954102012000223","http://dx.doi.org/10.1017/S0954102012000223")</f>
        <v>http://dx.doi.org/10.1017/S0954102012000223</v>
      </c>
      <c r="BG602" t="s">
        <v>74</v>
      </c>
      <c r="BH602" t="s">
        <v>74</v>
      </c>
      <c r="BI602">
        <v>8</v>
      </c>
      <c r="BJ602" t="s">
        <v>5113</v>
      </c>
      <c r="BK602" t="s">
        <v>98</v>
      </c>
      <c r="BL602" t="s">
        <v>5114</v>
      </c>
      <c r="BM602" t="s">
        <v>11031</v>
      </c>
      <c r="BN602" t="s">
        <v>74</v>
      </c>
      <c r="BO602" t="s">
        <v>74</v>
      </c>
      <c r="BP602" t="s">
        <v>74</v>
      </c>
      <c r="BQ602" t="s">
        <v>74</v>
      </c>
      <c r="BR602" t="s">
        <v>101</v>
      </c>
      <c r="BS602" t="s">
        <v>11426</v>
      </c>
      <c r="BT602" t="str">
        <f>HYPERLINK("https%3A%2F%2Fwww.webofscience.com%2Fwos%2Fwoscc%2Ffull-record%2FWOS:000307141600006","View Full Record in Web of Science")</f>
        <v>View Full Record in Web of Science</v>
      </c>
    </row>
    <row r="603" spans="1:72" x14ac:dyDescent="0.15">
      <c r="A603" t="s">
        <v>72</v>
      </c>
      <c r="B603" t="s">
        <v>11427</v>
      </c>
      <c r="C603" t="s">
        <v>74</v>
      </c>
      <c r="D603" t="s">
        <v>74</v>
      </c>
      <c r="E603" t="s">
        <v>74</v>
      </c>
      <c r="F603" t="s">
        <v>11428</v>
      </c>
      <c r="G603" t="s">
        <v>74</v>
      </c>
      <c r="H603" t="s">
        <v>74</v>
      </c>
      <c r="I603" t="s">
        <v>11429</v>
      </c>
      <c r="J603" t="s">
        <v>5097</v>
      </c>
      <c r="K603" t="s">
        <v>74</v>
      </c>
      <c r="L603" t="s">
        <v>74</v>
      </c>
      <c r="M603" t="s">
        <v>78</v>
      </c>
      <c r="N603" t="s">
        <v>79</v>
      </c>
      <c r="O603" t="s">
        <v>74</v>
      </c>
      <c r="P603" t="s">
        <v>74</v>
      </c>
      <c r="Q603" t="s">
        <v>74</v>
      </c>
      <c r="R603" t="s">
        <v>74</v>
      </c>
      <c r="S603" t="s">
        <v>74</v>
      </c>
      <c r="T603" t="s">
        <v>11430</v>
      </c>
      <c r="U603" t="s">
        <v>11431</v>
      </c>
      <c r="V603" t="s">
        <v>11432</v>
      </c>
      <c r="W603" t="s">
        <v>11433</v>
      </c>
      <c r="X603" t="s">
        <v>11434</v>
      </c>
      <c r="Y603" t="s">
        <v>11435</v>
      </c>
      <c r="Z603" t="s">
        <v>11436</v>
      </c>
      <c r="AA603" t="s">
        <v>11437</v>
      </c>
      <c r="AB603" t="s">
        <v>11438</v>
      </c>
      <c r="AC603" t="s">
        <v>11439</v>
      </c>
      <c r="AD603" t="s">
        <v>11440</v>
      </c>
      <c r="AE603" t="s">
        <v>11441</v>
      </c>
      <c r="AF603" t="s">
        <v>74</v>
      </c>
      <c r="AG603">
        <v>44</v>
      </c>
      <c r="AH603">
        <v>12</v>
      </c>
      <c r="AI603">
        <v>14</v>
      </c>
      <c r="AJ603">
        <v>0</v>
      </c>
      <c r="AK603">
        <v>14</v>
      </c>
      <c r="AL603" t="s">
        <v>2780</v>
      </c>
      <c r="AM603" t="s">
        <v>371</v>
      </c>
      <c r="AN603" t="s">
        <v>2781</v>
      </c>
      <c r="AO603" t="s">
        <v>5108</v>
      </c>
      <c r="AP603" t="s">
        <v>5109</v>
      </c>
      <c r="AQ603" t="s">
        <v>74</v>
      </c>
      <c r="AR603" t="s">
        <v>5110</v>
      </c>
      <c r="AS603" t="s">
        <v>5111</v>
      </c>
      <c r="AT603" t="s">
        <v>10359</v>
      </c>
      <c r="AU603">
        <v>2012</v>
      </c>
      <c r="AV603">
        <v>24</v>
      </c>
      <c r="AW603">
        <v>4</v>
      </c>
      <c r="AX603" t="s">
        <v>74</v>
      </c>
      <c r="AY603" t="s">
        <v>74</v>
      </c>
      <c r="AZ603" t="s">
        <v>74</v>
      </c>
      <c r="BA603" t="s">
        <v>74</v>
      </c>
      <c r="BB603">
        <v>377</v>
      </c>
      <c r="BC603">
        <v>394</v>
      </c>
      <c r="BD603" t="s">
        <v>74</v>
      </c>
      <c r="BE603" t="s">
        <v>11442</v>
      </c>
      <c r="BF603" t="str">
        <f>HYPERLINK("http://dx.doi.org/10.1017/S0954102012000016","http://dx.doi.org/10.1017/S0954102012000016")</f>
        <v>http://dx.doi.org/10.1017/S0954102012000016</v>
      </c>
      <c r="BG603" t="s">
        <v>74</v>
      </c>
      <c r="BH603" t="s">
        <v>74</v>
      </c>
      <c r="BI603">
        <v>18</v>
      </c>
      <c r="BJ603" t="s">
        <v>5113</v>
      </c>
      <c r="BK603" t="s">
        <v>98</v>
      </c>
      <c r="BL603" t="s">
        <v>5114</v>
      </c>
      <c r="BM603" t="s">
        <v>11031</v>
      </c>
      <c r="BN603" t="s">
        <v>74</v>
      </c>
      <c r="BO603" t="s">
        <v>416</v>
      </c>
      <c r="BP603" t="s">
        <v>74</v>
      </c>
      <c r="BQ603" t="s">
        <v>74</v>
      </c>
      <c r="BR603" t="s">
        <v>101</v>
      </c>
      <c r="BS603" t="s">
        <v>11443</v>
      </c>
      <c r="BT603" t="str">
        <f>HYPERLINK("https%3A%2F%2Fwww.webofscience.com%2Fwos%2Fwoscc%2Ffull-record%2FWOS:000307141600008","View Full Record in Web of Science")</f>
        <v>View Full Record in Web of Science</v>
      </c>
    </row>
    <row r="604" spans="1:72" x14ac:dyDescent="0.15">
      <c r="A604" t="s">
        <v>72</v>
      </c>
      <c r="B604" t="s">
        <v>11444</v>
      </c>
      <c r="C604" t="s">
        <v>74</v>
      </c>
      <c r="D604" t="s">
        <v>74</v>
      </c>
      <c r="E604" t="s">
        <v>74</v>
      </c>
      <c r="F604" t="s">
        <v>11445</v>
      </c>
      <c r="G604" t="s">
        <v>74</v>
      </c>
      <c r="H604" t="s">
        <v>74</v>
      </c>
      <c r="I604" t="s">
        <v>11446</v>
      </c>
      <c r="J604" t="s">
        <v>5097</v>
      </c>
      <c r="K604" t="s">
        <v>74</v>
      </c>
      <c r="L604" t="s">
        <v>74</v>
      </c>
      <c r="M604" t="s">
        <v>78</v>
      </c>
      <c r="N604" t="s">
        <v>79</v>
      </c>
      <c r="O604" t="s">
        <v>74</v>
      </c>
      <c r="P604" t="s">
        <v>74</v>
      </c>
      <c r="Q604" t="s">
        <v>74</v>
      </c>
      <c r="R604" t="s">
        <v>74</v>
      </c>
      <c r="S604" t="s">
        <v>74</v>
      </c>
      <c r="T604" t="s">
        <v>11447</v>
      </c>
      <c r="U604" t="s">
        <v>11448</v>
      </c>
      <c r="V604" t="s">
        <v>11449</v>
      </c>
      <c r="W604" t="s">
        <v>11450</v>
      </c>
      <c r="X604" t="s">
        <v>11451</v>
      </c>
      <c r="Y604" t="s">
        <v>11452</v>
      </c>
      <c r="Z604" t="s">
        <v>11453</v>
      </c>
      <c r="AA604" t="s">
        <v>74</v>
      </c>
      <c r="AB604" t="s">
        <v>11454</v>
      </c>
      <c r="AC604" t="s">
        <v>11455</v>
      </c>
      <c r="AD604" t="s">
        <v>11456</v>
      </c>
      <c r="AE604" t="s">
        <v>11457</v>
      </c>
      <c r="AF604" t="s">
        <v>74</v>
      </c>
      <c r="AG604">
        <v>39</v>
      </c>
      <c r="AH604">
        <v>3</v>
      </c>
      <c r="AI604">
        <v>4</v>
      </c>
      <c r="AJ604">
        <v>2</v>
      </c>
      <c r="AK604">
        <v>28</v>
      </c>
      <c r="AL604" t="s">
        <v>2780</v>
      </c>
      <c r="AM604" t="s">
        <v>371</v>
      </c>
      <c r="AN604" t="s">
        <v>2781</v>
      </c>
      <c r="AO604" t="s">
        <v>5108</v>
      </c>
      <c r="AP604" t="s">
        <v>5109</v>
      </c>
      <c r="AQ604" t="s">
        <v>74</v>
      </c>
      <c r="AR604" t="s">
        <v>5110</v>
      </c>
      <c r="AS604" t="s">
        <v>5111</v>
      </c>
      <c r="AT604" t="s">
        <v>10359</v>
      </c>
      <c r="AU604">
        <v>2012</v>
      </c>
      <c r="AV604">
        <v>24</v>
      </c>
      <c r="AW604">
        <v>4</v>
      </c>
      <c r="AX604" t="s">
        <v>74</v>
      </c>
      <c r="AY604" t="s">
        <v>74</v>
      </c>
      <c r="AZ604" t="s">
        <v>74</v>
      </c>
      <c r="BA604" t="s">
        <v>74</v>
      </c>
      <c r="BB604">
        <v>417</v>
      </c>
      <c r="BC604">
        <v>425</v>
      </c>
      <c r="BD604" t="s">
        <v>74</v>
      </c>
      <c r="BE604" t="s">
        <v>11458</v>
      </c>
      <c r="BF604" t="str">
        <f>HYPERLINK("http://dx.doi.org/10.1017/S0954102012000144","http://dx.doi.org/10.1017/S0954102012000144")</f>
        <v>http://dx.doi.org/10.1017/S0954102012000144</v>
      </c>
      <c r="BG604" t="s">
        <v>74</v>
      </c>
      <c r="BH604" t="s">
        <v>74</v>
      </c>
      <c r="BI604">
        <v>9</v>
      </c>
      <c r="BJ604" t="s">
        <v>5113</v>
      </c>
      <c r="BK604" t="s">
        <v>98</v>
      </c>
      <c r="BL604" t="s">
        <v>5114</v>
      </c>
      <c r="BM604" t="s">
        <v>11031</v>
      </c>
      <c r="BN604" t="s">
        <v>74</v>
      </c>
      <c r="BO604" t="s">
        <v>416</v>
      </c>
      <c r="BP604" t="s">
        <v>74</v>
      </c>
      <c r="BQ604" t="s">
        <v>74</v>
      </c>
      <c r="BR604" t="s">
        <v>101</v>
      </c>
      <c r="BS604" t="s">
        <v>11459</v>
      </c>
      <c r="BT604" t="str">
        <f>HYPERLINK("https%3A%2F%2Fwww.webofscience.com%2Fwos%2Fwoscc%2Ffull-record%2FWOS:000307141600011","View Full Record in Web of Science")</f>
        <v>View Full Record in Web of Science</v>
      </c>
    </row>
    <row r="605" spans="1:72" x14ac:dyDescent="0.15">
      <c r="A605" t="s">
        <v>72</v>
      </c>
      <c r="B605" t="s">
        <v>11460</v>
      </c>
      <c r="C605" t="s">
        <v>74</v>
      </c>
      <c r="D605" t="s">
        <v>74</v>
      </c>
      <c r="E605" t="s">
        <v>74</v>
      </c>
      <c r="F605" t="s">
        <v>11461</v>
      </c>
      <c r="G605" t="s">
        <v>74</v>
      </c>
      <c r="H605" t="s">
        <v>74</v>
      </c>
      <c r="I605" t="s">
        <v>11462</v>
      </c>
      <c r="J605" t="s">
        <v>11463</v>
      </c>
      <c r="K605" t="s">
        <v>74</v>
      </c>
      <c r="L605" t="s">
        <v>74</v>
      </c>
      <c r="M605" t="s">
        <v>78</v>
      </c>
      <c r="N605" t="s">
        <v>79</v>
      </c>
      <c r="O605" t="s">
        <v>74</v>
      </c>
      <c r="P605" t="s">
        <v>74</v>
      </c>
      <c r="Q605" t="s">
        <v>74</v>
      </c>
      <c r="R605" t="s">
        <v>74</v>
      </c>
      <c r="S605" t="s">
        <v>74</v>
      </c>
      <c r="T605" t="s">
        <v>11464</v>
      </c>
      <c r="U605" t="s">
        <v>11465</v>
      </c>
      <c r="V605" t="s">
        <v>11466</v>
      </c>
      <c r="W605" t="s">
        <v>11467</v>
      </c>
      <c r="X605" t="s">
        <v>11468</v>
      </c>
      <c r="Y605" t="s">
        <v>11469</v>
      </c>
      <c r="Z605" t="s">
        <v>11470</v>
      </c>
      <c r="AA605" t="s">
        <v>11471</v>
      </c>
      <c r="AB605" t="s">
        <v>11472</v>
      </c>
      <c r="AC605" t="s">
        <v>11473</v>
      </c>
      <c r="AD605" t="s">
        <v>11474</v>
      </c>
      <c r="AE605" t="s">
        <v>11475</v>
      </c>
      <c r="AF605" t="s">
        <v>74</v>
      </c>
      <c r="AG605">
        <v>79</v>
      </c>
      <c r="AH605">
        <v>43</v>
      </c>
      <c r="AI605">
        <v>49</v>
      </c>
      <c r="AJ605">
        <v>1</v>
      </c>
      <c r="AK605">
        <v>43</v>
      </c>
      <c r="AL605" t="s">
        <v>188</v>
      </c>
      <c r="AM605" t="s">
        <v>189</v>
      </c>
      <c r="AN605" t="s">
        <v>190</v>
      </c>
      <c r="AO605" t="s">
        <v>11476</v>
      </c>
      <c r="AP605" t="s">
        <v>11477</v>
      </c>
      <c r="AQ605" t="s">
        <v>74</v>
      </c>
      <c r="AR605" t="s">
        <v>11463</v>
      </c>
      <c r="AS605" t="s">
        <v>11478</v>
      </c>
      <c r="AT605" t="s">
        <v>11011</v>
      </c>
      <c r="AU605">
        <v>2012</v>
      </c>
      <c r="AV605">
        <v>356</v>
      </c>
      <c r="AW605" t="s">
        <v>74</v>
      </c>
      <c r="AX605" t="s">
        <v>74</v>
      </c>
      <c r="AY605" t="s">
        <v>74</v>
      </c>
      <c r="AZ605" t="s">
        <v>74</v>
      </c>
      <c r="BA605" t="s">
        <v>74</v>
      </c>
      <c r="BB605">
        <v>61</v>
      </c>
      <c r="BC605">
        <v>72</v>
      </c>
      <c r="BD605" t="s">
        <v>74</v>
      </c>
      <c r="BE605" t="s">
        <v>11479</v>
      </c>
      <c r="BF605" t="str">
        <f>HYPERLINK("http://dx.doi.org/10.1016/j.aquaculture.2012.05.035","http://dx.doi.org/10.1016/j.aquaculture.2012.05.035")</f>
        <v>http://dx.doi.org/10.1016/j.aquaculture.2012.05.035</v>
      </c>
      <c r="BG605" t="s">
        <v>74</v>
      </c>
      <c r="BH605" t="s">
        <v>74</v>
      </c>
      <c r="BI605">
        <v>12</v>
      </c>
      <c r="BJ605" t="s">
        <v>4156</v>
      </c>
      <c r="BK605" t="s">
        <v>98</v>
      </c>
      <c r="BL605" t="s">
        <v>4156</v>
      </c>
      <c r="BM605" t="s">
        <v>11480</v>
      </c>
      <c r="BN605" t="s">
        <v>74</v>
      </c>
      <c r="BO605" t="s">
        <v>74</v>
      </c>
      <c r="BP605" t="s">
        <v>74</v>
      </c>
      <c r="BQ605" t="s">
        <v>74</v>
      </c>
      <c r="BR605" t="s">
        <v>101</v>
      </c>
      <c r="BS605" t="s">
        <v>11481</v>
      </c>
      <c r="BT605" t="str">
        <f>HYPERLINK("https%3A%2F%2Fwww.webofscience.com%2Fwos%2Fwoscc%2Ffull-record%2FWOS:000306171100009","View Full Record in Web of Science")</f>
        <v>View Full Record in Web of Science</v>
      </c>
    </row>
    <row r="606" spans="1:72" x14ac:dyDescent="0.15">
      <c r="A606" t="s">
        <v>72</v>
      </c>
      <c r="B606" t="s">
        <v>11482</v>
      </c>
      <c r="C606" t="s">
        <v>74</v>
      </c>
      <c r="D606" t="s">
        <v>74</v>
      </c>
      <c r="E606" t="s">
        <v>74</v>
      </c>
      <c r="F606" t="s">
        <v>11483</v>
      </c>
      <c r="G606" t="s">
        <v>74</v>
      </c>
      <c r="H606" t="s">
        <v>74</v>
      </c>
      <c r="I606" t="s">
        <v>11484</v>
      </c>
      <c r="J606" t="s">
        <v>11463</v>
      </c>
      <c r="K606" t="s">
        <v>74</v>
      </c>
      <c r="L606" t="s">
        <v>74</v>
      </c>
      <c r="M606" t="s">
        <v>78</v>
      </c>
      <c r="N606" t="s">
        <v>79</v>
      </c>
      <c r="O606" t="s">
        <v>74</v>
      </c>
      <c r="P606" t="s">
        <v>74</v>
      </c>
      <c r="Q606" t="s">
        <v>74</v>
      </c>
      <c r="R606" t="s">
        <v>74</v>
      </c>
      <c r="S606" t="s">
        <v>74</v>
      </c>
      <c r="T606" t="s">
        <v>11485</v>
      </c>
      <c r="U606" t="s">
        <v>11486</v>
      </c>
      <c r="V606" t="s">
        <v>11487</v>
      </c>
      <c r="W606" t="s">
        <v>11488</v>
      </c>
      <c r="X606" t="s">
        <v>11489</v>
      </c>
      <c r="Y606" t="s">
        <v>11490</v>
      </c>
      <c r="Z606" t="s">
        <v>11491</v>
      </c>
      <c r="AA606" t="s">
        <v>11492</v>
      </c>
      <c r="AB606" t="s">
        <v>11493</v>
      </c>
      <c r="AC606" t="s">
        <v>11494</v>
      </c>
      <c r="AD606" t="s">
        <v>11494</v>
      </c>
      <c r="AE606" t="s">
        <v>11495</v>
      </c>
      <c r="AF606" t="s">
        <v>74</v>
      </c>
      <c r="AG606">
        <v>27</v>
      </c>
      <c r="AH606">
        <v>52</v>
      </c>
      <c r="AI606">
        <v>54</v>
      </c>
      <c r="AJ606">
        <v>3</v>
      </c>
      <c r="AK606">
        <v>32</v>
      </c>
      <c r="AL606" t="s">
        <v>259</v>
      </c>
      <c r="AM606" t="s">
        <v>189</v>
      </c>
      <c r="AN606" t="s">
        <v>260</v>
      </c>
      <c r="AO606" t="s">
        <v>11476</v>
      </c>
      <c r="AP606" t="s">
        <v>74</v>
      </c>
      <c r="AQ606" t="s">
        <v>74</v>
      </c>
      <c r="AR606" t="s">
        <v>11463</v>
      </c>
      <c r="AS606" t="s">
        <v>11478</v>
      </c>
      <c r="AT606" t="s">
        <v>11011</v>
      </c>
      <c r="AU606">
        <v>2012</v>
      </c>
      <c r="AV606">
        <v>356</v>
      </c>
      <c r="AW606" t="s">
        <v>74</v>
      </c>
      <c r="AX606" t="s">
        <v>74</v>
      </c>
      <c r="AY606" t="s">
        <v>74</v>
      </c>
      <c r="AZ606" t="s">
        <v>74</v>
      </c>
      <c r="BA606" t="s">
        <v>74</v>
      </c>
      <c r="BB606">
        <v>135</v>
      </c>
      <c r="BC606">
        <v>140</v>
      </c>
      <c r="BD606" t="s">
        <v>74</v>
      </c>
      <c r="BE606" t="s">
        <v>11496</v>
      </c>
      <c r="BF606" t="str">
        <f>HYPERLINK("http://dx.doi.org/10.1016/j.aquaculture.2012.05.024","http://dx.doi.org/10.1016/j.aquaculture.2012.05.024")</f>
        <v>http://dx.doi.org/10.1016/j.aquaculture.2012.05.024</v>
      </c>
      <c r="BG606" t="s">
        <v>74</v>
      </c>
      <c r="BH606" t="s">
        <v>74</v>
      </c>
      <c r="BI606">
        <v>6</v>
      </c>
      <c r="BJ606" t="s">
        <v>4156</v>
      </c>
      <c r="BK606" t="s">
        <v>98</v>
      </c>
      <c r="BL606" t="s">
        <v>4156</v>
      </c>
      <c r="BM606" t="s">
        <v>11480</v>
      </c>
      <c r="BN606" t="s">
        <v>74</v>
      </c>
      <c r="BO606" t="s">
        <v>74</v>
      </c>
      <c r="BP606" t="s">
        <v>74</v>
      </c>
      <c r="BQ606" t="s">
        <v>74</v>
      </c>
      <c r="BR606" t="s">
        <v>101</v>
      </c>
      <c r="BS606" t="s">
        <v>11497</v>
      </c>
      <c r="BT606" t="str">
        <f>HYPERLINK("https%3A%2F%2Fwww.webofscience.com%2Fwos%2Fwoscc%2Ffull-record%2FWOS:000306171100019","View Full Record in Web of Science")</f>
        <v>View Full Record in Web of Science</v>
      </c>
    </row>
    <row r="607" spans="1:72" x14ac:dyDescent="0.15">
      <c r="A607" t="s">
        <v>72</v>
      </c>
      <c r="B607" t="s">
        <v>11498</v>
      </c>
      <c r="C607" t="s">
        <v>74</v>
      </c>
      <c r="D607" t="s">
        <v>74</v>
      </c>
      <c r="E607" t="s">
        <v>74</v>
      </c>
      <c r="F607" t="s">
        <v>11499</v>
      </c>
      <c r="G607" t="s">
        <v>74</v>
      </c>
      <c r="H607" t="s">
        <v>74</v>
      </c>
      <c r="I607" t="s">
        <v>11500</v>
      </c>
      <c r="J607" t="s">
        <v>1233</v>
      </c>
      <c r="K607" t="s">
        <v>74</v>
      </c>
      <c r="L607" t="s">
        <v>74</v>
      </c>
      <c r="M607" t="s">
        <v>78</v>
      </c>
      <c r="N607" t="s">
        <v>79</v>
      </c>
      <c r="O607" t="s">
        <v>74</v>
      </c>
      <c r="P607" t="s">
        <v>74</v>
      </c>
      <c r="Q607" t="s">
        <v>74</v>
      </c>
      <c r="R607" t="s">
        <v>74</v>
      </c>
      <c r="S607" t="s">
        <v>74</v>
      </c>
      <c r="T607" t="s">
        <v>74</v>
      </c>
      <c r="U607" t="s">
        <v>11501</v>
      </c>
      <c r="V607" t="s">
        <v>11502</v>
      </c>
      <c r="W607" t="s">
        <v>11503</v>
      </c>
      <c r="X607" t="s">
        <v>11504</v>
      </c>
      <c r="Y607" t="s">
        <v>11505</v>
      </c>
      <c r="Z607" t="s">
        <v>11506</v>
      </c>
      <c r="AA607" t="s">
        <v>74</v>
      </c>
      <c r="AB607" t="s">
        <v>11507</v>
      </c>
      <c r="AC607" t="s">
        <v>11508</v>
      </c>
      <c r="AD607" t="s">
        <v>11509</v>
      </c>
      <c r="AE607" t="s">
        <v>11510</v>
      </c>
      <c r="AF607" t="s">
        <v>74</v>
      </c>
      <c r="AG607">
        <v>62</v>
      </c>
      <c r="AH607">
        <v>20</v>
      </c>
      <c r="AI607">
        <v>23</v>
      </c>
      <c r="AJ607">
        <v>0</v>
      </c>
      <c r="AK607">
        <v>68</v>
      </c>
      <c r="AL607" t="s">
        <v>1245</v>
      </c>
      <c r="AM607" t="s">
        <v>1246</v>
      </c>
      <c r="AN607" t="s">
        <v>1247</v>
      </c>
      <c r="AO607" t="s">
        <v>1248</v>
      </c>
      <c r="AP607" t="s">
        <v>1249</v>
      </c>
      <c r="AQ607" t="s">
        <v>74</v>
      </c>
      <c r="AR607" t="s">
        <v>1250</v>
      </c>
      <c r="AS607" t="s">
        <v>1251</v>
      </c>
      <c r="AT607" t="s">
        <v>10359</v>
      </c>
      <c r="AU607">
        <v>2012</v>
      </c>
      <c r="AV607">
        <v>44</v>
      </c>
      <c r="AW607">
        <v>3</v>
      </c>
      <c r="AX607" t="s">
        <v>74</v>
      </c>
      <c r="AY607" t="s">
        <v>74</v>
      </c>
      <c r="AZ607" t="s">
        <v>74</v>
      </c>
      <c r="BA607" t="s">
        <v>74</v>
      </c>
      <c r="BB607">
        <v>277</v>
      </c>
      <c r="BC607">
        <v>287</v>
      </c>
      <c r="BD607" t="s">
        <v>74</v>
      </c>
      <c r="BE607" t="s">
        <v>11511</v>
      </c>
      <c r="BF607" t="str">
        <f>HYPERLINK("http://dx.doi.org/10.1657/1938-4246-44.3.277","http://dx.doi.org/10.1657/1938-4246-44.3.277")</f>
        <v>http://dx.doi.org/10.1657/1938-4246-44.3.277</v>
      </c>
      <c r="BG607" t="s">
        <v>74</v>
      </c>
      <c r="BH607" t="s">
        <v>74</v>
      </c>
      <c r="BI607">
        <v>11</v>
      </c>
      <c r="BJ607" t="s">
        <v>995</v>
      </c>
      <c r="BK607" t="s">
        <v>98</v>
      </c>
      <c r="BL607" t="s">
        <v>996</v>
      </c>
      <c r="BM607" t="s">
        <v>10691</v>
      </c>
      <c r="BN607" t="s">
        <v>74</v>
      </c>
      <c r="BO607" t="s">
        <v>1287</v>
      </c>
      <c r="BP607" t="s">
        <v>74</v>
      </c>
      <c r="BQ607" t="s">
        <v>74</v>
      </c>
      <c r="BR607" t="s">
        <v>101</v>
      </c>
      <c r="BS607" t="s">
        <v>11512</v>
      </c>
      <c r="BT607" t="str">
        <f>HYPERLINK("https%3A%2F%2Fwww.webofscience.com%2Fwos%2Fwoscc%2Ffull-record%2FWOS:000307990800002","View Full Record in Web of Science")</f>
        <v>View Full Record in Web of Science</v>
      </c>
    </row>
    <row r="608" spans="1:72" x14ac:dyDescent="0.15">
      <c r="A608" t="s">
        <v>72</v>
      </c>
      <c r="B608" t="s">
        <v>11513</v>
      </c>
      <c r="C608" t="s">
        <v>74</v>
      </c>
      <c r="D608" t="s">
        <v>74</v>
      </c>
      <c r="E608" t="s">
        <v>74</v>
      </c>
      <c r="F608" t="s">
        <v>11514</v>
      </c>
      <c r="G608" t="s">
        <v>74</v>
      </c>
      <c r="H608" t="s">
        <v>74</v>
      </c>
      <c r="I608" t="s">
        <v>11515</v>
      </c>
      <c r="J608" t="s">
        <v>1233</v>
      </c>
      <c r="K608" t="s">
        <v>74</v>
      </c>
      <c r="L608" t="s">
        <v>74</v>
      </c>
      <c r="M608" t="s">
        <v>78</v>
      </c>
      <c r="N608" t="s">
        <v>79</v>
      </c>
      <c r="O608" t="s">
        <v>74</v>
      </c>
      <c r="P608" t="s">
        <v>74</v>
      </c>
      <c r="Q608" t="s">
        <v>74</v>
      </c>
      <c r="R608" t="s">
        <v>74</v>
      </c>
      <c r="S608" t="s">
        <v>74</v>
      </c>
      <c r="T608" t="s">
        <v>74</v>
      </c>
      <c r="U608" t="s">
        <v>11516</v>
      </c>
      <c r="V608" t="s">
        <v>11517</v>
      </c>
      <c r="W608" t="s">
        <v>11518</v>
      </c>
      <c r="X608" t="s">
        <v>11519</v>
      </c>
      <c r="Y608" t="s">
        <v>11520</v>
      </c>
      <c r="Z608" t="s">
        <v>11521</v>
      </c>
      <c r="AA608" t="s">
        <v>11522</v>
      </c>
      <c r="AB608" t="s">
        <v>11523</v>
      </c>
      <c r="AC608" t="s">
        <v>11524</v>
      </c>
      <c r="AD608" t="s">
        <v>11525</v>
      </c>
      <c r="AE608" t="s">
        <v>11526</v>
      </c>
      <c r="AF608" t="s">
        <v>74</v>
      </c>
      <c r="AG608">
        <v>38</v>
      </c>
      <c r="AH608">
        <v>22</v>
      </c>
      <c r="AI608">
        <v>24</v>
      </c>
      <c r="AJ608">
        <v>0</v>
      </c>
      <c r="AK608">
        <v>32</v>
      </c>
      <c r="AL608" t="s">
        <v>1267</v>
      </c>
      <c r="AM608" t="s">
        <v>1268</v>
      </c>
      <c r="AN608" t="s">
        <v>1269</v>
      </c>
      <c r="AO608" t="s">
        <v>1248</v>
      </c>
      <c r="AP608" t="s">
        <v>1249</v>
      </c>
      <c r="AQ608" t="s">
        <v>74</v>
      </c>
      <c r="AR608" t="s">
        <v>1250</v>
      </c>
      <c r="AS608" t="s">
        <v>1251</v>
      </c>
      <c r="AT608" t="s">
        <v>10359</v>
      </c>
      <c r="AU608">
        <v>2012</v>
      </c>
      <c r="AV608">
        <v>44</v>
      </c>
      <c r="AW608">
        <v>3</v>
      </c>
      <c r="AX608" t="s">
        <v>74</v>
      </c>
      <c r="AY608" t="s">
        <v>74</v>
      </c>
      <c r="AZ608" t="s">
        <v>74</v>
      </c>
      <c r="BA608" t="s">
        <v>74</v>
      </c>
      <c r="BB608">
        <v>359</v>
      </c>
      <c r="BC608">
        <v>367</v>
      </c>
      <c r="BD608" t="s">
        <v>74</v>
      </c>
      <c r="BE608" t="s">
        <v>11527</v>
      </c>
      <c r="BF608" t="str">
        <f>HYPERLINK("http://dx.doi.org/10.1657/1938-4246-44.3.359","http://dx.doi.org/10.1657/1938-4246-44.3.359")</f>
        <v>http://dx.doi.org/10.1657/1938-4246-44.3.359</v>
      </c>
      <c r="BG608" t="s">
        <v>74</v>
      </c>
      <c r="BH608" t="s">
        <v>74</v>
      </c>
      <c r="BI608">
        <v>9</v>
      </c>
      <c r="BJ608" t="s">
        <v>995</v>
      </c>
      <c r="BK608" t="s">
        <v>98</v>
      </c>
      <c r="BL608" t="s">
        <v>996</v>
      </c>
      <c r="BM608" t="s">
        <v>10691</v>
      </c>
      <c r="BN608" t="s">
        <v>74</v>
      </c>
      <c r="BO608" t="s">
        <v>1254</v>
      </c>
      <c r="BP608" t="s">
        <v>74</v>
      </c>
      <c r="BQ608" t="s">
        <v>74</v>
      </c>
      <c r="BR608" t="s">
        <v>101</v>
      </c>
      <c r="BS608" t="s">
        <v>11528</v>
      </c>
      <c r="BT608" t="str">
        <f>HYPERLINK("https%3A%2F%2Fwww.webofscience.com%2Fwos%2Fwoscc%2Ffull-record%2FWOS:000307990800010","View Full Record in Web of Science")</f>
        <v>View Full Record in Web of Science</v>
      </c>
    </row>
    <row r="609" spans="1:72" x14ac:dyDescent="0.15">
      <c r="A609" t="s">
        <v>72</v>
      </c>
      <c r="B609" t="s">
        <v>11529</v>
      </c>
      <c r="C609" t="s">
        <v>74</v>
      </c>
      <c r="D609" t="s">
        <v>74</v>
      </c>
      <c r="E609" t="s">
        <v>74</v>
      </c>
      <c r="F609" t="s">
        <v>11530</v>
      </c>
      <c r="G609" t="s">
        <v>74</v>
      </c>
      <c r="H609" t="s">
        <v>74</v>
      </c>
      <c r="I609" t="s">
        <v>11531</v>
      </c>
      <c r="J609" t="s">
        <v>1233</v>
      </c>
      <c r="K609" t="s">
        <v>74</v>
      </c>
      <c r="L609" t="s">
        <v>74</v>
      </c>
      <c r="M609" t="s">
        <v>78</v>
      </c>
      <c r="N609" t="s">
        <v>79</v>
      </c>
      <c r="O609" t="s">
        <v>74</v>
      </c>
      <c r="P609" t="s">
        <v>74</v>
      </c>
      <c r="Q609" t="s">
        <v>74</v>
      </c>
      <c r="R609" t="s">
        <v>74</v>
      </c>
      <c r="S609" t="s">
        <v>74</v>
      </c>
      <c r="T609" t="s">
        <v>74</v>
      </c>
      <c r="U609" t="s">
        <v>11532</v>
      </c>
      <c r="V609" t="s">
        <v>11533</v>
      </c>
      <c r="W609" t="s">
        <v>11534</v>
      </c>
      <c r="X609" t="s">
        <v>11535</v>
      </c>
      <c r="Y609" t="s">
        <v>11536</v>
      </c>
      <c r="Z609" t="s">
        <v>11537</v>
      </c>
      <c r="AA609" t="s">
        <v>11538</v>
      </c>
      <c r="AB609" t="s">
        <v>11539</v>
      </c>
      <c r="AC609" t="s">
        <v>11540</v>
      </c>
      <c r="AD609" t="s">
        <v>11541</v>
      </c>
      <c r="AE609" t="s">
        <v>11542</v>
      </c>
      <c r="AF609" t="s">
        <v>74</v>
      </c>
      <c r="AG609">
        <v>69</v>
      </c>
      <c r="AH609">
        <v>73</v>
      </c>
      <c r="AI609">
        <v>91</v>
      </c>
      <c r="AJ609">
        <v>2</v>
      </c>
      <c r="AK609">
        <v>77</v>
      </c>
      <c r="AL609" t="s">
        <v>1245</v>
      </c>
      <c r="AM609" t="s">
        <v>1246</v>
      </c>
      <c r="AN609" t="s">
        <v>1247</v>
      </c>
      <c r="AO609" t="s">
        <v>1248</v>
      </c>
      <c r="AP609" t="s">
        <v>1249</v>
      </c>
      <c r="AQ609" t="s">
        <v>74</v>
      </c>
      <c r="AR609" t="s">
        <v>1250</v>
      </c>
      <c r="AS609" t="s">
        <v>1251</v>
      </c>
      <c r="AT609" t="s">
        <v>10359</v>
      </c>
      <c r="AU609">
        <v>2012</v>
      </c>
      <c r="AV609">
        <v>44</v>
      </c>
      <c r="AW609">
        <v>3</v>
      </c>
      <c r="AX609" t="s">
        <v>74</v>
      </c>
      <c r="AY609" t="s">
        <v>74</v>
      </c>
      <c r="AZ609" t="s">
        <v>74</v>
      </c>
      <c r="BA609" t="s">
        <v>74</v>
      </c>
      <c r="BB609">
        <v>368</v>
      </c>
      <c r="BC609">
        <v>380</v>
      </c>
      <c r="BD609" t="s">
        <v>74</v>
      </c>
      <c r="BE609" t="s">
        <v>11543</v>
      </c>
      <c r="BF609" t="str">
        <f>HYPERLINK("http://dx.doi.org/10.1657/1938-4246-44.3.368","http://dx.doi.org/10.1657/1938-4246-44.3.368")</f>
        <v>http://dx.doi.org/10.1657/1938-4246-44.3.368</v>
      </c>
      <c r="BG609" t="s">
        <v>74</v>
      </c>
      <c r="BH609" t="s">
        <v>74</v>
      </c>
      <c r="BI609">
        <v>13</v>
      </c>
      <c r="BJ609" t="s">
        <v>995</v>
      </c>
      <c r="BK609" t="s">
        <v>98</v>
      </c>
      <c r="BL609" t="s">
        <v>996</v>
      </c>
      <c r="BM609" t="s">
        <v>10691</v>
      </c>
      <c r="BN609" t="s">
        <v>74</v>
      </c>
      <c r="BO609" t="s">
        <v>1254</v>
      </c>
      <c r="BP609" t="s">
        <v>74</v>
      </c>
      <c r="BQ609" t="s">
        <v>74</v>
      </c>
      <c r="BR609" t="s">
        <v>101</v>
      </c>
      <c r="BS609" t="s">
        <v>11544</v>
      </c>
      <c r="BT609" t="str">
        <f>HYPERLINK("https%3A%2F%2Fwww.webofscience.com%2Fwos%2Fwoscc%2Ffull-record%2FWOS:000307990800011","View Full Record in Web of Science")</f>
        <v>View Full Record in Web of Science</v>
      </c>
    </row>
    <row r="610" spans="1:72" x14ac:dyDescent="0.15">
      <c r="A610" t="s">
        <v>72</v>
      </c>
      <c r="B610" t="s">
        <v>11545</v>
      </c>
      <c r="C610" t="s">
        <v>74</v>
      </c>
      <c r="D610" t="s">
        <v>74</v>
      </c>
      <c r="E610" t="s">
        <v>74</v>
      </c>
      <c r="F610" t="s">
        <v>11546</v>
      </c>
      <c r="G610" t="s">
        <v>74</v>
      </c>
      <c r="H610" t="s">
        <v>74</v>
      </c>
      <c r="I610" t="s">
        <v>11547</v>
      </c>
      <c r="J610" t="s">
        <v>8272</v>
      </c>
      <c r="K610" t="s">
        <v>74</v>
      </c>
      <c r="L610" t="s">
        <v>74</v>
      </c>
      <c r="M610" t="s">
        <v>78</v>
      </c>
      <c r="N610" t="s">
        <v>79</v>
      </c>
      <c r="O610" t="s">
        <v>74</v>
      </c>
      <c r="P610" t="s">
        <v>74</v>
      </c>
      <c r="Q610" t="s">
        <v>74</v>
      </c>
      <c r="R610" t="s">
        <v>74</v>
      </c>
      <c r="S610" t="s">
        <v>74</v>
      </c>
      <c r="T610" t="s">
        <v>11548</v>
      </c>
      <c r="U610" t="s">
        <v>11549</v>
      </c>
      <c r="V610" t="s">
        <v>11550</v>
      </c>
      <c r="W610" t="s">
        <v>11551</v>
      </c>
      <c r="X610" t="s">
        <v>11404</v>
      </c>
      <c r="Y610" t="s">
        <v>11552</v>
      </c>
      <c r="Z610" t="s">
        <v>11553</v>
      </c>
      <c r="AA610" t="s">
        <v>74</v>
      </c>
      <c r="AB610" t="s">
        <v>74</v>
      </c>
      <c r="AC610" t="s">
        <v>11554</v>
      </c>
      <c r="AD610" t="s">
        <v>5263</v>
      </c>
      <c r="AE610" t="s">
        <v>11555</v>
      </c>
      <c r="AF610" t="s">
        <v>74</v>
      </c>
      <c r="AG610">
        <v>41</v>
      </c>
      <c r="AH610">
        <v>2</v>
      </c>
      <c r="AI610">
        <v>4</v>
      </c>
      <c r="AJ610">
        <v>4</v>
      </c>
      <c r="AK610">
        <v>43</v>
      </c>
      <c r="AL610" t="s">
        <v>89</v>
      </c>
      <c r="AM610" t="s">
        <v>90</v>
      </c>
      <c r="AN610" t="s">
        <v>91</v>
      </c>
      <c r="AO610" t="s">
        <v>8280</v>
      </c>
      <c r="AP610" t="s">
        <v>8281</v>
      </c>
      <c r="AQ610" t="s">
        <v>74</v>
      </c>
      <c r="AR610" t="s">
        <v>8282</v>
      </c>
      <c r="AS610" t="s">
        <v>8283</v>
      </c>
      <c r="AT610" t="s">
        <v>10359</v>
      </c>
      <c r="AU610">
        <v>2012</v>
      </c>
      <c r="AV610">
        <v>55</v>
      </c>
      <c r="AW610" t="s">
        <v>74</v>
      </c>
      <c r="AX610" t="s">
        <v>74</v>
      </c>
      <c r="AY610" t="s">
        <v>74</v>
      </c>
      <c r="AZ610" t="s">
        <v>74</v>
      </c>
      <c r="BA610" t="s">
        <v>74</v>
      </c>
      <c r="BB610">
        <v>127</v>
      </c>
      <c r="BC610">
        <v>134</v>
      </c>
      <c r="BD610" t="s">
        <v>74</v>
      </c>
      <c r="BE610" t="s">
        <v>11556</v>
      </c>
      <c r="BF610" t="str">
        <f>HYPERLINK("http://dx.doi.org/10.1016/j.atmosenv.2012.03.047","http://dx.doi.org/10.1016/j.atmosenv.2012.03.047")</f>
        <v>http://dx.doi.org/10.1016/j.atmosenv.2012.03.047</v>
      </c>
      <c r="BG610" t="s">
        <v>74</v>
      </c>
      <c r="BH610" t="s">
        <v>74</v>
      </c>
      <c r="BI610">
        <v>8</v>
      </c>
      <c r="BJ610" t="s">
        <v>4129</v>
      </c>
      <c r="BK610" t="s">
        <v>98</v>
      </c>
      <c r="BL610" t="s">
        <v>2844</v>
      </c>
      <c r="BM610" t="s">
        <v>11557</v>
      </c>
      <c r="BN610" t="s">
        <v>74</v>
      </c>
      <c r="BO610" t="s">
        <v>74</v>
      </c>
      <c r="BP610" t="s">
        <v>74</v>
      </c>
      <c r="BQ610" t="s">
        <v>74</v>
      </c>
      <c r="BR610" t="s">
        <v>101</v>
      </c>
      <c r="BS610" t="s">
        <v>11558</v>
      </c>
      <c r="BT610" t="str">
        <f>HYPERLINK("https%3A%2F%2Fwww.webofscience.com%2Fwos%2Fwoscc%2Ffull-record%2FWOS:000306870400017","View Full Record in Web of Science")</f>
        <v>View Full Record in Web of Science</v>
      </c>
    </row>
    <row r="611" spans="1:72" x14ac:dyDescent="0.15">
      <c r="A611" t="s">
        <v>72</v>
      </c>
      <c r="B611" t="s">
        <v>11559</v>
      </c>
      <c r="C611" t="s">
        <v>74</v>
      </c>
      <c r="D611" t="s">
        <v>74</v>
      </c>
      <c r="E611" t="s">
        <v>74</v>
      </c>
      <c r="F611" t="s">
        <v>11560</v>
      </c>
      <c r="G611" t="s">
        <v>74</v>
      </c>
      <c r="H611" t="s">
        <v>74</v>
      </c>
      <c r="I611" t="s">
        <v>11561</v>
      </c>
      <c r="J611" t="s">
        <v>11258</v>
      </c>
      <c r="K611" t="s">
        <v>74</v>
      </c>
      <c r="L611" t="s">
        <v>74</v>
      </c>
      <c r="M611" t="s">
        <v>78</v>
      </c>
      <c r="N611" t="s">
        <v>79</v>
      </c>
      <c r="O611" t="s">
        <v>74</v>
      </c>
      <c r="P611" t="s">
        <v>74</v>
      </c>
      <c r="Q611" t="s">
        <v>74</v>
      </c>
      <c r="R611" t="s">
        <v>74</v>
      </c>
      <c r="S611" t="s">
        <v>74</v>
      </c>
      <c r="T611" t="s">
        <v>11562</v>
      </c>
      <c r="U611" t="s">
        <v>11563</v>
      </c>
      <c r="V611" t="s">
        <v>11564</v>
      </c>
      <c r="W611" t="s">
        <v>11565</v>
      </c>
      <c r="X611" t="s">
        <v>11566</v>
      </c>
      <c r="Y611" t="s">
        <v>11567</v>
      </c>
      <c r="Z611" t="s">
        <v>11568</v>
      </c>
      <c r="AA611" t="s">
        <v>11569</v>
      </c>
      <c r="AB611" t="s">
        <v>11570</v>
      </c>
      <c r="AC611" t="s">
        <v>11571</v>
      </c>
      <c r="AD611" t="s">
        <v>11572</v>
      </c>
      <c r="AE611" t="s">
        <v>11573</v>
      </c>
      <c r="AF611" t="s">
        <v>74</v>
      </c>
      <c r="AG611">
        <v>59</v>
      </c>
      <c r="AH611">
        <v>12</v>
      </c>
      <c r="AI611">
        <v>12</v>
      </c>
      <c r="AJ611">
        <v>3</v>
      </c>
      <c r="AK611">
        <v>67</v>
      </c>
      <c r="AL611" t="s">
        <v>898</v>
      </c>
      <c r="AM611" t="s">
        <v>899</v>
      </c>
      <c r="AN611" t="s">
        <v>900</v>
      </c>
      <c r="AO611" t="s">
        <v>11271</v>
      </c>
      <c r="AP611" t="s">
        <v>11272</v>
      </c>
      <c r="AQ611" t="s">
        <v>74</v>
      </c>
      <c r="AR611" t="s">
        <v>11273</v>
      </c>
      <c r="AS611" t="s">
        <v>11274</v>
      </c>
      <c r="AT611" t="s">
        <v>10359</v>
      </c>
      <c r="AU611">
        <v>2012</v>
      </c>
      <c r="AV611">
        <v>37</v>
      </c>
      <c r="AW611">
        <v>5</v>
      </c>
      <c r="AX611" t="s">
        <v>74</v>
      </c>
      <c r="AY611" t="s">
        <v>74</v>
      </c>
      <c r="AZ611" t="s">
        <v>74</v>
      </c>
      <c r="BA611" t="s">
        <v>74</v>
      </c>
      <c r="BB611">
        <v>529</v>
      </c>
      <c r="BC611">
        <v>536</v>
      </c>
      <c r="BD611" t="s">
        <v>74</v>
      </c>
      <c r="BE611" t="s">
        <v>11574</v>
      </c>
      <c r="BF611" t="str">
        <f>HYPERLINK("http://dx.doi.org/10.1111/j.1442-9993.2011.02322.x","http://dx.doi.org/10.1111/j.1442-9993.2011.02322.x")</f>
        <v>http://dx.doi.org/10.1111/j.1442-9993.2011.02322.x</v>
      </c>
      <c r="BG611" t="s">
        <v>74</v>
      </c>
      <c r="BH611" t="s">
        <v>74</v>
      </c>
      <c r="BI611">
        <v>8</v>
      </c>
      <c r="BJ611" t="s">
        <v>515</v>
      </c>
      <c r="BK611" t="s">
        <v>98</v>
      </c>
      <c r="BL611" t="s">
        <v>333</v>
      </c>
      <c r="BM611" t="s">
        <v>11276</v>
      </c>
      <c r="BN611" t="s">
        <v>74</v>
      </c>
      <c r="BO611" t="s">
        <v>1499</v>
      </c>
      <c r="BP611" t="s">
        <v>74</v>
      </c>
      <c r="BQ611" t="s">
        <v>74</v>
      </c>
      <c r="BR611" t="s">
        <v>101</v>
      </c>
      <c r="BS611" t="s">
        <v>11575</v>
      </c>
      <c r="BT611" t="str">
        <f>HYPERLINK("https%3A%2F%2Fwww.webofscience.com%2Fwos%2Fwoscc%2Ffull-record%2FWOS:000306663600001","View Full Record in Web of Science")</f>
        <v>View Full Record in Web of Science</v>
      </c>
    </row>
    <row r="612" spans="1:72" x14ac:dyDescent="0.15">
      <c r="A612" t="s">
        <v>72</v>
      </c>
      <c r="B612" t="s">
        <v>11576</v>
      </c>
      <c r="C612" t="s">
        <v>74</v>
      </c>
      <c r="D612" t="s">
        <v>74</v>
      </c>
      <c r="E612" t="s">
        <v>74</v>
      </c>
      <c r="F612" t="s">
        <v>11577</v>
      </c>
      <c r="G612" t="s">
        <v>74</v>
      </c>
      <c r="H612" t="s">
        <v>74</v>
      </c>
      <c r="I612" t="s">
        <v>11578</v>
      </c>
      <c r="J612" t="s">
        <v>11579</v>
      </c>
      <c r="K612" t="s">
        <v>74</v>
      </c>
      <c r="L612" t="s">
        <v>74</v>
      </c>
      <c r="M612" t="s">
        <v>78</v>
      </c>
      <c r="N612" t="s">
        <v>79</v>
      </c>
      <c r="O612" t="s">
        <v>74</v>
      </c>
      <c r="P612" t="s">
        <v>74</v>
      </c>
      <c r="Q612" t="s">
        <v>74</v>
      </c>
      <c r="R612" t="s">
        <v>74</v>
      </c>
      <c r="S612" t="s">
        <v>74</v>
      </c>
      <c r="T612" t="s">
        <v>74</v>
      </c>
      <c r="U612" t="s">
        <v>11580</v>
      </c>
      <c r="V612" t="s">
        <v>11581</v>
      </c>
      <c r="W612" t="s">
        <v>11582</v>
      </c>
      <c r="X612" t="s">
        <v>11583</v>
      </c>
      <c r="Y612" t="s">
        <v>11584</v>
      </c>
      <c r="Z612" t="s">
        <v>11585</v>
      </c>
      <c r="AA612" t="s">
        <v>11586</v>
      </c>
      <c r="AB612" t="s">
        <v>11587</v>
      </c>
      <c r="AC612" t="s">
        <v>11588</v>
      </c>
      <c r="AD612" t="s">
        <v>11589</v>
      </c>
      <c r="AE612" t="s">
        <v>11590</v>
      </c>
      <c r="AF612" t="s">
        <v>74</v>
      </c>
      <c r="AG612">
        <v>56</v>
      </c>
      <c r="AH612">
        <v>29</v>
      </c>
      <c r="AI612">
        <v>33</v>
      </c>
      <c r="AJ612">
        <v>0</v>
      </c>
      <c r="AK612">
        <v>42</v>
      </c>
      <c r="AL612" t="s">
        <v>11591</v>
      </c>
      <c r="AM612" t="s">
        <v>10803</v>
      </c>
      <c r="AN612" t="s">
        <v>10804</v>
      </c>
      <c r="AO612" t="s">
        <v>11592</v>
      </c>
      <c r="AP612" t="s">
        <v>11593</v>
      </c>
      <c r="AQ612" t="s">
        <v>74</v>
      </c>
      <c r="AR612" t="s">
        <v>11594</v>
      </c>
      <c r="AS612" t="s">
        <v>11595</v>
      </c>
      <c r="AT612" t="s">
        <v>10359</v>
      </c>
      <c r="AU612">
        <v>2012</v>
      </c>
      <c r="AV612">
        <v>69</v>
      </c>
      <c r="AW612">
        <v>8</v>
      </c>
      <c r="AX612" t="s">
        <v>74</v>
      </c>
      <c r="AY612" t="s">
        <v>74</v>
      </c>
      <c r="AZ612" t="s">
        <v>74</v>
      </c>
      <c r="BA612" t="s">
        <v>74</v>
      </c>
      <c r="BB612">
        <v>1405</v>
      </c>
      <c r="BC612">
        <v>1419</v>
      </c>
      <c r="BD612" t="s">
        <v>74</v>
      </c>
      <c r="BE612" t="s">
        <v>11596</v>
      </c>
      <c r="BF612" t="str">
        <f>HYPERLINK("http://dx.doi.org/10.1139/F2012-022","http://dx.doi.org/10.1139/F2012-022")</f>
        <v>http://dx.doi.org/10.1139/F2012-022</v>
      </c>
      <c r="BG612" t="s">
        <v>74</v>
      </c>
      <c r="BH612" t="s">
        <v>74</v>
      </c>
      <c r="BI612">
        <v>15</v>
      </c>
      <c r="BJ612" t="s">
        <v>4156</v>
      </c>
      <c r="BK612" t="s">
        <v>98</v>
      </c>
      <c r="BL612" t="s">
        <v>4156</v>
      </c>
      <c r="BM612" t="s">
        <v>11597</v>
      </c>
      <c r="BN612" t="s">
        <v>74</v>
      </c>
      <c r="BO612" t="s">
        <v>74</v>
      </c>
      <c r="BP612" t="s">
        <v>74</v>
      </c>
      <c r="BQ612" t="s">
        <v>74</v>
      </c>
      <c r="BR612" t="s">
        <v>101</v>
      </c>
      <c r="BS612" t="s">
        <v>11598</v>
      </c>
      <c r="BT612" t="str">
        <f>HYPERLINK("https%3A%2F%2Fwww.webofscience.com%2Fwos%2Fwoscc%2Ffull-record%2FWOS:000307022700016","View Full Record in Web of Science")</f>
        <v>View Full Record in Web of Science</v>
      </c>
    </row>
    <row r="613" spans="1:72" x14ac:dyDescent="0.15">
      <c r="A613" t="s">
        <v>72</v>
      </c>
      <c r="B613" t="s">
        <v>11599</v>
      </c>
      <c r="C613" t="s">
        <v>74</v>
      </c>
      <c r="D613" t="s">
        <v>74</v>
      </c>
      <c r="E613" t="s">
        <v>74</v>
      </c>
      <c r="F613" t="s">
        <v>11600</v>
      </c>
      <c r="G613" t="s">
        <v>74</v>
      </c>
      <c r="H613" t="s">
        <v>74</v>
      </c>
      <c r="I613" t="s">
        <v>11601</v>
      </c>
      <c r="J613" t="s">
        <v>11602</v>
      </c>
      <c r="K613" t="s">
        <v>74</v>
      </c>
      <c r="L613" t="s">
        <v>74</v>
      </c>
      <c r="M613" t="s">
        <v>78</v>
      </c>
      <c r="N613" t="s">
        <v>974</v>
      </c>
      <c r="O613" t="s">
        <v>74</v>
      </c>
      <c r="P613" t="s">
        <v>74</v>
      </c>
      <c r="Q613" t="s">
        <v>74</v>
      </c>
      <c r="R613" t="s">
        <v>74</v>
      </c>
      <c r="S613" t="s">
        <v>74</v>
      </c>
      <c r="T613" t="s">
        <v>11603</v>
      </c>
      <c r="U613" t="s">
        <v>11604</v>
      </c>
      <c r="V613" t="s">
        <v>11605</v>
      </c>
      <c r="W613" t="s">
        <v>11606</v>
      </c>
      <c r="X613" t="s">
        <v>11607</v>
      </c>
      <c r="Y613" t="s">
        <v>11608</v>
      </c>
      <c r="Z613" t="s">
        <v>11609</v>
      </c>
      <c r="AA613" t="s">
        <v>74</v>
      </c>
      <c r="AB613" t="s">
        <v>74</v>
      </c>
      <c r="AC613" t="s">
        <v>11610</v>
      </c>
      <c r="AD613" t="s">
        <v>11611</v>
      </c>
      <c r="AE613" t="s">
        <v>11612</v>
      </c>
      <c r="AF613" t="s">
        <v>74</v>
      </c>
      <c r="AG613">
        <v>69</v>
      </c>
      <c r="AH613">
        <v>76</v>
      </c>
      <c r="AI613">
        <v>86</v>
      </c>
      <c r="AJ613">
        <v>3</v>
      </c>
      <c r="AK613">
        <v>85</v>
      </c>
      <c r="AL613" t="s">
        <v>1932</v>
      </c>
      <c r="AM613" t="s">
        <v>1933</v>
      </c>
      <c r="AN613" t="s">
        <v>1934</v>
      </c>
      <c r="AO613" t="s">
        <v>11613</v>
      </c>
      <c r="AP613" t="s">
        <v>11614</v>
      </c>
      <c r="AQ613" t="s">
        <v>74</v>
      </c>
      <c r="AR613" t="s">
        <v>11615</v>
      </c>
      <c r="AS613" t="s">
        <v>11616</v>
      </c>
      <c r="AT613" t="s">
        <v>10359</v>
      </c>
      <c r="AU613">
        <v>2012</v>
      </c>
      <c r="AV613">
        <v>57</v>
      </c>
      <c r="AW613">
        <v>24</v>
      </c>
      <c r="AX613" t="s">
        <v>74</v>
      </c>
      <c r="AY613" t="s">
        <v>74</v>
      </c>
      <c r="AZ613" t="s">
        <v>74</v>
      </c>
      <c r="BA613" t="s">
        <v>74</v>
      </c>
      <c r="BB613">
        <v>3130</v>
      </c>
      <c r="BC613">
        <v>3149</v>
      </c>
      <c r="BD613" t="s">
        <v>74</v>
      </c>
      <c r="BE613" t="s">
        <v>11617</v>
      </c>
      <c r="BF613" t="str">
        <f>HYPERLINK("http://dx.doi.org/10.1007/s11434-012-5349-y","http://dx.doi.org/10.1007/s11434-012-5349-y")</f>
        <v>http://dx.doi.org/10.1007/s11434-012-5349-y</v>
      </c>
      <c r="BG613" t="s">
        <v>74</v>
      </c>
      <c r="BH613" t="s">
        <v>74</v>
      </c>
      <c r="BI613">
        <v>20</v>
      </c>
      <c r="BJ613" t="s">
        <v>153</v>
      </c>
      <c r="BK613" t="s">
        <v>98</v>
      </c>
      <c r="BL613" t="s">
        <v>154</v>
      </c>
      <c r="BM613" t="s">
        <v>11618</v>
      </c>
      <c r="BN613" t="s">
        <v>74</v>
      </c>
      <c r="BO613" t="s">
        <v>607</v>
      </c>
      <c r="BP613" t="s">
        <v>74</v>
      </c>
      <c r="BQ613" t="s">
        <v>74</v>
      </c>
      <c r="BR613" t="s">
        <v>101</v>
      </c>
      <c r="BS613" t="s">
        <v>11619</v>
      </c>
      <c r="BT613" t="str">
        <f>HYPERLINK("https%3A%2F%2Fwww.webofscience.com%2Fwos%2Fwoscc%2Ffull-record%2FWOS:000307516900004","View Full Record in Web of Science")</f>
        <v>View Full Record in Web of Science</v>
      </c>
    </row>
    <row r="614" spans="1:72" x14ac:dyDescent="0.15">
      <c r="A614" t="s">
        <v>72</v>
      </c>
      <c r="B614" t="s">
        <v>11620</v>
      </c>
      <c r="C614" t="s">
        <v>74</v>
      </c>
      <c r="D614" t="s">
        <v>74</v>
      </c>
      <c r="E614" t="s">
        <v>74</v>
      </c>
      <c r="F614" t="s">
        <v>11621</v>
      </c>
      <c r="G614" t="s">
        <v>74</v>
      </c>
      <c r="H614" t="s">
        <v>74</v>
      </c>
      <c r="I614" t="s">
        <v>11622</v>
      </c>
      <c r="J614" t="s">
        <v>11623</v>
      </c>
      <c r="K614" t="s">
        <v>74</v>
      </c>
      <c r="L614" t="s">
        <v>74</v>
      </c>
      <c r="M614" t="s">
        <v>78</v>
      </c>
      <c r="N614" t="s">
        <v>79</v>
      </c>
      <c r="O614" t="s">
        <v>74</v>
      </c>
      <c r="P614" t="s">
        <v>74</v>
      </c>
      <c r="Q614" t="s">
        <v>74</v>
      </c>
      <c r="R614" t="s">
        <v>74</v>
      </c>
      <c r="S614" t="s">
        <v>74</v>
      </c>
      <c r="T614" t="s">
        <v>11624</v>
      </c>
      <c r="U614" t="s">
        <v>11625</v>
      </c>
      <c r="V614" t="s">
        <v>11626</v>
      </c>
      <c r="W614" t="s">
        <v>11627</v>
      </c>
      <c r="X614" t="s">
        <v>11628</v>
      </c>
      <c r="Y614" t="s">
        <v>11629</v>
      </c>
      <c r="Z614" t="s">
        <v>11630</v>
      </c>
      <c r="AA614" t="s">
        <v>11631</v>
      </c>
      <c r="AB614" t="s">
        <v>11632</v>
      </c>
      <c r="AC614" t="s">
        <v>11633</v>
      </c>
      <c r="AD614" t="s">
        <v>11634</v>
      </c>
      <c r="AE614" t="s">
        <v>11635</v>
      </c>
      <c r="AF614" t="s">
        <v>74</v>
      </c>
      <c r="AG614">
        <v>61</v>
      </c>
      <c r="AH614">
        <v>7</v>
      </c>
      <c r="AI614">
        <v>7</v>
      </c>
      <c r="AJ614">
        <v>0</v>
      </c>
      <c r="AK614">
        <v>21</v>
      </c>
      <c r="AL614" t="s">
        <v>370</v>
      </c>
      <c r="AM614" t="s">
        <v>371</v>
      </c>
      <c r="AN614" t="s">
        <v>372</v>
      </c>
      <c r="AO614" t="s">
        <v>11636</v>
      </c>
      <c r="AP614" t="s">
        <v>11637</v>
      </c>
      <c r="AQ614" t="s">
        <v>74</v>
      </c>
      <c r="AR614" t="s">
        <v>11638</v>
      </c>
      <c r="AS614" t="s">
        <v>11639</v>
      </c>
      <c r="AT614" t="s">
        <v>10359</v>
      </c>
      <c r="AU614">
        <v>2012</v>
      </c>
      <c r="AV614">
        <v>162</v>
      </c>
      <c r="AW614">
        <v>4</v>
      </c>
      <c r="AX614" t="s">
        <v>74</v>
      </c>
      <c r="AY614" t="s">
        <v>74</v>
      </c>
      <c r="AZ614" t="s">
        <v>74</v>
      </c>
      <c r="BA614" t="s">
        <v>74</v>
      </c>
      <c r="BB614">
        <v>406</v>
      </c>
      <c r="BC614">
        <v>412</v>
      </c>
      <c r="BD614" t="s">
        <v>74</v>
      </c>
      <c r="BE614" t="s">
        <v>11640</v>
      </c>
      <c r="BF614" t="str">
        <f>HYPERLINK("http://dx.doi.org/10.1016/j.cbpa.2012.04.022","http://dx.doi.org/10.1016/j.cbpa.2012.04.022")</f>
        <v>http://dx.doi.org/10.1016/j.cbpa.2012.04.022</v>
      </c>
      <c r="BG614" t="s">
        <v>74</v>
      </c>
      <c r="BH614" t="s">
        <v>74</v>
      </c>
      <c r="BI614">
        <v>7</v>
      </c>
      <c r="BJ614" t="s">
        <v>11641</v>
      </c>
      <c r="BK614" t="s">
        <v>98</v>
      </c>
      <c r="BL614" t="s">
        <v>11641</v>
      </c>
      <c r="BM614" t="s">
        <v>11642</v>
      </c>
      <c r="BN614">
        <v>22561665</v>
      </c>
      <c r="BO614" t="s">
        <v>74</v>
      </c>
      <c r="BP614" t="s">
        <v>74</v>
      </c>
      <c r="BQ614" t="s">
        <v>74</v>
      </c>
      <c r="BR614" t="s">
        <v>101</v>
      </c>
      <c r="BS614" t="s">
        <v>11643</v>
      </c>
      <c r="BT614" t="str">
        <f>HYPERLINK("https%3A%2F%2Fwww.webofscience.com%2Fwos%2Fwoscc%2Ffull-record%2FWOS:000305726200017","View Full Record in Web of Science")</f>
        <v>View Full Record in Web of Science</v>
      </c>
    </row>
    <row r="615" spans="1:72" x14ac:dyDescent="0.15">
      <c r="A615" t="s">
        <v>72</v>
      </c>
      <c r="B615" t="s">
        <v>11644</v>
      </c>
      <c r="C615" t="s">
        <v>74</v>
      </c>
      <c r="D615" t="s">
        <v>74</v>
      </c>
      <c r="E615" t="s">
        <v>74</v>
      </c>
      <c r="F615" t="s">
        <v>11645</v>
      </c>
      <c r="G615" t="s">
        <v>74</v>
      </c>
      <c r="H615" t="s">
        <v>74</v>
      </c>
      <c r="I615" t="s">
        <v>11646</v>
      </c>
      <c r="J615" t="s">
        <v>5252</v>
      </c>
      <c r="K615" t="s">
        <v>74</v>
      </c>
      <c r="L615" t="s">
        <v>74</v>
      </c>
      <c r="M615" t="s">
        <v>78</v>
      </c>
      <c r="N615" t="s">
        <v>79</v>
      </c>
      <c r="O615" t="s">
        <v>74</v>
      </c>
      <c r="P615" t="s">
        <v>74</v>
      </c>
      <c r="Q615" t="s">
        <v>74</v>
      </c>
      <c r="R615" t="s">
        <v>74</v>
      </c>
      <c r="S615" t="s">
        <v>74</v>
      </c>
      <c r="T615" t="s">
        <v>11647</v>
      </c>
      <c r="U615" t="s">
        <v>11648</v>
      </c>
      <c r="V615" t="s">
        <v>11649</v>
      </c>
      <c r="W615" t="s">
        <v>11650</v>
      </c>
      <c r="X615" t="s">
        <v>11651</v>
      </c>
      <c r="Y615" t="s">
        <v>11652</v>
      </c>
      <c r="Z615" t="s">
        <v>11653</v>
      </c>
      <c r="AA615" t="s">
        <v>11654</v>
      </c>
      <c r="AB615" t="s">
        <v>11655</v>
      </c>
      <c r="AC615" t="s">
        <v>11656</v>
      </c>
      <c r="AD615" t="s">
        <v>11657</v>
      </c>
      <c r="AE615" t="s">
        <v>11658</v>
      </c>
      <c r="AF615" t="s">
        <v>74</v>
      </c>
      <c r="AG615">
        <v>40</v>
      </c>
      <c r="AH615">
        <v>91</v>
      </c>
      <c r="AI615">
        <v>98</v>
      </c>
      <c r="AJ615">
        <v>2</v>
      </c>
      <c r="AK615">
        <v>84</v>
      </c>
      <c r="AL615" t="s">
        <v>916</v>
      </c>
      <c r="AM615" t="s">
        <v>899</v>
      </c>
      <c r="AN615" t="s">
        <v>900</v>
      </c>
      <c r="AO615" t="s">
        <v>5265</v>
      </c>
      <c r="AP615" t="s">
        <v>74</v>
      </c>
      <c r="AQ615" t="s">
        <v>74</v>
      </c>
      <c r="AR615" t="s">
        <v>5266</v>
      </c>
      <c r="AS615" t="s">
        <v>5267</v>
      </c>
      <c r="AT615" t="s">
        <v>10359</v>
      </c>
      <c r="AU615">
        <v>2012</v>
      </c>
      <c r="AV615">
        <v>26</v>
      </c>
      <c r="AW615">
        <v>4</v>
      </c>
      <c r="AX615" t="s">
        <v>74</v>
      </c>
      <c r="AY615" t="s">
        <v>74</v>
      </c>
      <c r="AZ615" t="s">
        <v>74</v>
      </c>
      <c r="BA615" t="s">
        <v>74</v>
      </c>
      <c r="BB615">
        <v>717</v>
      </c>
      <c r="BC615">
        <v>723</v>
      </c>
      <c r="BD615" t="s">
        <v>74</v>
      </c>
      <c r="BE615" t="s">
        <v>11659</v>
      </c>
      <c r="BF615" t="str">
        <f>HYPERLINK("http://dx.doi.org/10.1111/j.1523-1739.2012.01865.x","http://dx.doi.org/10.1111/j.1523-1739.2012.01865.x")</f>
        <v>http://dx.doi.org/10.1111/j.1523-1739.2012.01865.x</v>
      </c>
      <c r="BG615" t="s">
        <v>74</v>
      </c>
      <c r="BH615" t="s">
        <v>74</v>
      </c>
      <c r="BI615">
        <v>7</v>
      </c>
      <c r="BJ615" t="s">
        <v>2203</v>
      </c>
      <c r="BK615" t="s">
        <v>98</v>
      </c>
      <c r="BL615" t="s">
        <v>1880</v>
      </c>
      <c r="BM615" t="s">
        <v>11660</v>
      </c>
      <c r="BN615">
        <v>22624790</v>
      </c>
      <c r="BO615" t="s">
        <v>74</v>
      </c>
      <c r="BP615" t="s">
        <v>74</v>
      </c>
      <c r="BQ615" t="s">
        <v>74</v>
      </c>
      <c r="BR615" t="s">
        <v>101</v>
      </c>
      <c r="BS615" t="s">
        <v>11661</v>
      </c>
      <c r="BT615" t="str">
        <f>HYPERLINK("https%3A%2F%2Fwww.webofscience.com%2Fwos%2Fwoscc%2Ffull-record%2FWOS:000306559300016","View Full Record in Web of Science")</f>
        <v>View Full Record in Web of Science</v>
      </c>
    </row>
    <row r="616" spans="1:72" x14ac:dyDescent="0.15">
      <c r="A616" t="s">
        <v>72</v>
      </c>
      <c r="B616" t="s">
        <v>11662</v>
      </c>
      <c r="C616" t="s">
        <v>74</v>
      </c>
      <c r="D616" t="s">
        <v>74</v>
      </c>
      <c r="E616" t="s">
        <v>74</v>
      </c>
      <c r="F616" t="s">
        <v>11663</v>
      </c>
      <c r="G616" t="s">
        <v>74</v>
      </c>
      <c r="H616" t="s">
        <v>74</v>
      </c>
      <c r="I616" t="s">
        <v>11664</v>
      </c>
      <c r="J616" t="s">
        <v>222</v>
      </c>
      <c r="K616" t="s">
        <v>74</v>
      </c>
      <c r="L616" t="s">
        <v>74</v>
      </c>
      <c r="M616" t="s">
        <v>78</v>
      </c>
      <c r="N616" t="s">
        <v>79</v>
      </c>
      <c r="O616" t="s">
        <v>74</v>
      </c>
      <c r="P616" t="s">
        <v>74</v>
      </c>
      <c r="Q616" t="s">
        <v>74</v>
      </c>
      <c r="R616" t="s">
        <v>74</v>
      </c>
      <c r="S616" t="s">
        <v>74</v>
      </c>
      <c r="T616" t="s">
        <v>11665</v>
      </c>
      <c r="U616" t="s">
        <v>11666</v>
      </c>
      <c r="V616" t="s">
        <v>11667</v>
      </c>
      <c r="W616" t="s">
        <v>11668</v>
      </c>
      <c r="X616" t="s">
        <v>11669</v>
      </c>
      <c r="Y616" t="s">
        <v>11670</v>
      </c>
      <c r="Z616" t="s">
        <v>11671</v>
      </c>
      <c r="AA616" t="s">
        <v>11672</v>
      </c>
      <c r="AB616" t="s">
        <v>11673</v>
      </c>
      <c r="AC616" t="s">
        <v>11674</v>
      </c>
      <c r="AD616" t="s">
        <v>11675</v>
      </c>
      <c r="AE616" t="s">
        <v>11676</v>
      </c>
      <c r="AF616" t="s">
        <v>74</v>
      </c>
      <c r="AG616">
        <v>94</v>
      </c>
      <c r="AH616">
        <v>217</v>
      </c>
      <c r="AI616">
        <v>247</v>
      </c>
      <c r="AJ616">
        <v>5</v>
      </c>
      <c r="AK616">
        <v>153</v>
      </c>
      <c r="AL616" t="s">
        <v>259</v>
      </c>
      <c r="AM616" t="s">
        <v>189</v>
      </c>
      <c r="AN616" t="s">
        <v>260</v>
      </c>
      <c r="AO616" t="s">
        <v>235</v>
      </c>
      <c r="AP616" t="s">
        <v>236</v>
      </c>
      <c r="AQ616" t="s">
        <v>74</v>
      </c>
      <c r="AR616" t="s">
        <v>237</v>
      </c>
      <c r="AS616" t="s">
        <v>238</v>
      </c>
      <c r="AT616" t="s">
        <v>10359</v>
      </c>
      <c r="AU616">
        <v>2012</v>
      </c>
      <c r="AV616">
        <v>341</v>
      </c>
      <c r="AW616" t="s">
        <v>74</v>
      </c>
      <c r="AX616" t="s">
        <v>74</v>
      </c>
      <c r="AY616" t="s">
        <v>74</v>
      </c>
      <c r="AZ616" t="s">
        <v>74</v>
      </c>
      <c r="BA616" t="s">
        <v>74</v>
      </c>
      <c r="BB616">
        <v>243</v>
      </c>
      <c r="BC616">
        <v>254</v>
      </c>
      <c r="BD616" t="s">
        <v>74</v>
      </c>
      <c r="BE616" t="s">
        <v>11677</v>
      </c>
      <c r="BF616" t="str">
        <f>HYPERLINK("http://dx.doi.org/10.1016/j.epsl.2012.06.007","http://dx.doi.org/10.1016/j.epsl.2012.06.007")</f>
        <v>http://dx.doi.org/10.1016/j.epsl.2012.06.007</v>
      </c>
      <c r="BG616" t="s">
        <v>74</v>
      </c>
      <c r="BH616" t="s">
        <v>74</v>
      </c>
      <c r="BI616">
        <v>12</v>
      </c>
      <c r="BJ616" t="s">
        <v>241</v>
      </c>
      <c r="BK616" t="s">
        <v>98</v>
      </c>
      <c r="BL616" t="s">
        <v>241</v>
      </c>
      <c r="BM616" t="s">
        <v>10585</v>
      </c>
      <c r="BN616" t="s">
        <v>74</v>
      </c>
      <c r="BO616" t="s">
        <v>74</v>
      </c>
      <c r="BP616" t="s">
        <v>74</v>
      </c>
      <c r="BQ616" t="s">
        <v>74</v>
      </c>
      <c r="BR616" t="s">
        <v>101</v>
      </c>
      <c r="BS616" t="s">
        <v>11678</v>
      </c>
      <c r="BT616" t="str">
        <f>HYPERLINK("https%3A%2F%2Fwww.webofscience.com%2Fwos%2Fwoscc%2Ffull-record%2FWOS:000308624800023","View Full Record in Web of Science")</f>
        <v>View Full Record in Web of Science</v>
      </c>
    </row>
    <row r="617" spans="1:72" x14ac:dyDescent="0.15">
      <c r="A617" t="s">
        <v>72</v>
      </c>
      <c r="B617" t="s">
        <v>11679</v>
      </c>
      <c r="C617" t="s">
        <v>74</v>
      </c>
      <c r="D617" t="s">
        <v>74</v>
      </c>
      <c r="E617" t="s">
        <v>74</v>
      </c>
      <c r="F617" t="s">
        <v>11680</v>
      </c>
      <c r="G617" t="s">
        <v>74</v>
      </c>
      <c r="H617" t="s">
        <v>74</v>
      </c>
      <c r="I617" t="s">
        <v>11681</v>
      </c>
      <c r="J617" t="s">
        <v>11682</v>
      </c>
      <c r="K617" t="s">
        <v>74</v>
      </c>
      <c r="L617" t="s">
        <v>74</v>
      </c>
      <c r="M617" t="s">
        <v>78</v>
      </c>
      <c r="N617" t="s">
        <v>974</v>
      </c>
      <c r="O617" t="s">
        <v>74</v>
      </c>
      <c r="P617" t="s">
        <v>74</v>
      </c>
      <c r="Q617" t="s">
        <v>74</v>
      </c>
      <c r="R617" t="s">
        <v>74</v>
      </c>
      <c r="S617" t="s">
        <v>74</v>
      </c>
      <c r="T617" t="s">
        <v>11683</v>
      </c>
      <c r="U617" t="s">
        <v>11684</v>
      </c>
      <c r="V617" t="s">
        <v>11685</v>
      </c>
      <c r="W617" t="s">
        <v>11686</v>
      </c>
      <c r="X617" t="s">
        <v>11687</v>
      </c>
      <c r="Y617" t="s">
        <v>11688</v>
      </c>
      <c r="Z617" t="s">
        <v>11689</v>
      </c>
      <c r="AA617" t="s">
        <v>11690</v>
      </c>
      <c r="AB617" t="s">
        <v>11691</v>
      </c>
      <c r="AC617" t="s">
        <v>11692</v>
      </c>
      <c r="AD617" t="s">
        <v>11693</v>
      </c>
      <c r="AE617" t="s">
        <v>11694</v>
      </c>
      <c r="AF617" t="s">
        <v>74</v>
      </c>
      <c r="AG617">
        <v>60</v>
      </c>
      <c r="AH617">
        <v>324</v>
      </c>
      <c r="AI617">
        <v>350</v>
      </c>
      <c r="AJ617">
        <v>5</v>
      </c>
      <c r="AK617">
        <v>360</v>
      </c>
      <c r="AL617" t="s">
        <v>916</v>
      </c>
      <c r="AM617" t="s">
        <v>899</v>
      </c>
      <c r="AN617" t="s">
        <v>900</v>
      </c>
      <c r="AO617" t="s">
        <v>11695</v>
      </c>
      <c r="AP617" t="s">
        <v>11696</v>
      </c>
      <c r="AQ617" t="s">
        <v>74</v>
      </c>
      <c r="AR617" t="s">
        <v>11697</v>
      </c>
      <c r="AS617" t="s">
        <v>11698</v>
      </c>
      <c r="AT617" t="s">
        <v>10359</v>
      </c>
      <c r="AU617">
        <v>2012</v>
      </c>
      <c r="AV617">
        <v>15</v>
      </c>
      <c r="AW617">
        <v>8</v>
      </c>
      <c r="AX617" t="s">
        <v>74</v>
      </c>
      <c r="AY617" t="s">
        <v>74</v>
      </c>
      <c r="AZ617" t="s">
        <v>74</v>
      </c>
      <c r="BA617" t="s">
        <v>74</v>
      </c>
      <c r="BB617">
        <v>912</v>
      </c>
      <c r="BC617">
        <v>922</v>
      </c>
      <c r="BD617" t="s">
        <v>74</v>
      </c>
      <c r="BE617" t="s">
        <v>11699</v>
      </c>
      <c r="BF617" t="str">
        <f>HYPERLINK("http://dx.doi.org/10.1111/j.1461-0248.2012.01804.x","http://dx.doi.org/10.1111/j.1461-0248.2012.01804.x")</f>
        <v>http://dx.doi.org/10.1111/j.1461-0248.2012.01804.x</v>
      </c>
      <c r="BG617" t="s">
        <v>74</v>
      </c>
      <c r="BH617" t="s">
        <v>74</v>
      </c>
      <c r="BI617">
        <v>11</v>
      </c>
      <c r="BJ617" t="s">
        <v>515</v>
      </c>
      <c r="BK617" t="s">
        <v>98</v>
      </c>
      <c r="BL617" t="s">
        <v>333</v>
      </c>
      <c r="BM617" t="s">
        <v>11700</v>
      </c>
      <c r="BN617">
        <v>22639820</v>
      </c>
      <c r="BO617" t="s">
        <v>1499</v>
      </c>
      <c r="BP617" t="s">
        <v>74</v>
      </c>
      <c r="BQ617" t="s">
        <v>74</v>
      </c>
      <c r="BR617" t="s">
        <v>101</v>
      </c>
      <c r="BS617" t="s">
        <v>11701</v>
      </c>
      <c r="BT617" t="str">
        <f>HYPERLINK("https%3A%2F%2Fwww.webofscience.com%2Fwos%2Fwoscc%2Ffull-record%2FWOS:000305943000017","View Full Record in Web of Science")</f>
        <v>View Full Record in Web of Science</v>
      </c>
    </row>
    <row r="618" spans="1:72" x14ac:dyDescent="0.15">
      <c r="A618" t="s">
        <v>72</v>
      </c>
      <c r="B618" t="s">
        <v>11702</v>
      </c>
      <c r="C618" t="s">
        <v>74</v>
      </c>
      <c r="D618" t="s">
        <v>74</v>
      </c>
      <c r="E618" t="s">
        <v>74</v>
      </c>
      <c r="F618" t="s">
        <v>11703</v>
      </c>
      <c r="G618" t="s">
        <v>74</v>
      </c>
      <c r="H618" t="s">
        <v>74</v>
      </c>
      <c r="I618" t="s">
        <v>11704</v>
      </c>
      <c r="J618" t="s">
        <v>11705</v>
      </c>
      <c r="K618" t="s">
        <v>74</v>
      </c>
      <c r="L618" t="s">
        <v>74</v>
      </c>
      <c r="M618" t="s">
        <v>78</v>
      </c>
      <c r="N618" t="s">
        <v>2829</v>
      </c>
      <c r="O618" t="s">
        <v>74</v>
      </c>
      <c r="P618" t="s">
        <v>74</v>
      </c>
      <c r="Q618" t="s">
        <v>74</v>
      </c>
      <c r="R618" t="s">
        <v>74</v>
      </c>
      <c r="S618" t="s">
        <v>74</v>
      </c>
      <c r="T618" t="s">
        <v>74</v>
      </c>
      <c r="U618" t="s">
        <v>74</v>
      </c>
      <c r="V618" t="s">
        <v>74</v>
      </c>
      <c r="W618" t="s">
        <v>11706</v>
      </c>
      <c r="X618" t="s">
        <v>636</v>
      </c>
      <c r="Y618" t="s">
        <v>11707</v>
      </c>
      <c r="Z618" t="s">
        <v>11708</v>
      </c>
      <c r="AA618" t="s">
        <v>74</v>
      </c>
      <c r="AB618" t="s">
        <v>74</v>
      </c>
      <c r="AC618" t="s">
        <v>11376</v>
      </c>
      <c r="AD618" t="s">
        <v>5910</v>
      </c>
      <c r="AE618" t="s">
        <v>74</v>
      </c>
      <c r="AF618" t="s">
        <v>74</v>
      </c>
      <c r="AG618">
        <v>6</v>
      </c>
      <c r="AH618">
        <v>4</v>
      </c>
      <c r="AI618">
        <v>8</v>
      </c>
      <c r="AJ618">
        <v>0</v>
      </c>
      <c r="AK618">
        <v>40</v>
      </c>
      <c r="AL618" t="s">
        <v>1034</v>
      </c>
      <c r="AM618" t="s">
        <v>90</v>
      </c>
      <c r="AN618" t="s">
        <v>1035</v>
      </c>
      <c r="AO618" t="s">
        <v>11709</v>
      </c>
      <c r="AP618" t="s">
        <v>11710</v>
      </c>
      <c r="AQ618" t="s">
        <v>74</v>
      </c>
      <c r="AR618" t="s">
        <v>11711</v>
      </c>
      <c r="AS618" t="s">
        <v>11712</v>
      </c>
      <c r="AT618" t="s">
        <v>10359</v>
      </c>
      <c r="AU618">
        <v>2012</v>
      </c>
      <c r="AV618">
        <v>5</v>
      </c>
      <c r="AW618">
        <v>4</v>
      </c>
      <c r="AX618" t="s">
        <v>74</v>
      </c>
      <c r="AY618" t="s">
        <v>74</v>
      </c>
      <c r="AZ618" t="s">
        <v>74</v>
      </c>
      <c r="BA618" t="s">
        <v>74</v>
      </c>
      <c r="BB618">
        <v>379</v>
      </c>
      <c r="BC618">
        <v>380</v>
      </c>
      <c r="BD618" t="s">
        <v>74</v>
      </c>
      <c r="BE618" t="s">
        <v>11713</v>
      </c>
      <c r="BF618" t="str">
        <f>HYPERLINK("http://dx.doi.org/10.1016/j.funeco.2012.04.003","http://dx.doi.org/10.1016/j.funeco.2012.04.003")</f>
        <v>http://dx.doi.org/10.1016/j.funeco.2012.04.003</v>
      </c>
      <c r="BG618" t="s">
        <v>74</v>
      </c>
      <c r="BH618" t="s">
        <v>74</v>
      </c>
      <c r="BI618">
        <v>2</v>
      </c>
      <c r="BJ618" t="s">
        <v>11714</v>
      </c>
      <c r="BK618" t="s">
        <v>98</v>
      </c>
      <c r="BL618" t="s">
        <v>11715</v>
      </c>
      <c r="BM618" t="s">
        <v>11716</v>
      </c>
      <c r="BN618" t="s">
        <v>74</v>
      </c>
      <c r="BO618" t="s">
        <v>74</v>
      </c>
      <c r="BP618" t="s">
        <v>74</v>
      </c>
      <c r="BQ618" t="s">
        <v>74</v>
      </c>
      <c r="BR618" t="s">
        <v>101</v>
      </c>
      <c r="BS618" t="s">
        <v>11717</v>
      </c>
      <c r="BT618" t="str">
        <f>HYPERLINK("https%3A%2F%2Fwww.webofscience.com%2Fwos%2Fwoscc%2Ffull-record%2FWOS:000306157800001","View Full Record in Web of Science")</f>
        <v>View Full Record in Web of Science</v>
      </c>
    </row>
    <row r="619" spans="1:72" x14ac:dyDescent="0.15">
      <c r="A619" t="s">
        <v>72</v>
      </c>
      <c r="B619" t="s">
        <v>11718</v>
      </c>
      <c r="C619" t="s">
        <v>74</v>
      </c>
      <c r="D619" t="s">
        <v>74</v>
      </c>
      <c r="E619" t="s">
        <v>74</v>
      </c>
      <c r="F619" t="s">
        <v>11719</v>
      </c>
      <c r="G619" t="s">
        <v>74</v>
      </c>
      <c r="H619" t="s">
        <v>74</v>
      </c>
      <c r="I619" t="s">
        <v>11720</v>
      </c>
      <c r="J619" t="s">
        <v>11705</v>
      </c>
      <c r="K619" t="s">
        <v>74</v>
      </c>
      <c r="L619" t="s">
        <v>74</v>
      </c>
      <c r="M619" t="s">
        <v>78</v>
      </c>
      <c r="N619" t="s">
        <v>471</v>
      </c>
      <c r="O619" t="s">
        <v>11721</v>
      </c>
      <c r="P619" t="s">
        <v>11722</v>
      </c>
      <c r="Q619" t="s">
        <v>11723</v>
      </c>
      <c r="R619" t="s">
        <v>74</v>
      </c>
      <c r="S619" t="s">
        <v>74</v>
      </c>
      <c r="T619" t="s">
        <v>11724</v>
      </c>
      <c r="U619" t="s">
        <v>11725</v>
      </c>
      <c r="V619" t="s">
        <v>11726</v>
      </c>
      <c r="W619" t="s">
        <v>11727</v>
      </c>
      <c r="X619" t="s">
        <v>11728</v>
      </c>
      <c r="Y619" t="s">
        <v>11729</v>
      </c>
      <c r="Z619" t="s">
        <v>11730</v>
      </c>
      <c r="AA619" t="s">
        <v>74</v>
      </c>
      <c r="AB619" t="s">
        <v>74</v>
      </c>
      <c r="AC619" t="s">
        <v>74</v>
      </c>
      <c r="AD619" t="s">
        <v>74</v>
      </c>
      <c r="AE619" t="s">
        <v>74</v>
      </c>
      <c r="AF619" t="s">
        <v>74</v>
      </c>
      <c r="AG619">
        <v>109</v>
      </c>
      <c r="AH619">
        <v>58</v>
      </c>
      <c r="AI619">
        <v>66</v>
      </c>
      <c r="AJ619">
        <v>0</v>
      </c>
      <c r="AK619">
        <v>24</v>
      </c>
      <c r="AL619" t="s">
        <v>1034</v>
      </c>
      <c r="AM619" t="s">
        <v>90</v>
      </c>
      <c r="AN619" t="s">
        <v>1035</v>
      </c>
      <c r="AO619" t="s">
        <v>11709</v>
      </c>
      <c r="AP619" t="s">
        <v>11710</v>
      </c>
      <c r="AQ619" t="s">
        <v>74</v>
      </c>
      <c r="AR619" t="s">
        <v>11711</v>
      </c>
      <c r="AS619" t="s">
        <v>11712</v>
      </c>
      <c r="AT619" t="s">
        <v>10359</v>
      </c>
      <c r="AU619">
        <v>2012</v>
      </c>
      <c r="AV619">
        <v>5</v>
      </c>
      <c r="AW619">
        <v>4</v>
      </c>
      <c r="AX619" t="s">
        <v>74</v>
      </c>
      <c r="AY619" t="s">
        <v>74</v>
      </c>
      <c r="AZ619" t="s">
        <v>74</v>
      </c>
      <c r="BA619" t="s">
        <v>74</v>
      </c>
      <c r="BB619">
        <v>381</v>
      </c>
      <c r="BC619">
        <v>394</v>
      </c>
      <c r="BD619" t="s">
        <v>74</v>
      </c>
      <c r="BE619" t="s">
        <v>11731</v>
      </c>
      <c r="BF619" t="str">
        <f>HYPERLINK("http://dx.doi.org/10.1016/j.funeco.2012.01.007","http://dx.doi.org/10.1016/j.funeco.2012.01.007")</f>
        <v>http://dx.doi.org/10.1016/j.funeco.2012.01.007</v>
      </c>
      <c r="BG619" t="s">
        <v>74</v>
      </c>
      <c r="BH619" t="s">
        <v>74</v>
      </c>
      <c r="BI619">
        <v>14</v>
      </c>
      <c r="BJ619" t="s">
        <v>11714</v>
      </c>
      <c r="BK619" t="s">
        <v>491</v>
      </c>
      <c r="BL619" t="s">
        <v>11715</v>
      </c>
      <c r="BM619" t="s">
        <v>11716</v>
      </c>
      <c r="BN619" t="s">
        <v>74</v>
      </c>
      <c r="BO619" t="s">
        <v>74</v>
      </c>
      <c r="BP619" t="s">
        <v>74</v>
      </c>
      <c r="BQ619" t="s">
        <v>74</v>
      </c>
      <c r="BR619" t="s">
        <v>101</v>
      </c>
      <c r="BS619" t="s">
        <v>11732</v>
      </c>
      <c r="BT619" t="str">
        <f>HYPERLINK("https%3A%2F%2Fwww.webofscience.com%2Fwos%2Fwoscc%2Ffull-record%2FWOS:000306157800002","View Full Record in Web of Science")</f>
        <v>View Full Record in Web of Science</v>
      </c>
    </row>
    <row r="620" spans="1:72" x14ac:dyDescent="0.15">
      <c r="A620" t="s">
        <v>72</v>
      </c>
      <c r="B620" t="s">
        <v>11733</v>
      </c>
      <c r="C620" t="s">
        <v>74</v>
      </c>
      <c r="D620" t="s">
        <v>74</v>
      </c>
      <c r="E620" t="s">
        <v>74</v>
      </c>
      <c r="F620" t="s">
        <v>11734</v>
      </c>
      <c r="G620" t="s">
        <v>74</v>
      </c>
      <c r="H620" t="s">
        <v>74</v>
      </c>
      <c r="I620" t="s">
        <v>11735</v>
      </c>
      <c r="J620" t="s">
        <v>11705</v>
      </c>
      <c r="K620" t="s">
        <v>74</v>
      </c>
      <c r="L620" t="s">
        <v>74</v>
      </c>
      <c r="M620" t="s">
        <v>78</v>
      </c>
      <c r="N620" t="s">
        <v>471</v>
      </c>
      <c r="O620" t="s">
        <v>11721</v>
      </c>
      <c r="P620" t="s">
        <v>11722</v>
      </c>
      <c r="Q620" t="s">
        <v>11723</v>
      </c>
      <c r="R620" t="s">
        <v>74</v>
      </c>
      <c r="S620" t="s">
        <v>74</v>
      </c>
      <c r="T620" t="s">
        <v>11736</v>
      </c>
      <c r="U620" t="s">
        <v>11737</v>
      </c>
      <c r="V620" t="s">
        <v>11738</v>
      </c>
      <c r="W620" t="s">
        <v>11739</v>
      </c>
      <c r="X620" t="s">
        <v>11740</v>
      </c>
      <c r="Y620" t="s">
        <v>11741</v>
      </c>
      <c r="Z620" t="s">
        <v>11742</v>
      </c>
      <c r="AA620" t="s">
        <v>74</v>
      </c>
      <c r="AB620" t="s">
        <v>74</v>
      </c>
      <c r="AC620" t="s">
        <v>11743</v>
      </c>
      <c r="AD620" t="s">
        <v>11744</v>
      </c>
      <c r="AE620" t="s">
        <v>74</v>
      </c>
      <c r="AF620" t="s">
        <v>74</v>
      </c>
      <c r="AG620">
        <v>66</v>
      </c>
      <c r="AH620">
        <v>29</v>
      </c>
      <c r="AI620">
        <v>40</v>
      </c>
      <c r="AJ620">
        <v>2</v>
      </c>
      <c r="AK620">
        <v>48</v>
      </c>
      <c r="AL620" t="s">
        <v>1034</v>
      </c>
      <c r="AM620" t="s">
        <v>90</v>
      </c>
      <c r="AN620" t="s">
        <v>1035</v>
      </c>
      <c r="AO620" t="s">
        <v>11709</v>
      </c>
      <c r="AP620" t="s">
        <v>74</v>
      </c>
      <c r="AQ620" t="s">
        <v>74</v>
      </c>
      <c r="AR620" t="s">
        <v>11711</v>
      </c>
      <c r="AS620" t="s">
        <v>11712</v>
      </c>
      <c r="AT620" t="s">
        <v>10359</v>
      </c>
      <c r="AU620">
        <v>2012</v>
      </c>
      <c r="AV620">
        <v>5</v>
      </c>
      <c r="AW620">
        <v>4</v>
      </c>
      <c r="AX620" t="s">
        <v>74</v>
      </c>
      <c r="AY620" t="s">
        <v>74</v>
      </c>
      <c r="AZ620" t="s">
        <v>74</v>
      </c>
      <c r="BA620" t="s">
        <v>74</v>
      </c>
      <c r="BB620">
        <v>395</v>
      </c>
      <c r="BC620">
        <v>402</v>
      </c>
      <c r="BD620" t="s">
        <v>74</v>
      </c>
      <c r="BE620" t="s">
        <v>11745</v>
      </c>
      <c r="BF620" t="str">
        <f>HYPERLINK("http://dx.doi.org/10.1016/j.funeco.2012.01.003","http://dx.doi.org/10.1016/j.funeco.2012.01.003")</f>
        <v>http://dx.doi.org/10.1016/j.funeco.2012.01.003</v>
      </c>
      <c r="BG620" t="s">
        <v>74</v>
      </c>
      <c r="BH620" t="s">
        <v>74</v>
      </c>
      <c r="BI620">
        <v>8</v>
      </c>
      <c r="BJ620" t="s">
        <v>11714</v>
      </c>
      <c r="BK620" t="s">
        <v>491</v>
      </c>
      <c r="BL620" t="s">
        <v>11715</v>
      </c>
      <c r="BM620" t="s">
        <v>11716</v>
      </c>
      <c r="BN620" t="s">
        <v>74</v>
      </c>
      <c r="BO620" t="s">
        <v>74</v>
      </c>
      <c r="BP620" t="s">
        <v>74</v>
      </c>
      <c r="BQ620" t="s">
        <v>74</v>
      </c>
      <c r="BR620" t="s">
        <v>101</v>
      </c>
      <c r="BS620" t="s">
        <v>11746</v>
      </c>
      <c r="BT620" t="str">
        <f>HYPERLINK("https%3A%2F%2Fwww.webofscience.com%2Fwos%2Fwoscc%2Ffull-record%2FWOS:000306157800003","View Full Record in Web of Science")</f>
        <v>View Full Record in Web of Science</v>
      </c>
    </row>
    <row r="621" spans="1:72" x14ac:dyDescent="0.15">
      <c r="A621" t="s">
        <v>72</v>
      </c>
      <c r="B621" t="s">
        <v>11747</v>
      </c>
      <c r="C621" t="s">
        <v>74</v>
      </c>
      <c r="D621" t="s">
        <v>74</v>
      </c>
      <c r="E621" t="s">
        <v>74</v>
      </c>
      <c r="F621" t="s">
        <v>11748</v>
      </c>
      <c r="G621" t="s">
        <v>74</v>
      </c>
      <c r="H621" t="s">
        <v>74</v>
      </c>
      <c r="I621" t="s">
        <v>11749</v>
      </c>
      <c r="J621" t="s">
        <v>11705</v>
      </c>
      <c r="K621" t="s">
        <v>74</v>
      </c>
      <c r="L621" t="s">
        <v>74</v>
      </c>
      <c r="M621" t="s">
        <v>78</v>
      </c>
      <c r="N621" t="s">
        <v>471</v>
      </c>
      <c r="O621" t="s">
        <v>11721</v>
      </c>
      <c r="P621" t="s">
        <v>11722</v>
      </c>
      <c r="Q621" t="s">
        <v>11723</v>
      </c>
      <c r="R621" t="s">
        <v>74</v>
      </c>
      <c r="S621" t="s">
        <v>74</v>
      </c>
      <c r="T621" t="s">
        <v>11750</v>
      </c>
      <c r="U621" t="s">
        <v>11751</v>
      </c>
      <c r="V621" t="s">
        <v>11752</v>
      </c>
      <c r="W621" t="s">
        <v>11753</v>
      </c>
      <c r="X621" t="s">
        <v>11754</v>
      </c>
      <c r="Y621" t="s">
        <v>11755</v>
      </c>
      <c r="Z621" t="s">
        <v>11756</v>
      </c>
      <c r="AA621" t="s">
        <v>11757</v>
      </c>
      <c r="AB621" t="s">
        <v>11758</v>
      </c>
      <c r="AC621" t="s">
        <v>11376</v>
      </c>
      <c r="AD621" t="s">
        <v>5910</v>
      </c>
      <c r="AE621" t="s">
        <v>74</v>
      </c>
      <c r="AF621" t="s">
        <v>74</v>
      </c>
      <c r="AG621">
        <v>27</v>
      </c>
      <c r="AH621">
        <v>28</v>
      </c>
      <c r="AI621">
        <v>32</v>
      </c>
      <c r="AJ621">
        <v>0</v>
      </c>
      <c r="AK621">
        <v>26</v>
      </c>
      <c r="AL621" t="s">
        <v>1034</v>
      </c>
      <c r="AM621" t="s">
        <v>90</v>
      </c>
      <c r="AN621" t="s">
        <v>1035</v>
      </c>
      <c r="AO621" t="s">
        <v>11709</v>
      </c>
      <c r="AP621" t="s">
        <v>74</v>
      </c>
      <c r="AQ621" t="s">
        <v>74</v>
      </c>
      <c r="AR621" t="s">
        <v>11711</v>
      </c>
      <c r="AS621" t="s">
        <v>11712</v>
      </c>
      <c r="AT621" t="s">
        <v>10359</v>
      </c>
      <c r="AU621">
        <v>2012</v>
      </c>
      <c r="AV621">
        <v>5</v>
      </c>
      <c r="AW621">
        <v>4</v>
      </c>
      <c r="AX621" t="s">
        <v>74</v>
      </c>
      <c r="AY621" t="s">
        <v>74</v>
      </c>
      <c r="AZ621" t="s">
        <v>74</v>
      </c>
      <c r="BA621" t="s">
        <v>74</v>
      </c>
      <c r="BB621">
        <v>403</v>
      </c>
      <c r="BC621">
        <v>408</v>
      </c>
      <c r="BD621" t="s">
        <v>74</v>
      </c>
      <c r="BE621" t="s">
        <v>11759</v>
      </c>
      <c r="BF621" t="str">
        <f>HYPERLINK("http://dx.doi.org/10.1016/j.funeco.2011.12.002","http://dx.doi.org/10.1016/j.funeco.2011.12.002")</f>
        <v>http://dx.doi.org/10.1016/j.funeco.2011.12.002</v>
      </c>
      <c r="BG621" t="s">
        <v>74</v>
      </c>
      <c r="BH621" t="s">
        <v>74</v>
      </c>
      <c r="BI621">
        <v>6</v>
      </c>
      <c r="BJ621" t="s">
        <v>11714</v>
      </c>
      <c r="BK621" t="s">
        <v>491</v>
      </c>
      <c r="BL621" t="s">
        <v>11715</v>
      </c>
      <c r="BM621" t="s">
        <v>11716</v>
      </c>
      <c r="BN621" t="s">
        <v>74</v>
      </c>
      <c r="BO621" t="s">
        <v>74</v>
      </c>
      <c r="BP621" t="s">
        <v>74</v>
      </c>
      <c r="BQ621" t="s">
        <v>74</v>
      </c>
      <c r="BR621" t="s">
        <v>101</v>
      </c>
      <c r="BS621" t="s">
        <v>11760</v>
      </c>
      <c r="BT621" t="str">
        <f>HYPERLINK("https%3A%2F%2Fwww.webofscience.com%2Fwos%2Fwoscc%2Ffull-record%2FWOS:000306157800004","View Full Record in Web of Science")</f>
        <v>View Full Record in Web of Science</v>
      </c>
    </row>
    <row r="622" spans="1:72" x14ac:dyDescent="0.15">
      <c r="A622" t="s">
        <v>72</v>
      </c>
      <c r="B622" t="s">
        <v>11761</v>
      </c>
      <c r="C622" t="s">
        <v>74</v>
      </c>
      <c r="D622" t="s">
        <v>74</v>
      </c>
      <c r="E622" t="s">
        <v>74</v>
      </c>
      <c r="F622" t="s">
        <v>11762</v>
      </c>
      <c r="G622" t="s">
        <v>74</v>
      </c>
      <c r="H622" t="s">
        <v>74</v>
      </c>
      <c r="I622" t="s">
        <v>11763</v>
      </c>
      <c r="J622" t="s">
        <v>11705</v>
      </c>
      <c r="K622" t="s">
        <v>74</v>
      </c>
      <c r="L622" t="s">
        <v>74</v>
      </c>
      <c r="M622" t="s">
        <v>78</v>
      </c>
      <c r="N622" t="s">
        <v>471</v>
      </c>
      <c r="O622" t="s">
        <v>11721</v>
      </c>
      <c r="P622" t="s">
        <v>11722</v>
      </c>
      <c r="Q622" t="s">
        <v>11723</v>
      </c>
      <c r="R622" t="s">
        <v>74</v>
      </c>
      <c r="S622" t="s">
        <v>74</v>
      </c>
      <c r="T622" t="s">
        <v>11764</v>
      </c>
      <c r="U622" t="s">
        <v>11765</v>
      </c>
      <c r="V622" t="s">
        <v>11766</v>
      </c>
      <c r="W622" t="s">
        <v>11767</v>
      </c>
      <c r="X622" t="s">
        <v>11768</v>
      </c>
      <c r="Y622" t="s">
        <v>11769</v>
      </c>
      <c r="Z622" t="s">
        <v>11770</v>
      </c>
      <c r="AA622" t="s">
        <v>11771</v>
      </c>
      <c r="AB622" t="s">
        <v>11772</v>
      </c>
      <c r="AC622" t="s">
        <v>11773</v>
      </c>
      <c r="AD622" t="s">
        <v>11774</v>
      </c>
      <c r="AE622" t="s">
        <v>74</v>
      </c>
      <c r="AF622" t="s">
        <v>74</v>
      </c>
      <c r="AG622">
        <v>59</v>
      </c>
      <c r="AH622">
        <v>46</v>
      </c>
      <c r="AI622">
        <v>54</v>
      </c>
      <c r="AJ622">
        <v>1</v>
      </c>
      <c r="AK622">
        <v>66</v>
      </c>
      <c r="AL622" t="s">
        <v>1034</v>
      </c>
      <c r="AM622" t="s">
        <v>90</v>
      </c>
      <c r="AN622" t="s">
        <v>1035</v>
      </c>
      <c r="AO622" t="s">
        <v>11709</v>
      </c>
      <c r="AP622" t="s">
        <v>11710</v>
      </c>
      <c r="AQ622" t="s">
        <v>74</v>
      </c>
      <c r="AR622" t="s">
        <v>11711</v>
      </c>
      <c r="AS622" t="s">
        <v>11712</v>
      </c>
      <c r="AT622" t="s">
        <v>10359</v>
      </c>
      <c r="AU622">
        <v>2012</v>
      </c>
      <c r="AV622">
        <v>5</v>
      </c>
      <c r="AW622">
        <v>4</v>
      </c>
      <c r="AX622" t="s">
        <v>74</v>
      </c>
      <c r="AY622" t="s">
        <v>74</v>
      </c>
      <c r="AZ622" t="s">
        <v>74</v>
      </c>
      <c r="BA622" t="s">
        <v>74</v>
      </c>
      <c r="BB622">
        <v>443</v>
      </c>
      <c r="BC622">
        <v>452</v>
      </c>
      <c r="BD622" t="s">
        <v>74</v>
      </c>
      <c r="BE622" t="s">
        <v>11775</v>
      </c>
      <c r="BF622" t="str">
        <f>HYPERLINK("http://dx.doi.org/10.1016/j.funeco.2011.10.005","http://dx.doi.org/10.1016/j.funeco.2011.10.005")</f>
        <v>http://dx.doi.org/10.1016/j.funeco.2011.10.005</v>
      </c>
      <c r="BG622" t="s">
        <v>74</v>
      </c>
      <c r="BH622" t="s">
        <v>74</v>
      </c>
      <c r="BI622">
        <v>10</v>
      </c>
      <c r="BJ622" t="s">
        <v>11714</v>
      </c>
      <c r="BK622" t="s">
        <v>491</v>
      </c>
      <c r="BL622" t="s">
        <v>11715</v>
      </c>
      <c r="BM622" t="s">
        <v>11716</v>
      </c>
      <c r="BN622" t="s">
        <v>74</v>
      </c>
      <c r="BO622" t="s">
        <v>74</v>
      </c>
      <c r="BP622" t="s">
        <v>74</v>
      </c>
      <c r="BQ622" t="s">
        <v>74</v>
      </c>
      <c r="BR622" t="s">
        <v>101</v>
      </c>
      <c r="BS622" t="s">
        <v>11776</v>
      </c>
      <c r="BT622" t="str">
        <f>HYPERLINK("https%3A%2F%2Fwww.webofscience.com%2Fwos%2Fwoscc%2Ffull-record%2FWOS:000306157800008","View Full Record in Web of Science")</f>
        <v>View Full Record in Web of Science</v>
      </c>
    </row>
    <row r="623" spans="1:72" x14ac:dyDescent="0.15">
      <c r="A623" t="s">
        <v>72</v>
      </c>
      <c r="B623" t="s">
        <v>11777</v>
      </c>
      <c r="C623" t="s">
        <v>74</v>
      </c>
      <c r="D623" t="s">
        <v>74</v>
      </c>
      <c r="E623" t="s">
        <v>74</v>
      </c>
      <c r="F623" t="s">
        <v>11778</v>
      </c>
      <c r="G623" t="s">
        <v>74</v>
      </c>
      <c r="H623" t="s">
        <v>74</v>
      </c>
      <c r="I623" t="s">
        <v>11779</v>
      </c>
      <c r="J623" t="s">
        <v>11705</v>
      </c>
      <c r="K623" t="s">
        <v>74</v>
      </c>
      <c r="L623" t="s">
        <v>74</v>
      </c>
      <c r="M623" t="s">
        <v>78</v>
      </c>
      <c r="N623" t="s">
        <v>471</v>
      </c>
      <c r="O623" t="s">
        <v>11721</v>
      </c>
      <c r="P623" t="s">
        <v>11722</v>
      </c>
      <c r="Q623" t="s">
        <v>11723</v>
      </c>
      <c r="R623" t="s">
        <v>74</v>
      </c>
      <c r="S623" t="s">
        <v>74</v>
      </c>
      <c r="T623" t="s">
        <v>11780</v>
      </c>
      <c r="U623" t="s">
        <v>11781</v>
      </c>
      <c r="V623" t="s">
        <v>11782</v>
      </c>
      <c r="W623" t="s">
        <v>11783</v>
      </c>
      <c r="X623" t="s">
        <v>11784</v>
      </c>
      <c r="Y623" t="s">
        <v>11785</v>
      </c>
      <c r="Z623" t="s">
        <v>11786</v>
      </c>
      <c r="AA623" t="s">
        <v>11787</v>
      </c>
      <c r="AB623" t="s">
        <v>11788</v>
      </c>
      <c r="AC623" t="s">
        <v>74</v>
      </c>
      <c r="AD623" t="s">
        <v>74</v>
      </c>
      <c r="AE623" t="s">
        <v>74</v>
      </c>
      <c r="AF623" t="s">
        <v>74</v>
      </c>
      <c r="AG623">
        <v>101</v>
      </c>
      <c r="AH623">
        <v>134</v>
      </c>
      <c r="AI623">
        <v>151</v>
      </c>
      <c r="AJ623">
        <v>6</v>
      </c>
      <c r="AK623">
        <v>73</v>
      </c>
      <c r="AL623" t="s">
        <v>1034</v>
      </c>
      <c r="AM623" t="s">
        <v>90</v>
      </c>
      <c r="AN623" t="s">
        <v>1035</v>
      </c>
      <c r="AO623" t="s">
        <v>11709</v>
      </c>
      <c r="AP623" t="s">
        <v>11710</v>
      </c>
      <c r="AQ623" t="s">
        <v>74</v>
      </c>
      <c r="AR623" t="s">
        <v>11711</v>
      </c>
      <c r="AS623" t="s">
        <v>11712</v>
      </c>
      <c r="AT623" t="s">
        <v>10359</v>
      </c>
      <c r="AU623">
        <v>2012</v>
      </c>
      <c r="AV623">
        <v>5</v>
      </c>
      <c r="AW623">
        <v>4</v>
      </c>
      <c r="AX623" t="s">
        <v>74</v>
      </c>
      <c r="AY623" t="s">
        <v>74</v>
      </c>
      <c r="AZ623" t="s">
        <v>74</v>
      </c>
      <c r="BA623" t="s">
        <v>74</v>
      </c>
      <c r="BB623">
        <v>453</v>
      </c>
      <c r="BC623">
        <v>462</v>
      </c>
      <c r="BD623" t="s">
        <v>74</v>
      </c>
      <c r="BE623" t="s">
        <v>11789</v>
      </c>
      <c r="BF623" t="str">
        <f>HYPERLINK("http://dx.doi.org/10.1016/j.funeco.2011.12.007","http://dx.doi.org/10.1016/j.funeco.2011.12.007")</f>
        <v>http://dx.doi.org/10.1016/j.funeco.2011.12.007</v>
      </c>
      <c r="BG623" t="s">
        <v>74</v>
      </c>
      <c r="BH623" t="s">
        <v>74</v>
      </c>
      <c r="BI623">
        <v>10</v>
      </c>
      <c r="BJ623" t="s">
        <v>11714</v>
      </c>
      <c r="BK623" t="s">
        <v>491</v>
      </c>
      <c r="BL623" t="s">
        <v>11715</v>
      </c>
      <c r="BM623" t="s">
        <v>11716</v>
      </c>
      <c r="BN623" t="s">
        <v>74</v>
      </c>
      <c r="BO623" t="s">
        <v>74</v>
      </c>
      <c r="BP623" t="s">
        <v>74</v>
      </c>
      <c r="BQ623" t="s">
        <v>74</v>
      </c>
      <c r="BR623" t="s">
        <v>101</v>
      </c>
      <c r="BS623" t="s">
        <v>11790</v>
      </c>
      <c r="BT623" t="str">
        <f>HYPERLINK("https%3A%2F%2Fwww.webofscience.com%2Fwos%2Fwoscc%2Ffull-record%2FWOS:000306157800009","View Full Record in Web of Science")</f>
        <v>View Full Record in Web of Science</v>
      </c>
    </row>
    <row r="624" spans="1:72" x14ac:dyDescent="0.15">
      <c r="A624" t="s">
        <v>72</v>
      </c>
      <c r="B624" t="s">
        <v>11791</v>
      </c>
      <c r="C624" t="s">
        <v>74</v>
      </c>
      <c r="D624" t="s">
        <v>74</v>
      </c>
      <c r="E624" t="s">
        <v>74</v>
      </c>
      <c r="F624" t="s">
        <v>11792</v>
      </c>
      <c r="G624" t="s">
        <v>74</v>
      </c>
      <c r="H624" t="s">
        <v>74</v>
      </c>
      <c r="I624" t="s">
        <v>11793</v>
      </c>
      <c r="J624" t="s">
        <v>5659</v>
      </c>
      <c r="K624" t="s">
        <v>74</v>
      </c>
      <c r="L624" t="s">
        <v>74</v>
      </c>
      <c r="M624" t="s">
        <v>78</v>
      </c>
      <c r="N624" t="s">
        <v>79</v>
      </c>
      <c r="O624" t="s">
        <v>74</v>
      </c>
      <c r="P624" t="s">
        <v>74</v>
      </c>
      <c r="Q624" t="s">
        <v>74</v>
      </c>
      <c r="R624" t="s">
        <v>74</v>
      </c>
      <c r="S624" t="s">
        <v>74</v>
      </c>
      <c r="T624" t="s">
        <v>11794</v>
      </c>
      <c r="U624" t="s">
        <v>11795</v>
      </c>
      <c r="V624" t="s">
        <v>11796</v>
      </c>
      <c r="W624" t="s">
        <v>11797</v>
      </c>
      <c r="X624" t="s">
        <v>11798</v>
      </c>
      <c r="Y624" t="s">
        <v>11799</v>
      </c>
      <c r="Z624" t="s">
        <v>11800</v>
      </c>
      <c r="AA624" t="s">
        <v>9678</v>
      </c>
      <c r="AB624" t="s">
        <v>11801</v>
      </c>
      <c r="AC624" t="s">
        <v>11802</v>
      </c>
      <c r="AD624" t="s">
        <v>11803</v>
      </c>
      <c r="AE624" t="s">
        <v>11804</v>
      </c>
      <c r="AF624" t="s">
        <v>74</v>
      </c>
      <c r="AG624">
        <v>92</v>
      </c>
      <c r="AH624">
        <v>16</v>
      </c>
      <c r="AI624">
        <v>17</v>
      </c>
      <c r="AJ624">
        <v>0</v>
      </c>
      <c r="AK624">
        <v>25</v>
      </c>
      <c r="AL624" t="s">
        <v>5018</v>
      </c>
      <c r="AM624" t="s">
        <v>434</v>
      </c>
      <c r="AN624" t="s">
        <v>5019</v>
      </c>
      <c r="AO624" t="s">
        <v>5671</v>
      </c>
      <c r="AP624" t="s">
        <v>5672</v>
      </c>
      <c r="AQ624" t="s">
        <v>74</v>
      </c>
      <c r="AR624" t="s">
        <v>5659</v>
      </c>
      <c r="AS624" t="s">
        <v>5673</v>
      </c>
      <c r="AT624" t="s">
        <v>10359</v>
      </c>
      <c r="AU624">
        <v>2012</v>
      </c>
      <c r="AV624">
        <v>22</v>
      </c>
      <c r="AW624">
        <v>8</v>
      </c>
      <c r="AX624" t="s">
        <v>74</v>
      </c>
      <c r="AY624" t="s">
        <v>74</v>
      </c>
      <c r="AZ624" t="s">
        <v>74</v>
      </c>
      <c r="BA624" t="s">
        <v>74</v>
      </c>
      <c r="BB624">
        <v>857</v>
      </c>
      <c r="BC624">
        <v>875</v>
      </c>
      <c r="BD624" t="s">
        <v>74</v>
      </c>
      <c r="BE624" t="s">
        <v>11805</v>
      </c>
      <c r="BF624" t="str">
        <f>HYPERLINK("http://dx.doi.org/10.1177/0959683611434223","http://dx.doi.org/10.1177/0959683611434223")</f>
        <v>http://dx.doi.org/10.1177/0959683611434223</v>
      </c>
      <c r="BG624" t="s">
        <v>74</v>
      </c>
      <c r="BH624" t="s">
        <v>74</v>
      </c>
      <c r="BI624">
        <v>19</v>
      </c>
      <c r="BJ624" t="s">
        <v>97</v>
      </c>
      <c r="BK624" t="s">
        <v>98</v>
      </c>
      <c r="BL624" t="s">
        <v>99</v>
      </c>
      <c r="BM624" t="s">
        <v>11806</v>
      </c>
      <c r="BN624" t="s">
        <v>74</v>
      </c>
      <c r="BO624" t="s">
        <v>74</v>
      </c>
      <c r="BP624" t="s">
        <v>74</v>
      </c>
      <c r="BQ624" t="s">
        <v>74</v>
      </c>
      <c r="BR624" t="s">
        <v>101</v>
      </c>
      <c r="BS624" t="s">
        <v>11807</v>
      </c>
      <c r="BT624" t="str">
        <f>HYPERLINK("https%3A%2F%2Fwww.webofscience.com%2Fwos%2Fwoscc%2Ffull-record%2FWOS:000306084100003","View Full Record in Web of Science")</f>
        <v>View Full Record in Web of Science</v>
      </c>
    </row>
    <row r="625" spans="1:72" x14ac:dyDescent="0.15">
      <c r="A625" t="s">
        <v>72</v>
      </c>
      <c r="B625" t="s">
        <v>1065</v>
      </c>
      <c r="C625" t="s">
        <v>74</v>
      </c>
      <c r="D625" t="s">
        <v>74</v>
      </c>
      <c r="E625" t="s">
        <v>74</v>
      </c>
      <c r="F625" t="s">
        <v>1066</v>
      </c>
      <c r="G625" t="s">
        <v>74</v>
      </c>
      <c r="H625" t="s">
        <v>74</v>
      </c>
      <c r="I625" t="s">
        <v>11808</v>
      </c>
      <c r="J625" t="s">
        <v>1068</v>
      </c>
      <c r="K625" t="s">
        <v>74</v>
      </c>
      <c r="L625" t="s">
        <v>74</v>
      </c>
      <c r="M625" t="s">
        <v>78</v>
      </c>
      <c r="N625" t="s">
        <v>79</v>
      </c>
      <c r="O625" t="s">
        <v>74</v>
      </c>
      <c r="P625" t="s">
        <v>74</v>
      </c>
      <c r="Q625" t="s">
        <v>74</v>
      </c>
      <c r="R625" t="s">
        <v>74</v>
      </c>
      <c r="S625" t="s">
        <v>74</v>
      </c>
      <c r="T625" t="s">
        <v>11809</v>
      </c>
      <c r="U625" t="s">
        <v>11810</v>
      </c>
      <c r="V625" t="s">
        <v>11811</v>
      </c>
      <c r="W625" t="s">
        <v>11812</v>
      </c>
      <c r="X625" t="s">
        <v>1073</v>
      </c>
      <c r="Y625" t="s">
        <v>1074</v>
      </c>
      <c r="Z625" t="s">
        <v>1075</v>
      </c>
      <c r="AA625" t="s">
        <v>1076</v>
      </c>
      <c r="AB625" t="s">
        <v>1077</v>
      </c>
      <c r="AC625" t="s">
        <v>1078</v>
      </c>
      <c r="AD625" t="s">
        <v>1079</v>
      </c>
      <c r="AE625" t="s">
        <v>11813</v>
      </c>
      <c r="AF625" t="s">
        <v>74</v>
      </c>
      <c r="AG625">
        <v>108</v>
      </c>
      <c r="AH625">
        <v>74</v>
      </c>
      <c r="AI625">
        <v>77</v>
      </c>
      <c r="AJ625">
        <v>0</v>
      </c>
      <c r="AK625">
        <v>15</v>
      </c>
      <c r="AL625" t="s">
        <v>1081</v>
      </c>
      <c r="AM625" t="s">
        <v>1082</v>
      </c>
      <c r="AN625" t="s">
        <v>1083</v>
      </c>
      <c r="AO625" t="s">
        <v>1084</v>
      </c>
      <c r="AP625" t="s">
        <v>1085</v>
      </c>
      <c r="AQ625" t="s">
        <v>74</v>
      </c>
      <c r="AR625" t="s">
        <v>1068</v>
      </c>
      <c r="AS625" t="s">
        <v>1086</v>
      </c>
      <c r="AT625" t="s">
        <v>10359</v>
      </c>
      <c r="AU625">
        <v>2012</v>
      </c>
      <c r="AV625">
        <v>220</v>
      </c>
      <c r="AW625">
        <v>2</v>
      </c>
      <c r="AX625" t="s">
        <v>74</v>
      </c>
      <c r="AY625" t="s">
        <v>74</v>
      </c>
      <c r="AZ625" t="s">
        <v>74</v>
      </c>
      <c r="BA625" t="s">
        <v>74</v>
      </c>
      <c r="BB625">
        <v>586</v>
      </c>
      <c r="BC625">
        <v>617</v>
      </c>
      <c r="BD625" t="s">
        <v>74</v>
      </c>
      <c r="BE625" t="s">
        <v>11814</v>
      </c>
      <c r="BF625" t="str">
        <f>HYPERLINK("http://dx.doi.org/10.1016/j.icarus.2012.05.018","http://dx.doi.org/10.1016/j.icarus.2012.05.018")</f>
        <v>http://dx.doi.org/10.1016/j.icarus.2012.05.018</v>
      </c>
      <c r="BG625" t="s">
        <v>74</v>
      </c>
      <c r="BH625" t="s">
        <v>74</v>
      </c>
      <c r="BI625">
        <v>32</v>
      </c>
      <c r="BJ625" t="s">
        <v>127</v>
      </c>
      <c r="BK625" t="s">
        <v>98</v>
      </c>
      <c r="BL625" t="s">
        <v>127</v>
      </c>
      <c r="BM625" t="s">
        <v>10643</v>
      </c>
      <c r="BN625" t="s">
        <v>74</v>
      </c>
      <c r="BO625" t="s">
        <v>74</v>
      </c>
      <c r="BP625" t="s">
        <v>74</v>
      </c>
      <c r="BQ625" t="s">
        <v>74</v>
      </c>
      <c r="BR625" t="s">
        <v>101</v>
      </c>
      <c r="BS625" t="s">
        <v>11815</v>
      </c>
      <c r="BT625" t="str">
        <f>HYPERLINK("https%3A%2F%2Fwww.webofscience.com%2Fwos%2Fwoscc%2Ffull-record%2FWOS:000308057200022","View Full Record in Web of Science")</f>
        <v>View Full Record in Web of Science</v>
      </c>
    </row>
    <row r="626" spans="1:72" x14ac:dyDescent="0.15">
      <c r="A626" t="s">
        <v>72</v>
      </c>
      <c r="B626" t="s">
        <v>11816</v>
      </c>
      <c r="C626" t="s">
        <v>74</v>
      </c>
      <c r="D626" t="s">
        <v>74</v>
      </c>
      <c r="E626" t="s">
        <v>74</v>
      </c>
      <c r="F626" t="s">
        <v>11817</v>
      </c>
      <c r="G626" t="s">
        <v>74</v>
      </c>
      <c r="H626" t="s">
        <v>74</v>
      </c>
      <c r="I626" t="s">
        <v>11818</v>
      </c>
      <c r="J626" t="s">
        <v>11819</v>
      </c>
      <c r="K626" t="s">
        <v>74</v>
      </c>
      <c r="L626" t="s">
        <v>74</v>
      </c>
      <c r="M626" t="s">
        <v>78</v>
      </c>
      <c r="N626" t="s">
        <v>79</v>
      </c>
      <c r="O626" t="s">
        <v>74</v>
      </c>
      <c r="P626" t="s">
        <v>74</v>
      </c>
      <c r="Q626" t="s">
        <v>74</v>
      </c>
      <c r="R626" t="s">
        <v>74</v>
      </c>
      <c r="S626" t="s">
        <v>74</v>
      </c>
      <c r="T626" t="s">
        <v>11820</v>
      </c>
      <c r="U626" t="s">
        <v>11821</v>
      </c>
      <c r="V626" t="s">
        <v>11822</v>
      </c>
      <c r="W626" t="s">
        <v>11823</v>
      </c>
      <c r="X626" t="s">
        <v>11824</v>
      </c>
      <c r="Y626" t="s">
        <v>11825</v>
      </c>
      <c r="Z626" t="s">
        <v>11826</v>
      </c>
      <c r="AA626" t="s">
        <v>74</v>
      </c>
      <c r="AB626" t="s">
        <v>11827</v>
      </c>
      <c r="AC626" t="s">
        <v>74</v>
      </c>
      <c r="AD626" t="s">
        <v>74</v>
      </c>
      <c r="AE626" t="s">
        <v>74</v>
      </c>
      <c r="AF626" t="s">
        <v>74</v>
      </c>
      <c r="AG626">
        <v>53</v>
      </c>
      <c r="AH626">
        <v>12</v>
      </c>
      <c r="AI626">
        <v>14</v>
      </c>
      <c r="AJ626">
        <v>1</v>
      </c>
      <c r="AK626">
        <v>13</v>
      </c>
      <c r="AL626" t="s">
        <v>259</v>
      </c>
      <c r="AM626" t="s">
        <v>189</v>
      </c>
      <c r="AN626" t="s">
        <v>260</v>
      </c>
      <c r="AO626" t="s">
        <v>11828</v>
      </c>
      <c r="AP626" t="s">
        <v>74</v>
      </c>
      <c r="AQ626" t="s">
        <v>74</v>
      </c>
      <c r="AR626" t="s">
        <v>11829</v>
      </c>
      <c r="AS626" t="s">
        <v>11830</v>
      </c>
      <c r="AT626" t="s">
        <v>10359</v>
      </c>
      <c r="AU626">
        <v>2012</v>
      </c>
      <c r="AV626">
        <v>18</v>
      </c>
      <c r="AW626" t="s">
        <v>74</v>
      </c>
      <c r="AX626" t="s">
        <v>74</v>
      </c>
      <c r="AY626" t="s">
        <v>74</v>
      </c>
      <c r="AZ626" t="s">
        <v>74</v>
      </c>
      <c r="BA626" t="s">
        <v>74</v>
      </c>
      <c r="BB626">
        <v>49</v>
      </c>
      <c r="BC626">
        <v>56</v>
      </c>
      <c r="BD626" t="s">
        <v>74</v>
      </c>
      <c r="BE626" t="s">
        <v>11831</v>
      </c>
      <c r="BF626" t="str">
        <f>HYPERLINK("http://dx.doi.org/10.1016/j.jag.2012.01.006","http://dx.doi.org/10.1016/j.jag.2012.01.006")</f>
        <v>http://dx.doi.org/10.1016/j.jag.2012.01.006</v>
      </c>
      <c r="BG626" t="s">
        <v>74</v>
      </c>
      <c r="BH626" t="s">
        <v>74</v>
      </c>
      <c r="BI626">
        <v>8</v>
      </c>
      <c r="BJ626" t="s">
        <v>11832</v>
      </c>
      <c r="BK626" t="s">
        <v>98</v>
      </c>
      <c r="BL626" t="s">
        <v>11832</v>
      </c>
      <c r="BM626" t="s">
        <v>11833</v>
      </c>
      <c r="BN626" t="s">
        <v>74</v>
      </c>
      <c r="BO626" t="s">
        <v>380</v>
      </c>
      <c r="BP626" t="s">
        <v>74</v>
      </c>
      <c r="BQ626" t="s">
        <v>74</v>
      </c>
      <c r="BR626" t="s">
        <v>101</v>
      </c>
      <c r="BS626" t="s">
        <v>11834</v>
      </c>
      <c r="BT626" t="str">
        <f>HYPERLINK("https%3A%2F%2Fwww.webofscience.com%2Fwos%2Fwoscc%2Ffull-record%2FWOS:000306198900005","View Full Record in Web of Science")</f>
        <v>View Full Record in Web of Science</v>
      </c>
    </row>
    <row r="627" spans="1:72" x14ac:dyDescent="0.15">
      <c r="A627" t="s">
        <v>72</v>
      </c>
      <c r="B627" t="s">
        <v>11835</v>
      </c>
      <c r="C627" t="s">
        <v>74</v>
      </c>
      <c r="D627" t="s">
        <v>74</v>
      </c>
      <c r="E627" t="s">
        <v>74</v>
      </c>
      <c r="F627" t="s">
        <v>11836</v>
      </c>
      <c r="G627" t="s">
        <v>74</v>
      </c>
      <c r="H627" t="s">
        <v>74</v>
      </c>
      <c r="I627" t="s">
        <v>11837</v>
      </c>
      <c r="J627" t="s">
        <v>1817</v>
      </c>
      <c r="K627" t="s">
        <v>74</v>
      </c>
      <c r="L627" t="s">
        <v>74</v>
      </c>
      <c r="M627" t="s">
        <v>78</v>
      </c>
      <c r="N627" t="s">
        <v>79</v>
      </c>
      <c r="O627" t="s">
        <v>74</v>
      </c>
      <c r="P627" t="s">
        <v>74</v>
      </c>
      <c r="Q627" t="s">
        <v>74</v>
      </c>
      <c r="R627" t="s">
        <v>74</v>
      </c>
      <c r="S627" t="s">
        <v>74</v>
      </c>
      <c r="T627" t="s">
        <v>11838</v>
      </c>
      <c r="U627" t="s">
        <v>11839</v>
      </c>
      <c r="V627" t="s">
        <v>11840</v>
      </c>
      <c r="W627" t="s">
        <v>11841</v>
      </c>
      <c r="X627" t="s">
        <v>11842</v>
      </c>
      <c r="Y627" t="s">
        <v>11843</v>
      </c>
      <c r="Z627" t="s">
        <v>11844</v>
      </c>
      <c r="AA627" t="s">
        <v>11845</v>
      </c>
      <c r="AB627" t="s">
        <v>11846</v>
      </c>
      <c r="AC627" t="s">
        <v>11847</v>
      </c>
      <c r="AD627" t="s">
        <v>11848</v>
      </c>
      <c r="AE627" t="s">
        <v>11849</v>
      </c>
      <c r="AF627" t="s">
        <v>74</v>
      </c>
      <c r="AG627">
        <v>57</v>
      </c>
      <c r="AH627">
        <v>38</v>
      </c>
      <c r="AI627">
        <v>43</v>
      </c>
      <c r="AJ627">
        <v>0</v>
      </c>
      <c r="AK627">
        <v>32</v>
      </c>
      <c r="AL627" t="s">
        <v>916</v>
      </c>
      <c r="AM627" t="s">
        <v>899</v>
      </c>
      <c r="AN627" t="s">
        <v>900</v>
      </c>
      <c r="AO627" t="s">
        <v>1826</v>
      </c>
      <c r="AP627" t="s">
        <v>1827</v>
      </c>
      <c r="AQ627" t="s">
        <v>74</v>
      </c>
      <c r="AR627" t="s">
        <v>1828</v>
      </c>
      <c r="AS627" t="s">
        <v>1829</v>
      </c>
      <c r="AT627" t="s">
        <v>10359</v>
      </c>
      <c r="AU627">
        <v>2012</v>
      </c>
      <c r="AV627">
        <v>32</v>
      </c>
      <c r="AW627">
        <v>10</v>
      </c>
      <c r="AX627" t="s">
        <v>74</v>
      </c>
      <c r="AY627" t="s">
        <v>74</v>
      </c>
      <c r="AZ627" t="s">
        <v>74</v>
      </c>
      <c r="BA627" t="s">
        <v>74</v>
      </c>
      <c r="BB627">
        <v>1455</v>
      </c>
      <c r="BC627">
        <v>1465</v>
      </c>
      <c r="BD627" t="s">
        <v>74</v>
      </c>
      <c r="BE627" t="s">
        <v>11850</v>
      </c>
      <c r="BF627" t="str">
        <f>HYPERLINK("http://dx.doi.org/10.1002/joc.2371","http://dx.doi.org/10.1002/joc.2371")</f>
        <v>http://dx.doi.org/10.1002/joc.2371</v>
      </c>
      <c r="BG627" t="s">
        <v>74</v>
      </c>
      <c r="BH627" t="s">
        <v>74</v>
      </c>
      <c r="BI627">
        <v>11</v>
      </c>
      <c r="BJ627" t="s">
        <v>378</v>
      </c>
      <c r="BK627" t="s">
        <v>98</v>
      </c>
      <c r="BL627" t="s">
        <v>378</v>
      </c>
      <c r="BM627" t="s">
        <v>11851</v>
      </c>
      <c r="BN627" t="s">
        <v>74</v>
      </c>
      <c r="BO627" t="s">
        <v>1499</v>
      </c>
      <c r="BP627" t="s">
        <v>74</v>
      </c>
      <c r="BQ627" t="s">
        <v>74</v>
      </c>
      <c r="BR627" t="s">
        <v>101</v>
      </c>
      <c r="BS627" t="s">
        <v>11852</v>
      </c>
      <c r="BT627" t="str">
        <f>HYPERLINK("https%3A%2F%2Fwww.webofscience.com%2Fwos%2Fwoscc%2Ffull-record%2FWOS:000306656700001","View Full Record in Web of Science")</f>
        <v>View Full Record in Web of Science</v>
      </c>
    </row>
    <row r="628" spans="1:72" x14ac:dyDescent="0.15">
      <c r="A628" t="s">
        <v>72</v>
      </c>
      <c r="B628" t="s">
        <v>11853</v>
      </c>
      <c r="C628" t="s">
        <v>74</v>
      </c>
      <c r="D628" t="s">
        <v>74</v>
      </c>
      <c r="E628" t="s">
        <v>74</v>
      </c>
      <c r="F628" t="s">
        <v>11854</v>
      </c>
      <c r="G628" t="s">
        <v>74</v>
      </c>
      <c r="H628" t="s">
        <v>74</v>
      </c>
      <c r="I628" t="s">
        <v>11855</v>
      </c>
      <c r="J628" t="s">
        <v>3098</v>
      </c>
      <c r="K628" t="s">
        <v>74</v>
      </c>
      <c r="L628" t="s">
        <v>74</v>
      </c>
      <c r="M628" t="s">
        <v>78</v>
      </c>
      <c r="N628" t="s">
        <v>79</v>
      </c>
      <c r="O628" t="s">
        <v>74</v>
      </c>
      <c r="P628" t="s">
        <v>74</v>
      </c>
      <c r="Q628" t="s">
        <v>74</v>
      </c>
      <c r="R628" t="s">
        <v>74</v>
      </c>
      <c r="S628" t="s">
        <v>74</v>
      </c>
      <c r="T628" t="s">
        <v>11856</v>
      </c>
      <c r="U628" t="s">
        <v>11857</v>
      </c>
      <c r="V628" t="s">
        <v>11858</v>
      </c>
      <c r="W628" t="s">
        <v>11859</v>
      </c>
      <c r="X628" t="s">
        <v>11860</v>
      </c>
      <c r="Y628" t="s">
        <v>11861</v>
      </c>
      <c r="Z628" t="s">
        <v>11862</v>
      </c>
      <c r="AA628" t="s">
        <v>74</v>
      </c>
      <c r="AB628" t="s">
        <v>11863</v>
      </c>
      <c r="AC628" t="s">
        <v>11864</v>
      </c>
      <c r="AD628" t="s">
        <v>11865</v>
      </c>
      <c r="AE628" t="s">
        <v>11866</v>
      </c>
      <c r="AF628" t="s">
        <v>74</v>
      </c>
      <c r="AG628">
        <v>38</v>
      </c>
      <c r="AH628">
        <v>12</v>
      </c>
      <c r="AI628">
        <v>13</v>
      </c>
      <c r="AJ628">
        <v>0</v>
      </c>
      <c r="AK628">
        <v>76</v>
      </c>
      <c r="AL628" t="s">
        <v>259</v>
      </c>
      <c r="AM628" t="s">
        <v>189</v>
      </c>
      <c r="AN628" t="s">
        <v>260</v>
      </c>
      <c r="AO628" t="s">
        <v>3110</v>
      </c>
      <c r="AP628" t="s">
        <v>3111</v>
      </c>
      <c r="AQ628" t="s">
        <v>74</v>
      </c>
      <c r="AR628" t="s">
        <v>3112</v>
      </c>
      <c r="AS628" t="s">
        <v>3113</v>
      </c>
      <c r="AT628" t="s">
        <v>11011</v>
      </c>
      <c r="AU628">
        <v>2012</v>
      </c>
      <c r="AV628">
        <v>424</v>
      </c>
      <c r="AW628" t="s">
        <v>74</v>
      </c>
      <c r="AX628" t="s">
        <v>74</v>
      </c>
      <c r="AY628" t="s">
        <v>74</v>
      </c>
      <c r="AZ628" t="s">
        <v>74</v>
      </c>
      <c r="BA628" t="s">
        <v>74</v>
      </c>
      <c r="BB628">
        <v>38</v>
      </c>
      <c r="BC628">
        <v>43</v>
      </c>
      <c r="BD628" t="s">
        <v>74</v>
      </c>
      <c r="BE628" t="s">
        <v>11867</v>
      </c>
      <c r="BF628" t="str">
        <f>HYPERLINK("http://dx.doi.org/10.1016/j.jembe.2012.01.010","http://dx.doi.org/10.1016/j.jembe.2012.01.010")</f>
        <v>http://dx.doi.org/10.1016/j.jembe.2012.01.010</v>
      </c>
      <c r="BG628" t="s">
        <v>74</v>
      </c>
      <c r="BH628" t="s">
        <v>74</v>
      </c>
      <c r="BI628">
        <v>6</v>
      </c>
      <c r="BJ628" t="s">
        <v>3115</v>
      </c>
      <c r="BK628" t="s">
        <v>98</v>
      </c>
      <c r="BL628" t="s">
        <v>3116</v>
      </c>
      <c r="BM628" t="s">
        <v>11197</v>
      </c>
      <c r="BN628" t="s">
        <v>74</v>
      </c>
      <c r="BO628" t="s">
        <v>74</v>
      </c>
      <c r="BP628" t="s">
        <v>74</v>
      </c>
      <c r="BQ628" t="s">
        <v>74</v>
      </c>
      <c r="BR628" t="s">
        <v>101</v>
      </c>
      <c r="BS628" t="s">
        <v>11868</v>
      </c>
      <c r="BT628" t="str">
        <f>HYPERLINK("https%3A%2F%2Fwww.webofscience.com%2Fwos%2Fwoscc%2Ffull-record%2FWOS:000306766700006","View Full Record in Web of Science")</f>
        <v>View Full Record in Web of Science</v>
      </c>
    </row>
    <row r="629" spans="1:72" x14ac:dyDescent="0.15">
      <c r="A629" t="s">
        <v>72</v>
      </c>
      <c r="B629" t="s">
        <v>11869</v>
      </c>
      <c r="C629" t="s">
        <v>74</v>
      </c>
      <c r="D629" t="s">
        <v>74</v>
      </c>
      <c r="E629" t="s">
        <v>74</v>
      </c>
      <c r="F629" t="s">
        <v>11870</v>
      </c>
      <c r="G629" t="s">
        <v>74</v>
      </c>
      <c r="H629" t="s">
        <v>74</v>
      </c>
      <c r="I629" t="s">
        <v>11871</v>
      </c>
      <c r="J629" t="s">
        <v>11872</v>
      </c>
      <c r="K629" t="s">
        <v>74</v>
      </c>
      <c r="L629" t="s">
        <v>74</v>
      </c>
      <c r="M629" t="s">
        <v>78</v>
      </c>
      <c r="N629" t="s">
        <v>79</v>
      </c>
      <c r="O629" t="s">
        <v>74</v>
      </c>
      <c r="P629" t="s">
        <v>74</v>
      </c>
      <c r="Q629" t="s">
        <v>74</v>
      </c>
      <c r="R629" t="s">
        <v>74</v>
      </c>
      <c r="S629" t="s">
        <v>74</v>
      </c>
      <c r="T629" t="s">
        <v>11873</v>
      </c>
      <c r="U629" t="s">
        <v>11874</v>
      </c>
      <c r="V629" t="s">
        <v>11875</v>
      </c>
      <c r="W629" t="s">
        <v>11876</v>
      </c>
      <c r="X629" t="s">
        <v>11877</v>
      </c>
      <c r="Y629" t="s">
        <v>11878</v>
      </c>
      <c r="Z629" t="s">
        <v>11879</v>
      </c>
      <c r="AA629" t="s">
        <v>11880</v>
      </c>
      <c r="AB629" t="s">
        <v>11881</v>
      </c>
      <c r="AC629" t="s">
        <v>11882</v>
      </c>
      <c r="AD629" t="s">
        <v>11883</v>
      </c>
      <c r="AE629" t="s">
        <v>11884</v>
      </c>
      <c r="AF629" t="s">
        <v>74</v>
      </c>
      <c r="AG629">
        <v>43</v>
      </c>
      <c r="AH629">
        <v>27</v>
      </c>
      <c r="AI629">
        <v>27</v>
      </c>
      <c r="AJ629">
        <v>0</v>
      </c>
      <c r="AK629">
        <v>51</v>
      </c>
      <c r="AL629" t="s">
        <v>89</v>
      </c>
      <c r="AM629" t="s">
        <v>90</v>
      </c>
      <c r="AN629" t="s">
        <v>91</v>
      </c>
      <c r="AO629" t="s">
        <v>11885</v>
      </c>
      <c r="AP629" t="s">
        <v>11886</v>
      </c>
      <c r="AQ629" t="s">
        <v>74</v>
      </c>
      <c r="AR629" t="s">
        <v>11887</v>
      </c>
      <c r="AS629" t="s">
        <v>11888</v>
      </c>
      <c r="AT629" t="s">
        <v>10359</v>
      </c>
      <c r="AU629">
        <v>2012</v>
      </c>
      <c r="AV629">
        <v>58</v>
      </c>
      <c r="AW629">
        <v>8</v>
      </c>
      <c r="AX629" t="s">
        <v>74</v>
      </c>
      <c r="AY629" t="s">
        <v>74</v>
      </c>
      <c r="AZ629" t="s">
        <v>74</v>
      </c>
      <c r="BA629" t="s">
        <v>74</v>
      </c>
      <c r="BB629">
        <v>1104</v>
      </c>
      <c r="BC629">
        <v>1111</v>
      </c>
      <c r="BD629" t="s">
        <v>74</v>
      </c>
      <c r="BE629" t="s">
        <v>11889</v>
      </c>
      <c r="BF629" t="str">
        <f>HYPERLINK("http://dx.doi.org/10.1016/j.jinsphys.2012.05.009","http://dx.doi.org/10.1016/j.jinsphys.2012.05.009")</f>
        <v>http://dx.doi.org/10.1016/j.jinsphys.2012.05.009</v>
      </c>
      <c r="BG629" t="s">
        <v>74</v>
      </c>
      <c r="BH629" t="s">
        <v>74</v>
      </c>
      <c r="BI629">
        <v>8</v>
      </c>
      <c r="BJ629" t="s">
        <v>11890</v>
      </c>
      <c r="BK629" t="s">
        <v>98</v>
      </c>
      <c r="BL629" t="s">
        <v>11890</v>
      </c>
      <c r="BM629" t="s">
        <v>11891</v>
      </c>
      <c r="BN629">
        <v>22684111</v>
      </c>
      <c r="BO629" t="s">
        <v>11892</v>
      </c>
      <c r="BP629" t="s">
        <v>74</v>
      </c>
      <c r="BQ629" t="s">
        <v>74</v>
      </c>
      <c r="BR629" t="s">
        <v>101</v>
      </c>
      <c r="BS629" t="s">
        <v>11893</v>
      </c>
      <c r="BT629" t="str">
        <f>HYPERLINK("https%3A%2F%2Fwww.webofscience.com%2Fwos%2Fwoscc%2Ffull-record%2FWOS:000307154600009","View Full Record in Web of Science")</f>
        <v>View Full Record in Web of Science</v>
      </c>
    </row>
    <row r="630" spans="1:72" x14ac:dyDescent="0.15">
      <c r="A630" t="s">
        <v>72</v>
      </c>
      <c r="B630" t="s">
        <v>11894</v>
      </c>
      <c r="C630" t="s">
        <v>74</v>
      </c>
      <c r="D630" t="s">
        <v>74</v>
      </c>
      <c r="E630" t="s">
        <v>74</v>
      </c>
      <c r="F630" t="s">
        <v>11895</v>
      </c>
      <c r="G630" t="s">
        <v>74</v>
      </c>
      <c r="H630" t="s">
        <v>74</v>
      </c>
      <c r="I630" t="s">
        <v>11896</v>
      </c>
      <c r="J630" t="s">
        <v>11897</v>
      </c>
      <c r="K630" t="s">
        <v>74</v>
      </c>
      <c r="L630" t="s">
        <v>74</v>
      </c>
      <c r="M630" t="s">
        <v>78</v>
      </c>
      <c r="N630" t="s">
        <v>79</v>
      </c>
      <c r="O630" t="s">
        <v>74</v>
      </c>
      <c r="P630" t="s">
        <v>74</v>
      </c>
      <c r="Q630" t="s">
        <v>74</v>
      </c>
      <c r="R630" t="s">
        <v>74</v>
      </c>
      <c r="S630" t="s">
        <v>74</v>
      </c>
      <c r="T630" t="s">
        <v>11898</v>
      </c>
      <c r="U630" t="s">
        <v>11899</v>
      </c>
      <c r="V630" t="s">
        <v>11900</v>
      </c>
      <c r="W630" t="s">
        <v>11901</v>
      </c>
      <c r="X630" t="s">
        <v>11902</v>
      </c>
      <c r="Y630" t="s">
        <v>11903</v>
      </c>
      <c r="Z630" t="s">
        <v>11904</v>
      </c>
      <c r="AA630" t="s">
        <v>11905</v>
      </c>
      <c r="AB630" t="s">
        <v>11906</v>
      </c>
      <c r="AC630" t="s">
        <v>11907</v>
      </c>
      <c r="AD630" t="s">
        <v>11908</v>
      </c>
      <c r="AE630" t="s">
        <v>74</v>
      </c>
      <c r="AF630" t="s">
        <v>74</v>
      </c>
      <c r="AG630">
        <v>38</v>
      </c>
      <c r="AH630">
        <v>21</v>
      </c>
      <c r="AI630">
        <v>26</v>
      </c>
      <c r="AJ630">
        <v>1</v>
      </c>
      <c r="AK630">
        <v>38</v>
      </c>
      <c r="AL630" t="s">
        <v>1081</v>
      </c>
      <c r="AM630" t="s">
        <v>1082</v>
      </c>
      <c r="AN630" t="s">
        <v>1083</v>
      </c>
      <c r="AO630" t="s">
        <v>11909</v>
      </c>
      <c r="AP630" t="s">
        <v>74</v>
      </c>
      <c r="AQ630" t="s">
        <v>74</v>
      </c>
      <c r="AR630" t="s">
        <v>11910</v>
      </c>
      <c r="AS630" t="s">
        <v>11911</v>
      </c>
      <c r="AT630" t="s">
        <v>10359</v>
      </c>
      <c r="AU630">
        <v>2012</v>
      </c>
      <c r="AV630">
        <v>221</v>
      </c>
      <c r="AW630" t="s">
        <v>74</v>
      </c>
      <c r="AX630" t="s">
        <v>74</v>
      </c>
      <c r="AY630" t="s">
        <v>74</v>
      </c>
      <c r="AZ630" t="s">
        <v>74</v>
      </c>
      <c r="BA630" t="s">
        <v>74</v>
      </c>
      <c r="BB630">
        <v>97</v>
      </c>
      <c r="BC630">
        <v>102</v>
      </c>
      <c r="BD630" t="s">
        <v>74</v>
      </c>
      <c r="BE630" t="s">
        <v>11912</v>
      </c>
      <c r="BF630" t="str">
        <f>HYPERLINK("http://dx.doi.org/10.1016/j.jmr.2012.05.012","http://dx.doi.org/10.1016/j.jmr.2012.05.012")</f>
        <v>http://dx.doi.org/10.1016/j.jmr.2012.05.012</v>
      </c>
      <c r="BG630" t="s">
        <v>74</v>
      </c>
      <c r="BH630" t="s">
        <v>74</v>
      </c>
      <c r="BI630">
        <v>6</v>
      </c>
      <c r="BJ630" t="s">
        <v>11913</v>
      </c>
      <c r="BK630" t="s">
        <v>98</v>
      </c>
      <c r="BL630" t="s">
        <v>11914</v>
      </c>
      <c r="BM630" t="s">
        <v>11915</v>
      </c>
      <c r="BN630">
        <v>22750255</v>
      </c>
      <c r="BO630" t="s">
        <v>74</v>
      </c>
      <c r="BP630" t="s">
        <v>74</v>
      </c>
      <c r="BQ630" t="s">
        <v>74</v>
      </c>
      <c r="BR630" t="s">
        <v>101</v>
      </c>
      <c r="BS630" t="s">
        <v>11916</v>
      </c>
      <c r="BT630" t="str">
        <f>HYPERLINK("https%3A%2F%2Fwww.webofscience.com%2Fwos%2Fwoscc%2Ffull-record%2FWOS:000307414500013","View Full Record in Web of Science")</f>
        <v>View Full Record in Web of Science</v>
      </c>
    </row>
    <row r="631" spans="1:72" x14ac:dyDescent="0.15">
      <c r="A631" t="s">
        <v>72</v>
      </c>
      <c r="B631" t="s">
        <v>11917</v>
      </c>
      <c r="C631" t="s">
        <v>74</v>
      </c>
      <c r="D631" t="s">
        <v>74</v>
      </c>
      <c r="E631" t="s">
        <v>74</v>
      </c>
      <c r="F631" t="s">
        <v>11918</v>
      </c>
      <c r="G631" t="s">
        <v>74</v>
      </c>
      <c r="H631" t="s">
        <v>74</v>
      </c>
      <c r="I631" t="s">
        <v>11919</v>
      </c>
      <c r="J631" t="s">
        <v>10648</v>
      </c>
      <c r="K631" t="s">
        <v>74</v>
      </c>
      <c r="L631" t="s">
        <v>74</v>
      </c>
      <c r="M631" t="s">
        <v>78</v>
      </c>
      <c r="N631" t="s">
        <v>79</v>
      </c>
      <c r="O631" t="s">
        <v>74</v>
      </c>
      <c r="P631" t="s">
        <v>74</v>
      </c>
      <c r="Q631" t="s">
        <v>74</v>
      </c>
      <c r="R631" t="s">
        <v>74</v>
      </c>
      <c r="S631" t="s">
        <v>74</v>
      </c>
      <c r="T631" t="s">
        <v>11920</v>
      </c>
      <c r="U631" t="s">
        <v>11921</v>
      </c>
      <c r="V631" t="s">
        <v>11922</v>
      </c>
      <c r="W631" t="s">
        <v>11923</v>
      </c>
      <c r="X631" t="s">
        <v>11924</v>
      </c>
      <c r="Y631" t="s">
        <v>11925</v>
      </c>
      <c r="Z631" t="s">
        <v>11926</v>
      </c>
      <c r="AA631" t="s">
        <v>11927</v>
      </c>
      <c r="AB631" t="s">
        <v>11928</v>
      </c>
      <c r="AC631" t="s">
        <v>11929</v>
      </c>
      <c r="AD631" t="s">
        <v>11930</v>
      </c>
      <c r="AE631" t="s">
        <v>11931</v>
      </c>
      <c r="AF631" t="s">
        <v>74</v>
      </c>
      <c r="AG631">
        <v>83</v>
      </c>
      <c r="AH631">
        <v>42</v>
      </c>
      <c r="AI631">
        <v>46</v>
      </c>
      <c r="AJ631">
        <v>1</v>
      </c>
      <c r="AK631">
        <v>35</v>
      </c>
      <c r="AL631" t="s">
        <v>898</v>
      </c>
      <c r="AM631" t="s">
        <v>899</v>
      </c>
      <c r="AN631" t="s">
        <v>900</v>
      </c>
      <c r="AO631" t="s">
        <v>10653</v>
      </c>
      <c r="AP631" t="s">
        <v>11932</v>
      </c>
      <c r="AQ631" t="s">
        <v>74</v>
      </c>
      <c r="AR631" t="s">
        <v>10654</v>
      </c>
      <c r="AS631" t="s">
        <v>10655</v>
      </c>
      <c r="AT631" t="s">
        <v>10359</v>
      </c>
      <c r="AU631">
        <v>2012</v>
      </c>
      <c r="AV631">
        <v>48</v>
      </c>
      <c r="AW631">
        <v>4</v>
      </c>
      <c r="AX631" t="s">
        <v>74</v>
      </c>
      <c r="AY631" t="s">
        <v>74</v>
      </c>
      <c r="AZ631" t="s">
        <v>74</v>
      </c>
      <c r="BA631" t="s">
        <v>74</v>
      </c>
      <c r="BB631">
        <v>940</v>
      </c>
      <c r="BC631">
        <v>955</v>
      </c>
      <c r="BD631" t="s">
        <v>74</v>
      </c>
      <c r="BE631" t="s">
        <v>11933</v>
      </c>
      <c r="BF631" t="str">
        <f>HYPERLINK("http://dx.doi.org/10.1111/j.1529-8817.2012.01172.x","http://dx.doi.org/10.1111/j.1529-8817.2012.01172.x")</f>
        <v>http://dx.doi.org/10.1111/j.1529-8817.2012.01172.x</v>
      </c>
      <c r="BG631" t="s">
        <v>74</v>
      </c>
      <c r="BH631" t="s">
        <v>74</v>
      </c>
      <c r="BI631">
        <v>16</v>
      </c>
      <c r="BJ631" t="s">
        <v>10657</v>
      </c>
      <c r="BK631" t="s">
        <v>98</v>
      </c>
      <c r="BL631" t="s">
        <v>10657</v>
      </c>
      <c r="BM631" t="s">
        <v>11934</v>
      </c>
      <c r="BN631">
        <v>27009004</v>
      </c>
      <c r="BO631" t="s">
        <v>74</v>
      </c>
      <c r="BP631" t="s">
        <v>74</v>
      </c>
      <c r="BQ631" t="s">
        <v>74</v>
      </c>
      <c r="BR631" t="s">
        <v>101</v>
      </c>
      <c r="BS631" t="s">
        <v>11935</v>
      </c>
      <c r="BT631" t="str">
        <f>HYPERLINK("https%3A%2F%2Fwww.webofscience.com%2Fwos%2Fwoscc%2Ffull-record%2FWOS:000307016700011","View Full Record in Web of Science")</f>
        <v>View Full Record in Web of Science</v>
      </c>
    </row>
    <row r="632" spans="1:72" x14ac:dyDescent="0.15">
      <c r="A632" t="s">
        <v>72</v>
      </c>
      <c r="B632" t="s">
        <v>11936</v>
      </c>
      <c r="C632" t="s">
        <v>74</v>
      </c>
      <c r="D632" t="s">
        <v>74</v>
      </c>
      <c r="E632" t="s">
        <v>74</v>
      </c>
      <c r="F632" t="s">
        <v>11937</v>
      </c>
      <c r="G632" t="s">
        <v>74</v>
      </c>
      <c r="H632" t="s">
        <v>74</v>
      </c>
      <c r="I632" t="s">
        <v>11938</v>
      </c>
      <c r="J632" t="s">
        <v>11939</v>
      </c>
      <c r="K632" t="s">
        <v>74</v>
      </c>
      <c r="L632" t="s">
        <v>74</v>
      </c>
      <c r="M632" t="s">
        <v>78</v>
      </c>
      <c r="N632" t="s">
        <v>79</v>
      </c>
      <c r="O632" t="s">
        <v>74</v>
      </c>
      <c r="P632" t="s">
        <v>74</v>
      </c>
      <c r="Q632" t="s">
        <v>74</v>
      </c>
      <c r="R632" t="s">
        <v>74</v>
      </c>
      <c r="S632" t="s">
        <v>74</v>
      </c>
      <c r="T632" t="s">
        <v>74</v>
      </c>
      <c r="U632" t="s">
        <v>11940</v>
      </c>
      <c r="V632" t="s">
        <v>11941</v>
      </c>
      <c r="W632" t="s">
        <v>11942</v>
      </c>
      <c r="X632" t="s">
        <v>11943</v>
      </c>
      <c r="Y632" t="s">
        <v>11944</v>
      </c>
      <c r="Z632" t="s">
        <v>11945</v>
      </c>
      <c r="AA632" t="s">
        <v>11946</v>
      </c>
      <c r="AB632" t="s">
        <v>11947</v>
      </c>
      <c r="AC632" t="s">
        <v>11948</v>
      </c>
      <c r="AD632" t="s">
        <v>11949</v>
      </c>
      <c r="AE632" t="s">
        <v>74</v>
      </c>
      <c r="AF632" t="s">
        <v>74</v>
      </c>
      <c r="AG632">
        <v>42</v>
      </c>
      <c r="AH632">
        <v>72</v>
      </c>
      <c r="AI632">
        <v>80</v>
      </c>
      <c r="AJ632">
        <v>0</v>
      </c>
      <c r="AK632">
        <v>7</v>
      </c>
      <c r="AL632" t="s">
        <v>1646</v>
      </c>
      <c r="AM632" t="s">
        <v>119</v>
      </c>
      <c r="AN632" t="s">
        <v>1647</v>
      </c>
      <c r="AO632" t="s">
        <v>11950</v>
      </c>
      <c r="AP632" t="s">
        <v>74</v>
      </c>
      <c r="AQ632" t="s">
        <v>74</v>
      </c>
      <c r="AR632" t="s">
        <v>11951</v>
      </c>
      <c r="AS632" t="s">
        <v>11952</v>
      </c>
      <c r="AT632" t="s">
        <v>10359</v>
      </c>
      <c r="AU632">
        <v>2012</v>
      </c>
      <c r="AV632">
        <v>86</v>
      </c>
      <c r="AW632">
        <v>16</v>
      </c>
      <c r="AX632" t="s">
        <v>74</v>
      </c>
      <c r="AY632" t="s">
        <v>74</v>
      </c>
      <c r="AZ632" t="s">
        <v>74</v>
      </c>
      <c r="BA632" t="s">
        <v>74</v>
      </c>
      <c r="BB632">
        <v>8482</v>
      </c>
      <c r="BC632">
        <v>8491</v>
      </c>
      <c r="BD632" t="s">
        <v>74</v>
      </c>
      <c r="BE632" t="s">
        <v>11953</v>
      </c>
      <c r="BF632" t="str">
        <f>HYPERLINK("http://dx.doi.org/10.1128/JVI.00728-12","http://dx.doi.org/10.1128/JVI.00728-12")</f>
        <v>http://dx.doi.org/10.1128/JVI.00728-12</v>
      </c>
      <c r="BG632" t="s">
        <v>74</v>
      </c>
      <c r="BH632" t="s">
        <v>74</v>
      </c>
      <c r="BI632">
        <v>10</v>
      </c>
      <c r="BJ632" t="s">
        <v>11954</v>
      </c>
      <c r="BK632" t="s">
        <v>98</v>
      </c>
      <c r="BL632" t="s">
        <v>11954</v>
      </c>
      <c r="BM632" t="s">
        <v>11955</v>
      </c>
      <c r="BN632">
        <v>22647693</v>
      </c>
      <c r="BO632" t="s">
        <v>1654</v>
      </c>
      <c r="BP632" t="s">
        <v>74</v>
      </c>
      <c r="BQ632" t="s">
        <v>74</v>
      </c>
      <c r="BR632" t="s">
        <v>101</v>
      </c>
      <c r="BS632" t="s">
        <v>11956</v>
      </c>
      <c r="BT632" t="str">
        <f>HYPERLINK("https%3A%2F%2Fwww.webofscience.com%2Fwos%2Fwoscc%2Ffull-record%2FWOS:000307198300014","View Full Record in Web of Science")</f>
        <v>View Full Record in Web of Science</v>
      </c>
    </row>
    <row r="633" spans="1:72" x14ac:dyDescent="0.15">
      <c r="A633" t="s">
        <v>72</v>
      </c>
      <c r="B633" t="s">
        <v>11957</v>
      </c>
      <c r="C633" t="s">
        <v>74</v>
      </c>
      <c r="D633" t="s">
        <v>74</v>
      </c>
      <c r="E633" t="s">
        <v>74</v>
      </c>
      <c r="F633" t="s">
        <v>11958</v>
      </c>
      <c r="G633" t="s">
        <v>74</v>
      </c>
      <c r="H633" t="s">
        <v>74</v>
      </c>
      <c r="I633" t="s">
        <v>11959</v>
      </c>
      <c r="J633" t="s">
        <v>5922</v>
      </c>
      <c r="K633" t="s">
        <v>74</v>
      </c>
      <c r="L633" t="s">
        <v>74</v>
      </c>
      <c r="M633" t="s">
        <v>78</v>
      </c>
      <c r="N633" t="s">
        <v>79</v>
      </c>
      <c r="O633" t="s">
        <v>74</v>
      </c>
      <c r="P633" t="s">
        <v>74</v>
      </c>
      <c r="Q633" t="s">
        <v>74</v>
      </c>
      <c r="R633" t="s">
        <v>74</v>
      </c>
      <c r="S633" t="s">
        <v>74</v>
      </c>
      <c r="T633" t="s">
        <v>74</v>
      </c>
      <c r="U633" t="s">
        <v>11960</v>
      </c>
      <c r="V633" t="s">
        <v>11961</v>
      </c>
      <c r="W633" t="s">
        <v>11962</v>
      </c>
      <c r="X633" t="s">
        <v>11963</v>
      </c>
      <c r="Y633" t="s">
        <v>11964</v>
      </c>
      <c r="Z633" t="s">
        <v>11965</v>
      </c>
      <c r="AA633" t="s">
        <v>11966</v>
      </c>
      <c r="AB633" t="s">
        <v>11967</v>
      </c>
      <c r="AC633" t="s">
        <v>11968</v>
      </c>
      <c r="AD633" t="s">
        <v>11969</v>
      </c>
      <c r="AE633" t="s">
        <v>11970</v>
      </c>
      <c r="AF633" t="s">
        <v>74</v>
      </c>
      <c r="AG633">
        <v>58</v>
      </c>
      <c r="AH633">
        <v>27</v>
      </c>
      <c r="AI633">
        <v>28</v>
      </c>
      <c r="AJ633">
        <v>0</v>
      </c>
      <c r="AK633">
        <v>43</v>
      </c>
      <c r="AL633" t="s">
        <v>4767</v>
      </c>
      <c r="AM633" t="s">
        <v>4768</v>
      </c>
      <c r="AN633" t="s">
        <v>4769</v>
      </c>
      <c r="AO633" t="s">
        <v>5933</v>
      </c>
      <c r="AP633" t="s">
        <v>5934</v>
      </c>
      <c r="AQ633" t="s">
        <v>74</v>
      </c>
      <c r="AR633" t="s">
        <v>5935</v>
      </c>
      <c r="AS633" t="s">
        <v>5936</v>
      </c>
      <c r="AT633" t="s">
        <v>10359</v>
      </c>
      <c r="AU633">
        <v>2012</v>
      </c>
      <c r="AV633">
        <v>159</v>
      </c>
      <c r="AW633">
        <v>8</v>
      </c>
      <c r="AX633" t="s">
        <v>74</v>
      </c>
      <c r="AY633" t="s">
        <v>74</v>
      </c>
      <c r="AZ633" t="s">
        <v>74</v>
      </c>
      <c r="BA633" t="s">
        <v>74</v>
      </c>
      <c r="BB633">
        <v>1843</v>
      </c>
      <c r="BC633">
        <v>1852</v>
      </c>
      <c r="BD633" t="s">
        <v>74</v>
      </c>
      <c r="BE633" t="s">
        <v>11971</v>
      </c>
      <c r="BF633" t="str">
        <f>HYPERLINK("http://dx.doi.org/10.1007/s00227-012-1974-x","http://dx.doi.org/10.1007/s00227-012-1974-x")</f>
        <v>http://dx.doi.org/10.1007/s00227-012-1974-x</v>
      </c>
      <c r="BG633" t="s">
        <v>74</v>
      </c>
      <c r="BH633" t="s">
        <v>74</v>
      </c>
      <c r="BI633">
        <v>10</v>
      </c>
      <c r="BJ633" t="s">
        <v>1753</v>
      </c>
      <c r="BK633" t="s">
        <v>98</v>
      </c>
      <c r="BL633" t="s">
        <v>1753</v>
      </c>
      <c r="BM633" t="s">
        <v>11972</v>
      </c>
      <c r="BN633" t="s">
        <v>74</v>
      </c>
      <c r="BO633" t="s">
        <v>74</v>
      </c>
      <c r="BP633" t="s">
        <v>74</v>
      </c>
      <c r="BQ633" t="s">
        <v>74</v>
      </c>
      <c r="BR633" t="s">
        <v>101</v>
      </c>
      <c r="BS633" t="s">
        <v>11973</v>
      </c>
      <c r="BT633" t="str">
        <f>HYPERLINK("https%3A%2F%2Fwww.webofscience.com%2Fwos%2Fwoscc%2Ffull-record%2FWOS:000306731300019","View Full Record in Web of Science")</f>
        <v>View Full Record in Web of Science</v>
      </c>
    </row>
    <row r="634" spans="1:72" x14ac:dyDescent="0.15">
      <c r="A634" t="s">
        <v>72</v>
      </c>
      <c r="B634" t="s">
        <v>11974</v>
      </c>
      <c r="C634" t="s">
        <v>74</v>
      </c>
      <c r="D634" t="s">
        <v>74</v>
      </c>
      <c r="E634" t="s">
        <v>74</v>
      </c>
      <c r="F634" t="s">
        <v>11975</v>
      </c>
      <c r="G634" t="s">
        <v>74</v>
      </c>
      <c r="H634" t="s">
        <v>74</v>
      </c>
      <c r="I634" t="s">
        <v>11976</v>
      </c>
      <c r="J634" t="s">
        <v>11977</v>
      </c>
      <c r="K634" t="s">
        <v>74</v>
      </c>
      <c r="L634" t="s">
        <v>74</v>
      </c>
      <c r="M634" t="s">
        <v>78</v>
      </c>
      <c r="N634" t="s">
        <v>79</v>
      </c>
      <c r="O634" t="s">
        <v>74</v>
      </c>
      <c r="P634" t="s">
        <v>74</v>
      </c>
      <c r="Q634" t="s">
        <v>74</v>
      </c>
      <c r="R634" t="s">
        <v>74</v>
      </c>
      <c r="S634" t="s">
        <v>74</v>
      </c>
      <c r="T634" t="s">
        <v>11978</v>
      </c>
      <c r="U634" t="s">
        <v>11979</v>
      </c>
      <c r="V634" t="s">
        <v>11980</v>
      </c>
      <c r="W634" t="s">
        <v>11981</v>
      </c>
      <c r="X634" t="s">
        <v>11982</v>
      </c>
      <c r="Y634" t="s">
        <v>11983</v>
      </c>
      <c r="Z634" t="s">
        <v>11984</v>
      </c>
      <c r="AA634" t="s">
        <v>11985</v>
      </c>
      <c r="AB634" t="s">
        <v>11986</v>
      </c>
      <c r="AC634" t="s">
        <v>11987</v>
      </c>
      <c r="AD634" t="s">
        <v>11988</v>
      </c>
      <c r="AE634" t="s">
        <v>11989</v>
      </c>
      <c r="AF634" t="s">
        <v>74</v>
      </c>
      <c r="AG634">
        <v>75</v>
      </c>
      <c r="AH634">
        <v>12</v>
      </c>
      <c r="AI634">
        <v>14</v>
      </c>
      <c r="AJ634">
        <v>1</v>
      </c>
      <c r="AK634">
        <v>39</v>
      </c>
      <c r="AL634" t="s">
        <v>916</v>
      </c>
      <c r="AM634" t="s">
        <v>899</v>
      </c>
      <c r="AN634" t="s">
        <v>900</v>
      </c>
      <c r="AO634" t="s">
        <v>11990</v>
      </c>
      <c r="AP634" t="s">
        <v>74</v>
      </c>
      <c r="AQ634" t="s">
        <v>74</v>
      </c>
      <c r="AR634" t="s">
        <v>11991</v>
      </c>
      <c r="AS634" t="s">
        <v>11992</v>
      </c>
      <c r="AT634" t="s">
        <v>10359</v>
      </c>
      <c r="AU634">
        <v>2012</v>
      </c>
      <c r="AV634">
        <v>21</v>
      </c>
      <c r="AW634">
        <v>16</v>
      </c>
      <c r="AX634" t="s">
        <v>74</v>
      </c>
      <c r="AY634" t="s">
        <v>74</v>
      </c>
      <c r="AZ634" t="s">
        <v>74</v>
      </c>
      <c r="BA634" t="s">
        <v>74</v>
      </c>
      <c r="BB634">
        <v>3960</v>
      </c>
      <c r="BC634">
        <v>3973</v>
      </c>
      <c r="BD634" t="s">
        <v>74</v>
      </c>
      <c r="BE634" t="s">
        <v>11993</v>
      </c>
      <c r="BF634" t="str">
        <f>HYPERLINK("http://dx.doi.org/10.1111/j.1365-294X.2012.05676.x","http://dx.doi.org/10.1111/j.1365-294X.2012.05676.x")</f>
        <v>http://dx.doi.org/10.1111/j.1365-294X.2012.05676.x</v>
      </c>
      <c r="BG634" t="s">
        <v>74</v>
      </c>
      <c r="BH634" t="s">
        <v>74</v>
      </c>
      <c r="BI634">
        <v>14</v>
      </c>
      <c r="BJ634" t="s">
        <v>8852</v>
      </c>
      <c r="BK634" t="s">
        <v>98</v>
      </c>
      <c r="BL634" t="s">
        <v>8853</v>
      </c>
      <c r="BM634" t="s">
        <v>11994</v>
      </c>
      <c r="BN634">
        <v>22726223</v>
      </c>
      <c r="BO634" t="s">
        <v>74</v>
      </c>
      <c r="BP634" t="s">
        <v>74</v>
      </c>
      <c r="BQ634" t="s">
        <v>74</v>
      </c>
      <c r="BR634" t="s">
        <v>101</v>
      </c>
      <c r="BS634" t="s">
        <v>11995</v>
      </c>
      <c r="BT634" t="str">
        <f>HYPERLINK("https%3A%2F%2Fwww.webofscience.com%2Fwos%2Fwoscc%2Ffull-record%2FWOS:000306897500007","View Full Record in Web of Science")</f>
        <v>View Full Record in Web of Science</v>
      </c>
    </row>
    <row r="635" spans="1:72" x14ac:dyDescent="0.15">
      <c r="A635" t="s">
        <v>72</v>
      </c>
      <c r="B635" t="s">
        <v>11996</v>
      </c>
      <c r="C635" t="s">
        <v>74</v>
      </c>
      <c r="D635" t="s">
        <v>74</v>
      </c>
      <c r="E635" t="s">
        <v>74</v>
      </c>
      <c r="F635" t="s">
        <v>11997</v>
      </c>
      <c r="G635" t="s">
        <v>74</v>
      </c>
      <c r="H635" t="s">
        <v>74</v>
      </c>
      <c r="I635" t="s">
        <v>11998</v>
      </c>
      <c r="J635" t="s">
        <v>2850</v>
      </c>
      <c r="K635" t="s">
        <v>74</v>
      </c>
      <c r="L635" t="s">
        <v>74</v>
      </c>
      <c r="M635" t="s">
        <v>78</v>
      </c>
      <c r="N635" t="s">
        <v>79</v>
      </c>
      <c r="O635" t="s">
        <v>74</v>
      </c>
      <c r="P635" t="s">
        <v>74</v>
      </c>
      <c r="Q635" t="s">
        <v>74</v>
      </c>
      <c r="R635" t="s">
        <v>74</v>
      </c>
      <c r="S635" t="s">
        <v>74</v>
      </c>
      <c r="T635" t="s">
        <v>74</v>
      </c>
      <c r="U635" t="s">
        <v>11999</v>
      </c>
      <c r="V635" t="s">
        <v>12000</v>
      </c>
      <c r="W635" t="s">
        <v>12001</v>
      </c>
      <c r="X635" t="s">
        <v>12002</v>
      </c>
      <c r="Y635" t="s">
        <v>12003</v>
      </c>
      <c r="Z635" t="s">
        <v>12004</v>
      </c>
      <c r="AA635" t="s">
        <v>12005</v>
      </c>
      <c r="AB635" t="s">
        <v>12006</v>
      </c>
      <c r="AC635" t="s">
        <v>12007</v>
      </c>
      <c r="AD635" t="s">
        <v>12008</v>
      </c>
      <c r="AE635" t="s">
        <v>12009</v>
      </c>
      <c r="AF635" t="s">
        <v>74</v>
      </c>
      <c r="AG635">
        <v>32</v>
      </c>
      <c r="AH635">
        <v>152</v>
      </c>
      <c r="AI635">
        <v>158</v>
      </c>
      <c r="AJ635">
        <v>4</v>
      </c>
      <c r="AK635">
        <v>89</v>
      </c>
      <c r="AL635" t="s">
        <v>433</v>
      </c>
      <c r="AM635" t="s">
        <v>371</v>
      </c>
      <c r="AN635" t="s">
        <v>2862</v>
      </c>
      <c r="AO635" t="s">
        <v>2863</v>
      </c>
      <c r="AP635" t="s">
        <v>2864</v>
      </c>
      <c r="AQ635" t="s">
        <v>74</v>
      </c>
      <c r="AR635" t="s">
        <v>2865</v>
      </c>
      <c r="AS635" t="s">
        <v>2866</v>
      </c>
      <c r="AT635" t="s">
        <v>10359</v>
      </c>
      <c r="AU635">
        <v>2012</v>
      </c>
      <c r="AV635">
        <v>5</v>
      </c>
      <c r="AW635">
        <v>8</v>
      </c>
      <c r="AX635" t="s">
        <v>74</v>
      </c>
      <c r="AY635" t="s">
        <v>74</v>
      </c>
      <c r="AZ635" t="s">
        <v>74</v>
      </c>
      <c r="BA635" t="s">
        <v>74</v>
      </c>
      <c r="BB635">
        <v>579</v>
      </c>
      <c r="BC635">
        <v>584</v>
      </c>
      <c r="BD635" t="s">
        <v>74</v>
      </c>
      <c r="BE635" t="s">
        <v>12010</v>
      </c>
      <c r="BF635" t="str">
        <f>HYPERLINK("http://dx.doi.org/10.1038/NGEO1523","http://dx.doi.org/10.1038/NGEO1523")</f>
        <v>http://dx.doi.org/10.1038/NGEO1523</v>
      </c>
      <c r="BG635" t="s">
        <v>74</v>
      </c>
      <c r="BH635" t="s">
        <v>74</v>
      </c>
      <c r="BI635">
        <v>6</v>
      </c>
      <c r="BJ635" t="s">
        <v>461</v>
      </c>
      <c r="BK635" t="s">
        <v>98</v>
      </c>
      <c r="BL635" t="s">
        <v>462</v>
      </c>
      <c r="BM635" t="s">
        <v>11214</v>
      </c>
      <c r="BN635" t="s">
        <v>74</v>
      </c>
      <c r="BO635" t="s">
        <v>11395</v>
      </c>
      <c r="BP635" t="s">
        <v>74</v>
      </c>
      <c r="BQ635" t="s">
        <v>74</v>
      </c>
      <c r="BR635" t="s">
        <v>101</v>
      </c>
      <c r="BS635" t="s">
        <v>12011</v>
      </c>
      <c r="BT635" t="str">
        <f>HYPERLINK("https%3A%2F%2Fwww.webofscience.com%2Fwos%2Fwoscc%2Ffull-record%2FWOS:000307099000018","View Full Record in Web of Science")</f>
        <v>View Full Record in Web of Science</v>
      </c>
    </row>
    <row r="636" spans="1:72" x14ac:dyDescent="0.15">
      <c r="A636" t="s">
        <v>72</v>
      </c>
      <c r="B636" t="s">
        <v>12012</v>
      </c>
      <c r="C636" t="s">
        <v>74</v>
      </c>
      <c r="D636" t="s">
        <v>74</v>
      </c>
      <c r="E636" t="s">
        <v>74</v>
      </c>
      <c r="F636" t="s">
        <v>12013</v>
      </c>
      <c r="G636" t="s">
        <v>74</v>
      </c>
      <c r="H636" t="s">
        <v>74</v>
      </c>
      <c r="I636" t="s">
        <v>12014</v>
      </c>
      <c r="J636" t="s">
        <v>12015</v>
      </c>
      <c r="K636" t="s">
        <v>74</v>
      </c>
      <c r="L636" t="s">
        <v>74</v>
      </c>
      <c r="M636" t="s">
        <v>78</v>
      </c>
      <c r="N636" t="s">
        <v>79</v>
      </c>
      <c r="O636" t="s">
        <v>74</v>
      </c>
      <c r="P636" t="s">
        <v>74</v>
      </c>
      <c r="Q636" t="s">
        <v>74</v>
      </c>
      <c r="R636" t="s">
        <v>74</v>
      </c>
      <c r="S636" t="s">
        <v>74</v>
      </c>
      <c r="T636" t="s">
        <v>12016</v>
      </c>
      <c r="U636" t="s">
        <v>12017</v>
      </c>
      <c r="V636" t="s">
        <v>12018</v>
      </c>
      <c r="W636" t="s">
        <v>12019</v>
      </c>
      <c r="X636" t="s">
        <v>12020</v>
      </c>
      <c r="Y636" t="s">
        <v>12021</v>
      </c>
      <c r="Z636" t="s">
        <v>12022</v>
      </c>
      <c r="AA636" t="s">
        <v>12023</v>
      </c>
      <c r="AB636" t="s">
        <v>12024</v>
      </c>
      <c r="AC636" t="s">
        <v>12025</v>
      </c>
      <c r="AD636" t="s">
        <v>12026</v>
      </c>
      <c r="AE636" t="s">
        <v>12027</v>
      </c>
      <c r="AF636" t="s">
        <v>74</v>
      </c>
      <c r="AG636">
        <v>55</v>
      </c>
      <c r="AH636">
        <v>31</v>
      </c>
      <c r="AI636">
        <v>33</v>
      </c>
      <c r="AJ636">
        <v>0</v>
      </c>
      <c r="AK636">
        <v>19</v>
      </c>
      <c r="AL636" t="s">
        <v>1034</v>
      </c>
      <c r="AM636" t="s">
        <v>90</v>
      </c>
      <c r="AN636" t="s">
        <v>1035</v>
      </c>
      <c r="AO636" t="s">
        <v>12028</v>
      </c>
      <c r="AP636" t="s">
        <v>12029</v>
      </c>
      <c r="AQ636" t="s">
        <v>74</v>
      </c>
      <c r="AR636" t="s">
        <v>12030</v>
      </c>
      <c r="AS636" t="s">
        <v>12031</v>
      </c>
      <c r="AT636" t="s">
        <v>10359</v>
      </c>
      <c r="AU636">
        <v>2012</v>
      </c>
      <c r="AV636" t="s">
        <v>12032</v>
      </c>
      <c r="AW636" t="s">
        <v>74</v>
      </c>
      <c r="AX636" t="s">
        <v>74</v>
      </c>
      <c r="AY636" t="s">
        <v>74</v>
      </c>
      <c r="AZ636" t="s">
        <v>74</v>
      </c>
      <c r="BA636" t="s">
        <v>74</v>
      </c>
      <c r="BB636">
        <v>1</v>
      </c>
      <c r="BC636">
        <v>8</v>
      </c>
      <c r="BD636" t="s">
        <v>74</v>
      </c>
      <c r="BE636" t="s">
        <v>12033</v>
      </c>
      <c r="BF636" t="str">
        <f>HYPERLINK("http://dx.doi.org/10.1016/j.ocemod.2012.04.006","http://dx.doi.org/10.1016/j.ocemod.2012.04.006")</f>
        <v>http://dx.doi.org/10.1016/j.ocemod.2012.04.006</v>
      </c>
      <c r="BG636" t="s">
        <v>74</v>
      </c>
      <c r="BH636" t="s">
        <v>74</v>
      </c>
      <c r="BI636">
        <v>8</v>
      </c>
      <c r="BJ636" t="s">
        <v>12034</v>
      </c>
      <c r="BK636" t="s">
        <v>98</v>
      </c>
      <c r="BL636" t="s">
        <v>12034</v>
      </c>
      <c r="BM636" t="s">
        <v>12035</v>
      </c>
      <c r="BN636" t="s">
        <v>74</v>
      </c>
      <c r="BO636" t="s">
        <v>416</v>
      </c>
      <c r="BP636" t="s">
        <v>74</v>
      </c>
      <c r="BQ636" t="s">
        <v>74</v>
      </c>
      <c r="BR636" t="s">
        <v>101</v>
      </c>
      <c r="BS636" t="s">
        <v>12036</v>
      </c>
      <c r="BT636" t="str">
        <f>HYPERLINK("https%3A%2F%2Fwww.webofscience.com%2Fwos%2Fwoscc%2Ffull-record%2FWOS:000306169200001","View Full Record in Web of Science")</f>
        <v>View Full Record in Web of Science</v>
      </c>
    </row>
    <row r="637" spans="1:72" x14ac:dyDescent="0.15">
      <c r="A637" t="s">
        <v>72</v>
      </c>
      <c r="B637" t="s">
        <v>12037</v>
      </c>
      <c r="C637" t="s">
        <v>74</v>
      </c>
      <c r="D637" t="s">
        <v>74</v>
      </c>
      <c r="E637" t="s">
        <v>74</v>
      </c>
      <c r="F637" t="s">
        <v>12038</v>
      </c>
      <c r="G637" t="s">
        <v>74</v>
      </c>
      <c r="H637" t="s">
        <v>74</v>
      </c>
      <c r="I637" t="s">
        <v>12039</v>
      </c>
      <c r="J637" t="s">
        <v>1860</v>
      </c>
      <c r="K637" t="s">
        <v>74</v>
      </c>
      <c r="L637" t="s">
        <v>74</v>
      </c>
      <c r="M637" t="s">
        <v>78</v>
      </c>
      <c r="N637" t="s">
        <v>79</v>
      </c>
      <c r="O637" t="s">
        <v>74</v>
      </c>
      <c r="P637" t="s">
        <v>74</v>
      </c>
      <c r="Q637" t="s">
        <v>74</v>
      </c>
      <c r="R637" t="s">
        <v>74</v>
      </c>
      <c r="S637" t="s">
        <v>74</v>
      </c>
      <c r="T637" t="s">
        <v>12040</v>
      </c>
      <c r="U637" t="s">
        <v>12041</v>
      </c>
      <c r="V637" t="s">
        <v>12042</v>
      </c>
      <c r="W637" t="s">
        <v>12043</v>
      </c>
      <c r="X637" t="s">
        <v>12044</v>
      </c>
      <c r="Y637" t="s">
        <v>12045</v>
      </c>
      <c r="Z637" t="s">
        <v>12046</v>
      </c>
      <c r="AA637" t="s">
        <v>12047</v>
      </c>
      <c r="AB637" t="s">
        <v>12048</v>
      </c>
      <c r="AC637" t="s">
        <v>12049</v>
      </c>
      <c r="AD637" t="s">
        <v>12050</v>
      </c>
      <c r="AE637" t="s">
        <v>12051</v>
      </c>
      <c r="AF637" t="s">
        <v>74</v>
      </c>
      <c r="AG637">
        <v>72</v>
      </c>
      <c r="AH637">
        <v>12</v>
      </c>
      <c r="AI637">
        <v>17</v>
      </c>
      <c r="AJ637">
        <v>0</v>
      </c>
      <c r="AK637">
        <v>52</v>
      </c>
      <c r="AL637" t="s">
        <v>935</v>
      </c>
      <c r="AM637" t="s">
        <v>371</v>
      </c>
      <c r="AN637" t="s">
        <v>1873</v>
      </c>
      <c r="AO637" t="s">
        <v>1874</v>
      </c>
      <c r="AP637" t="s">
        <v>1875</v>
      </c>
      <c r="AQ637" t="s">
        <v>74</v>
      </c>
      <c r="AR637" t="s">
        <v>1876</v>
      </c>
      <c r="AS637" t="s">
        <v>1877</v>
      </c>
      <c r="AT637" t="s">
        <v>10359</v>
      </c>
      <c r="AU637">
        <v>2012</v>
      </c>
      <c r="AV637">
        <v>35</v>
      </c>
      <c r="AW637">
        <v>8</v>
      </c>
      <c r="AX637" t="s">
        <v>74</v>
      </c>
      <c r="AY637" t="s">
        <v>74</v>
      </c>
      <c r="AZ637" t="s">
        <v>74</v>
      </c>
      <c r="BA637" t="s">
        <v>74</v>
      </c>
      <c r="BB637">
        <v>1129</v>
      </c>
      <c r="BC637">
        <v>1141</v>
      </c>
      <c r="BD637" t="s">
        <v>74</v>
      </c>
      <c r="BE637" t="s">
        <v>12052</v>
      </c>
      <c r="BF637" t="str">
        <f>HYPERLINK("http://dx.doi.org/10.1007/s00300-012-1160-0","http://dx.doi.org/10.1007/s00300-012-1160-0")</f>
        <v>http://dx.doi.org/10.1007/s00300-012-1160-0</v>
      </c>
      <c r="BG637" t="s">
        <v>74</v>
      </c>
      <c r="BH637" t="s">
        <v>74</v>
      </c>
      <c r="BI637">
        <v>13</v>
      </c>
      <c r="BJ637" t="s">
        <v>1879</v>
      </c>
      <c r="BK637" t="s">
        <v>98</v>
      </c>
      <c r="BL637" t="s">
        <v>1880</v>
      </c>
      <c r="BM637" t="s">
        <v>12053</v>
      </c>
      <c r="BN637" t="s">
        <v>74</v>
      </c>
      <c r="BO637" t="s">
        <v>74</v>
      </c>
      <c r="BP637" t="s">
        <v>74</v>
      </c>
      <c r="BQ637" t="s">
        <v>74</v>
      </c>
      <c r="BR637" t="s">
        <v>101</v>
      </c>
      <c r="BS637" t="s">
        <v>12054</v>
      </c>
      <c r="BT637" t="str">
        <f>HYPERLINK("https%3A%2F%2Fwww.webofscience.com%2Fwos%2Fwoscc%2Ffull-record%2FWOS:000306345800001","View Full Record in Web of Science")</f>
        <v>View Full Record in Web of Science</v>
      </c>
    </row>
    <row r="638" spans="1:72" x14ac:dyDescent="0.15">
      <c r="A638" t="s">
        <v>72</v>
      </c>
      <c r="B638" t="s">
        <v>12055</v>
      </c>
      <c r="C638" t="s">
        <v>74</v>
      </c>
      <c r="D638" t="s">
        <v>74</v>
      </c>
      <c r="E638" t="s">
        <v>74</v>
      </c>
      <c r="F638" t="s">
        <v>12056</v>
      </c>
      <c r="G638" t="s">
        <v>74</v>
      </c>
      <c r="H638" t="s">
        <v>74</v>
      </c>
      <c r="I638" t="s">
        <v>12057</v>
      </c>
      <c r="J638" t="s">
        <v>1860</v>
      </c>
      <c r="K638" t="s">
        <v>74</v>
      </c>
      <c r="L638" t="s">
        <v>74</v>
      </c>
      <c r="M638" t="s">
        <v>78</v>
      </c>
      <c r="N638" t="s">
        <v>79</v>
      </c>
      <c r="O638" t="s">
        <v>74</v>
      </c>
      <c r="P638" t="s">
        <v>74</v>
      </c>
      <c r="Q638" t="s">
        <v>74</v>
      </c>
      <c r="R638" t="s">
        <v>74</v>
      </c>
      <c r="S638" t="s">
        <v>74</v>
      </c>
      <c r="T638" t="s">
        <v>12058</v>
      </c>
      <c r="U638" t="s">
        <v>12059</v>
      </c>
      <c r="V638" t="s">
        <v>12060</v>
      </c>
      <c r="W638" t="s">
        <v>12061</v>
      </c>
      <c r="X638" t="s">
        <v>12062</v>
      </c>
      <c r="Y638" t="s">
        <v>12063</v>
      </c>
      <c r="Z638" t="s">
        <v>12064</v>
      </c>
      <c r="AA638" t="s">
        <v>12065</v>
      </c>
      <c r="AB638" t="s">
        <v>12066</v>
      </c>
      <c r="AC638" t="s">
        <v>12067</v>
      </c>
      <c r="AD638" t="s">
        <v>12068</v>
      </c>
      <c r="AE638" t="s">
        <v>12069</v>
      </c>
      <c r="AF638" t="s">
        <v>74</v>
      </c>
      <c r="AG638">
        <v>26</v>
      </c>
      <c r="AH638">
        <v>13</v>
      </c>
      <c r="AI638">
        <v>15</v>
      </c>
      <c r="AJ638">
        <v>0</v>
      </c>
      <c r="AK638">
        <v>16</v>
      </c>
      <c r="AL638" t="s">
        <v>935</v>
      </c>
      <c r="AM638" t="s">
        <v>371</v>
      </c>
      <c r="AN638" t="s">
        <v>936</v>
      </c>
      <c r="AO638" t="s">
        <v>1874</v>
      </c>
      <c r="AP638" t="s">
        <v>1875</v>
      </c>
      <c r="AQ638" t="s">
        <v>74</v>
      </c>
      <c r="AR638" t="s">
        <v>1876</v>
      </c>
      <c r="AS638" t="s">
        <v>1877</v>
      </c>
      <c r="AT638" t="s">
        <v>10359</v>
      </c>
      <c r="AU638">
        <v>2012</v>
      </c>
      <c r="AV638">
        <v>35</v>
      </c>
      <c r="AW638">
        <v>8</v>
      </c>
      <c r="AX638" t="s">
        <v>74</v>
      </c>
      <c r="AY638" t="s">
        <v>74</v>
      </c>
      <c r="AZ638" t="s">
        <v>74</v>
      </c>
      <c r="BA638" t="s">
        <v>74</v>
      </c>
      <c r="BB638">
        <v>1143</v>
      </c>
      <c r="BC638">
        <v>1149</v>
      </c>
      <c r="BD638" t="s">
        <v>74</v>
      </c>
      <c r="BE638" t="s">
        <v>12070</v>
      </c>
      <c r="BF638" t="str">
        <f>HYPERLINK("http://dx.doi.org/10.1007/s00300-012-1161-z","http://dx.doi.org/10.1007/s00300-012-1161-z")</f>
        <v>http://dx.doi.org/10.1007/s00300-012-1161-z</v>
      </c>
      <c r="BG638" t="s">
        <v>74</v>
      </c>
      <c r="BH638" t="s">
        <v>74</v>
      </c>
      <c r="BI638">
        <v>7</v>
      </c>
      <c r="BJ638" t="s">
        <v>1879</v>
      </c>
      <c r="BK638" t="s">
        <v>98</v>
      </c>
      <c r="BL638" t="s">
        <v>1880</v>
      </c>
      <c r="BM638" t="s">
        <v>12053</v>
      </c>
      <c r="BN638" t="s">
        <v>74</v>
      </c>
      <c r="BO638" t="s">
        <v>74</v>
      </c>
      <c r="BP638" t="s">
        <v>74</v>
      </c>
      <c r="BQ638" t="s">
        <v>74</v>
      </c>
      <c r="BR638" t="s">
        <v>101</v>
      </c>
      <c r="BS638" t="s">
        <v>12071</v>
      </c>
      <c r="BT638" t="str">
        <f>HYPERLINK("https%3A%2F%2Fwww.webofscience.com%2Fwos%2Fwoscc%2Ffull-record%2FWOS:000306345800002","View Full Record in Web of Science")</f>
        <v>View Full Record in Web of Science</v>
      </c>
    </row>
    <row r="639" spans="1:72" x14ac:dyDescent="0.15">
      <c r="A639" t="s">
        <v>72</v>
      </c>
      <c r="B639" t="s">
        <v>12072</v>
      </c>
      <c r="C639" t="s">
        <v>74</v>
      </c>
      <c r="D639" t="s">
        <v>74</v>
      </c>
      <c r="E639" t="s">
        <v>74</v>
      </c>
      <c r="F639" t="s">
        <v>12073</v>
      </c>
      <c r="G639" t="s">
        <v>74</v>
      </c>
      <c r="H639" t="s">
        <v>74</v>
      </c>
      <c r="I639" t="s">
        <v>12074</v>
      </c>
      <c r="J639" t="s">
        <v>1860</v>
      </c>
      <c r="K639" t="s">
        <v>74</v>
      </c>
      <c r="L639" t="s">
        <v>74</v>
      </c>
      <c r="M639" t="s">
        <v>78</v>
      </c>
      <c r="N639" t="s">
        <v>79</v>
      </c>
      <c r="O639" t="s">
        <v>74</v>
      </c>
      <c r="P639" t="s">
        <v>74</v>
      </c>
      <c r="Q639" t="s">
        <v>74</v>
      </c>
      <c r="R639" t="s">
        <v>74</v>
      </c>
      <c r="S639" t="s">
        <v>74</v>
      </c>
      <c r="T639" t="s">
        <v>12075</v>
      </c>
      <c r="U639" t="s">
        <v>12076</v>
      </c>
      <c r="V639" t="s">
        <v>12077</v>
      </c>
      <c r="W639" t="s">
        <v>12078</v>
      </c>
      <c r="X639" t="s">
        <v>12079</v>
      </c>
      <c r="Y639" t="s">
        <v>12080</v>
      </c>
      <c r="Z639" t="s">
        <v>12081</v>
      </c>
      <c r="AA639" t="s">
        <v>74</v>
      </c>
      <c r="AB639" t="s">
        <v>74</v>
      </c>
      <c r="AC639" t="s">
        <v>12082</v>
      </c>
      <c r="AD639" t="s">
        <v>12083</v>
      </c>
      <c r="AE639" t="s">
        <v>12084</v>
      </c>
      <c r="AF639" t="s">
        <v>74</v>
      </c>
      <c r="AG639">
        <v>101</v>
      </c>
      <c r="AH639">
        <v>30</v>
      </c>
      <c r="AI639">
        <v>35</v>
      </c>
      <c r="AJ639">
        <v>0</v>
      </c>
      <c r="AK639">
        <v>35</v>
      </c>
      <c r="AL639" t="s">
        <v>935</v>
      </c>
      <c r="AM639" t="s">
        <v>371</v>
      </c>
      <c r="AN639" t="s">
        <v>936</v>
      </c>
      <c r="AO639" t="s">
        <v>1874</v>
      </c>
      <c r="AP639" t="s">
        <v>1875</v>
      </c>
      <c r="AQ639" t="s">
        <v>74</v>
      </c>
      <c r="AR639" t="s">
        <v>1876</v>
      </c>
      <c r="AS639" t="s">
        <v>1877</v>
      </c>
      <c r="AT639" t="s">
        <v>10359</v>
      </c>
      <c r="AU639">
        <v>2012</v>
      </c>
      <c r="AV639">
        <v>35</v>
      </c>
      <c r="AW639">
        <v>8</v>
      </c>
      <c r="AX639" t="s">
        <v>74</v>
      </c>
      <c r="AY639" t="s">
        <v>74</v>
      </c>
      <c r="AZ639" t="s">
        <v>74</v>
      </c>
      <c r="BA639" t="s">
        <v>74</v>
      </c>
      <c r="BB639">
        <v>1151</v>
      </c>
      <c r="BC639">
        <v>1177</v>
      </c>
      <c r="BD639" t="s">
        <v>74</v>
      </c>
      <c r="BE639" t="s">
        <v>12085</v>
      </c>
      <c r="BF639" t="str">
        <f>HYPERLINK("http://dx.doi.org/10.1007/s00300-012-1162-y","http://dx.doi.org/10.1007/s00300-012-1162-y")</f>
        <v>http://dx.doi.org/10.1007/s00300-012-1162-y</v>
      </c>
      <c r="BG639" t="s">
        <v>74</v>
      </c>
      <c r="BH639" t="s">
        <v>74</v>
      </c>
      <c r="BI639">
        <v>27</v>
      </c>
      <c r="BJ639" t="s">
        <v>1879</v>
      </c>
      <c r="BK639" t="s">
        <v>98</v>
      </c>
      <c r="BL639" t="s">
        <v>1880</v>
      </c>
      <c r="BM639" t="s">
        <v>12053</v>
      </c>
      <c r="BN639" t="s">
        <v>74</v>
      </c>
      <c r="BO639" t="s">
        <v>74</v>
      </c>
      <c r="BP639" t="s">
        <v>74</v>
      </c>
      <c r="BQ639" t="s">
        <v>74</v>
      </c>
      <c r="BR639" t="s">
        <v>101</v>
      </c>
      <c r="BS639" t="s">
        <v>12086</v>
      </c>
      <c r="BT639" t="str">
        <f>HYPERLINK("https%3A%2F%2Fwww.webofscience.com%2Fwos%2Fwoscc%2Ffull-record%2FWOS:000306345800003","View Full Record in Web of Science")</f>
        <v>View Full Record in Web of Science</v>
      </c>
    </row>
    <row r="640" spans="1:72" x14ac:dyDescent="0.15">
      <c r="A640" t="s">
        <v>72</v>
      </c>
      <c r="B640" t="s">
        <v>12087</v>
      </c>
      <c r="C640" t="s">
        <v>74</v>
      </c>
      <c r="D640" t="s">
        <v>74</v>
      </c>
      <c r="E640" t="s">
        <v>74</v>
      </c>
      <c r="F640" t="s">
        <v>12088</v>
      </c>
      <c r="G640" t="s">
        <v>74</v>
      </c>
      <c r="H640" t="s">
        <v>74</v>
      </c>
      <c r="I640" t="s">
        <v>12089</v>
      </c>
      <c r="J640" t="s">
        <v>1860</v>
      </c>
      <c r="K640" t="s">
        <v>74</v>
      </c>
      <c r="L640" t="s">
        <v>74</v>
      </c>
      <c r="M640" t="s">
        <v>78</v>
      </c>
      <c r="N640" t="s">
        <v>79</v>
      </c>
      <c r="O640" t="s">
        <v>74</v>
      </c>
      <c r="P640" t="s">
        <v>74</v>
      </c>
      <c r="Q640" t="s">
        <v>74</v>
      </c>
      <c r="R640" t="s">
        <v>74</v>
      </c>
      <c r="S640" t="s">
        <v>74</v>
      </c>
      <c r="T640" t="s">
        <v>12090</v>
      </c>
      <c r="U640" t="s">
        <v>12091</v>
      </c>
      <c r="V640" t="s">
        <v>12092</v>
      </c>
      <c r="W640" t="s">
        <v>12093</v>
      </c>
      <c r="X640" t="s">
        <v>12094</v>
      </c>
      <c r="Y640" t="s">
        <v>12095</v>
      </c>
      <c r="Z640" t="s">
        <v>12096</v>
      </c>
      <c r="AA640" t="s">
        <v>74</v>
      </c>
      <c r="AB640" t="s">
        <v>74</v>
      </c>
      <c r="AC640" t="s">
        <v>12097</v>
      </c>
      <c r="AD640" t="s">
        <v>2296</v>
      </c>
      <c r="AE640" t="s">
        <v>74</v>
      </c>
      <c r="AF640" t="s">
        <v>74</v>
      </c>
      <c r="AG640">
        <v>28</v>
      </c>
      <c r="AH640">
        <v>5</v>
      </c>
      <c r="AI640">
        <v>7</v>
      </c>
      <c r="AJ640">
        <v>0</v>
      </c>
      <c r="AK640">
        <v>10</v>
      </c>
      <c r="AL640" t="s">
        <v>935</v>
      </c>
      <c r="AM640" t="s">
        <v>371</v>
      </c>
      <c r="AN640" t="s">
        <v>936</v>
      </c>
      <c r="AO640" t="s">
        <v>1874</v>
      </c>
      <c r="AP640" t="s">
        <v>1875</v>
      </c>
      <c r="AQ640" t="s">
        <v>74</v>
      </c>
      <c r="AR640" t="s">
        <v>1876</v>
      </c>
      <c r="AS640" t="s">
        <v>1877</v>
      </c>
      <c r="AT640" t="s">
        <v>10359</v>
      </c>
      <c r="AU640">
        <v>2012</v>
      </c>
      <c r="AV640">
        <v>35</v>
      </c>
      <c r="AW640">
        <v>8</v>
      </c>
      <c r="AX640" t="s">
        <v>74</v>
      </c>
      <c r="AY640" t="s">
        <v>74</v>
      </c>
      <c r="AZ640" t="s">
        <v>74</v>
      </c>
      <c r="BA640" t="s">
        <v>74</v>
      </c>
      <c r="BB640">
        <v>1179</v>
      </c>
      <c r="BC640">
        <v>1186</v>
      </c>
      <c r="BD640" t="s">
        <v>74</v>
      </c>
      <c r="BE640" t="s">
        <v>12098</v>
      </c>
      <c r="BF640" t="str">
        <f>HYPERLINK("http://dx.doi.org/10.1007/s00300-012-1163-x","http://dx.doi.org/10.1007/s00300-012-1163-x")</f>
        <v>http://dx.doi.org/10.1007/s00300-012-1163-x</v>
      </c>
      <c r="BG640" t="s">
        <v>74</v>
      </c>
      <c r="BH640" t="s">
        <v>74</v>
      </c>
      <c r="BI640">
        <v>8</v>
      </c>
      <c r="BJ640" t="s">
        <v>1879</v>
      </c>
      <c r="BK640" t="s">
        <v>98</v>
      </c>
      <c r="BL640" t="s">
        <v>1880</v>
      </c>
      <c r="BM640" t="s">
        <v>12053</v>
      </c>
      <c r="BN640" t="s">
        <v>74</v>
      </c>
      <c r="BO640" t="s">
        <v>74</v>
      </c>
      <c r="BP640" t="s">
        <v>74</v>
      </c>
      <c r="BQ640" t="s">
        <v>74</v>
      </c>
      <c r="BR640" t="s">
        <v>101</v>
      </c>
      <c r="BS640" t="s">
        <v>12099</v>
      </c>
      <c r="BT640" t="str">
        <f>HYPERLINK("https%3A%2F%2Fwww.webofscience.com%2Fwos%2Fwoscc%2Ffull-record%2FWOS:000306345800004","View Full Record in Web of Science")</f>
        <v>View Full Record in Web of Science</v>
      </c>
    </row>
    <row r="641" spans="1:72" x14ac:dyDescent="0.15">
      <c r="A641" t="s">
        <v>72</v>
      </c>
      <c r="B641" t="s">
        <v>12100</v>
      </c>
      <c r="C641" t="s">
        <v>74</v>
      </c>
      <c r="D641" t="s">
        <v>74</v>
      </c>
      <c r="E641" t="s">
        <v>74</v>
      </c>
      <c r="F641" t="s">
        <v>12101</v>
      </c>
      <c r="G641" t="s">
        <v>74</v>
      </c>
      <c r="H641" t="s">
        <v>74</v>
      </c>
      <c r="I641" t="s">
        <v>12102</v>
      </c>
      <c r="J641" t="s">
        <v>1860</v>
      </c>
      <c r="K641" t="s">
        <v>74</v>
      </c>
      <c r="L641" t="s">
        <v>74</v>
      </c>
      <c r="M641" t="s">
        <v>78</v>
      </c>
      <c r="N641" t="s">
        <v>79</v>
      </c>
      <c r="O641" t="s">
        <v>74</v>
      </c>
      <c r="P641" t="s">
        <v>74</v>
      </c>
      <c r="Q641" t="s">
        <v>74</v>
      </c>
      <c r="R641" t="s">
        <v>74</v>
      </c>
      <c r="S641" t="s">
        <v>74</v>
      </c>
      <c r="T641" t="s">
        <v>12103</v>
      </c>
      <c r="U641" t="s">
        <v>12104</v>
      </c>
      <c r="V641" t="s">
        <v>12105</v>
      </c>
      <c r="W641" t="s">
        <v>12106</v>
      </c>
      <c r="X641" t="s">
        <v>12107</v>
      </c>
      <c r="Y641" t="s">
        <v>12108</v>
      </c>
      <c r="Z641" t="s">
        <v>12109</v>
      </c>
      <c r="AA641" t="s">
        <v>12110</v>
      </c>
      <c r="AB641" t="s">
        <v>12111</v>
      </c>
      <c r="AC641" t="s">
        <v>12112</v>
      </c>
      <c r="AD641" t="s">
        <v>12113</v>
      </c>
      <c r="AE641" t="s">
        <v>12114</v>
      </c>
      <c r="AF641" t="s">
        <v>74</v>
      </c>
      <c r="AG641">
        <v>66</v>
      </c>
      <c r="AH641">
        <v>64</v>
      </c>
      <c r="AI641">
        <v>65</v>
      </c>
      <c r="AJ641">
        <v>4</v>
      </c>
      <c r="AK641">
        <v>58</v>
      </c>
      <c r="AL641" t="s">
        <v>935</v>
      </c>
      <c r="AM641" t="s">
        <v>371</v>
      </c>
      <c r="AN641" t="s">
        <v>1873</v>
      </c>
      <c r="AO641" t="s">
        <v>1874</v>
      </c>
      <c r="AP641" t="s">
        <v>1875</v>
      </c>
      <c r="AQ641" t="s">
        <v>74</v>
      </c>
      <c r="AR641" t="s">
        <v>1876</v>
      </c>
      <c r="AS641" t="s">
        <v>1877</v>
      </c>
      <c r="AT641" t="s">
        <v>10359</v>
      </c>
      <c r="AU641">
        <v>2012</v>
      </c>
      <c r="AV641">
        <v>35</v>
      </c>
      <c r="AW641">
        <v>8</v>
      </c>
      <c r="AX641" t="s">
        <v>74</v>
      </c>
      <c r="AY641" t="s">
        <v>74</v>
      </c>
      <c r="AZ641" t="s">
        <v>74</v>
      </c>
      <c r="BA641" t="s">
        <v>74</v>
      </c>
      <c r="BB641">
        <v>1233</v>
      </c>
      <c r="BC641">
        <v>1245</v>
      </c>
      <c r="BD641" t="s">
        <v>74</v>
      </c>
      <c r="BE641" t="s">
        <v>12115</v>
      </c>
      <c r="BF641" t="str">
        <f>HYPERLINK("http://dx.doi.org/10.1007/s00300-012-1169-4","http://dx.doi.org/10.1007/s00300-012-1169-4")</f>
        <v>http://dx.doi.org/10.1007/s00300-012-1169-4</v>
      </c>
      <c r="BG641" t="s">
        <v>74</v>
      </c>
      <c r="BH641" t="s">
        <v>74</v>
      </c>
      <c r="BI641">
        <v>13</v>
      </c>
      <c r="BJ641" t="s">
        <v>1879</v>
      </c>
      <c r="BK641" t="s">
        <v>98</v>
      </c>
      <c r="BL641" t="s">
        <v>1880</v>
      </c>
      <c r="BM641" t="s">
        <v>12053</v>
      </c>
      <c r="BN641" t="s">
        <v>74</v>
      </c>
      <c r="BO641" t="s">
        <v>12116</v>
      </c>
      <c r="BP641" t="s">
        <v>74</v>
      </c>
      <c r="BQ641" t="s">
        <v>74</v>
      </c>
      <c r="BR641" t="s">
        <v>101</v>
      </c>
      <c r="BS641" t="s">
        <v>12117</v>
      </c>
      <c r="BT641" t="str">
        <f>HYPERLINK("https%3A%2F%2Fwww.webofscience.com%2Fwos%2Fwoscc%2Ffull-record%2FWOS:000306345800009","View Full Record in Web of Science")</f>
        <v>View Full Record in Web of Science</v>
      </c>
    </row>
    <row r="642" spans="1:72" x14ac:dyDescent="0.15">
      <c r="A642" t="s">
        <v>72</v>
      </c>
      <c r="B642" t="s">
        <v>12118</v>
      </c>
      <c r="C642" t="s">
        <v>74</v>
      </c>
      <c r="D642" t="s">
        <v>74</v>
      </c>
      <c r="E642" t="s">
        <v>74</v>
      </c>
      <c r="F642" t="s">
        <v>12119</v>
      </c>
      <c r="G642" t="s">
        <v>74</v>
      </c>
      <c r="H642" t="s">
        <v>74</v>
      </c>
      <c r="I642" t="s">
        <v>12120</v>
      </c>
      <c r="J642" t="s">
        <v>12121</v>
      </c>
      <c r="K642" t="s">
        <v>74</v>
      </c>
      <c r="L642" t="s">
        <v>74</v>
      </c>
      <c r="M642" t="s">
        <v>78</v>
      </c>
      <c r="N642" t="s">
        <v>79</v>
      </c>
      <c r="O642" t="s">
        <v>74</v>
      </c>
      <c r="P642" t="s">
        <v>74</v>
      </c>
      <c r="Q642" t="s">
        <v>74</v>
      </c>
      <c r="R642" t="s">
        <v>74</v>
      </c>
      <c r="S642" t="s">
        <v>74</v>
      </c>
      <c r="T642" t="s">
        <v>12122</v>
      </c>
      <c r="U642" t="s">
        <v>12123</v>
      </c>
      <c r="V642" t="s">
        <v>12124</v>
      </c>
      <c r="W642" t="s">
        <v>12125</v>
      </c>
      <c r="X642" t="s">
        <v>12126</v>
      </c>
      <c r="Y642" t="s">
        <v>12127</v>
      </c>
      <c r="Z642" t="s">
        <v>12128</v>
      </c>
      <c r="AA642" t="s">
        <v>12129</v>
      </c>
      <c r="AB642" t="s">
        <v>12130</v>
      </c>
      <c r="AC642" t="s">
        <v>12131</v>
      </c>
      <c r="AD642" t="s">
        <v>12132</v>
      </c>
      <c r="AE642" t="s">
        <v>12133</v>
      </c>
      <c r="AF642" t="s">
        <v>74</v>
      </c>
      <c r="AG642">
        <v>36</v>
      </c>
      <c r="AH642">
        <v>9</v>
      </c>
      <c r="AI642">
        <v>10</v>
      </c>
      <c r="AJ642">
        <v>0</v>
      </c>
      <c r="AK642">
        <v>7</v>
      </c>
      <c r="AL642" t="s">
        <v>188</v>
      </c>
      <c r="AM642" t="s">
        <v>189</v>
      </c>
      <c r="AN642" t="s">
        <v>190</v>
      </c>
      <c r="AO642" t="s">
        <v>12134</v>
      </c>
      <c r="AP642" t="s">
        <v>12135</v>
      </c>
      <c r="AQ642" t="s">
        <v>74</v>
      </c>
      <c r="AR642" t="s">
        <v>12136</v>
      </c>
      <c r="AS642" t="s">
        <v>12137</v>
      </c>
      <c r="AT642" t="s">
        <v>10359</v>
      </c>
      <c r="AU642">
        <v>2012</v>
      </c>
      <c r="AV642">
        <v>212</v>
      </c>
      <c r="AW642" t="s">
        <v>74</v>
      </c>
      <c r="AX642" t="s">
        <v>74</v>
      </c>
      <c r="AY642" t="s">
        <v>74</v>
      </c>
      <c r="AZ642" t="s">
        <v>74</v>
      </c>
      <c r="BA642" t="s">
        <v>74</v>
      </c>
      <c r="BB642">
        <v>13</v>
      </c>
      <c r="BC642">
        <v>20</v>
      </c>
      <c r="BD642" t="s">
        <v>74</v>
      </c>
      <c r="BE642" t="s">
        <v>12138</v>
      </c>
      <c r="BF642" t="str">
        <f>HYPERLINK("http://dx.doi.org/10.1016/j.precamres.2012.04.003","http://dx.doi.org/10.1016/j.precamres.2012.04.003")</f>
        <v>http://dx.doi.org/10.1016/j.precamres.2012.04.003</v>
      </c>
      <c r="BG642" t="s">
        <v>74</v>
      </c>
      <c r="BH642" t="s">
        <v>74</v>
      </c>
      <c r="BI642">
        <v>8</v>
      </c>
      <c r="BJ642" t="s">
        <v>461</v>
      </c>
      <c r="BK642" t="s">
        <v>98</v>
      </c>
      <c r="BL642" t="s">
        <v>462</v>
      </c>
      <c r="BM642" t="s">
        <v>12139</v>
      </c>
      <c r="BN642" t="s">
        <v>74</v>
      </c>
      <c r="BO642" t="s">
        <v>74</v>
      </c>
      <c r="BP642" t="s">
        <v>74</v>
      </c>
      <c r="BQ642" t="s">
        <v>74</v>
      </c>
      <c r="BR642" t="s">
        <v>101</v>
      </c>
      <c r="BS642" t="s">
        <v>12140</v>
      </c>
      <c r="BT642" t="str">
        <f>HYPERLINK("https%3A%2F%2Fwww.webofscience.com%2Fwos%2Fwoscc%2Ffull-record%2FWOS:000307085500002","View Full Record in Web of Science")</f>
        <v>View Full Record in Web of Science</v>
      </c>
    </row>
    <row r="643" spans="1:72" x14ac:dyDescent="0.15">
      <c r="A643" t="s">
        <v>72</v>
      </c>
      <c r="B643" t="s">
        <v>12141</v>
      </c>
      <c r="C643" t="s">
        <v>74</v>
      </c>
      <c r="D643" t="s">
        <v>74</v>
      </c>
      <c r="E643" t="s">
        <v>74</v>
      </c>
      <c r="F643" t="s">
        <v>12142</v>
      </c>
      <c r="G643" t="s">
        <v>74</v>
      </c>
      <c r="H643" t="s">
        <v>74</v>
      </c>
      <c r="I643" t="s">
        <v>12143</v>
      </c>
      <c r="J643" t="s">
        <v>9232</v>
      </c>
      <c r="K643" t="s">
        <v>74</v>
      </c>
      <c r="L643" t="s">
        <v>74</v>
      </c>
      <c r="M643" t="s">
        <v>78</v>
      </c>
      <c r="N643" t="s">
        <v>974</v>
      </c>
      <c r="O643" t="s">
        <v>74</v>
      </c>
      <c r="P643" t="s">
        <v>74</v>
      </c>
      <c r="Q643" t="s">
        <v>74</v>
      </c>
      <c r="R643" t="s">
        <v>74</v>
      </c>
      <c r="S643" t="s">
        <v>74</v>
      </c>
      <c r="T643" t="s">
        <v>74</v>
      </c>
      <c r="U643" t="s">
        <v>12144</v>
      </c>
      <c r="V643" t="s">
        <v>12145</v>
      </c>
      <c r="W643" t="s">
        <v>12146</v>
      </c>
      <c r="X643" t="s">
        <v>12147</v>
      </c>
      <c r="Y643" t="s">
        <v>12148</v>
      </c>
      <c r="Z643" t="s">
        <v>12149</v>
      </c>
      <c r="AA643" t="s">
        <v>12150</v>
      </c>
      <c r="AB643" t="s">
        <v>12151</v>
      </c>
      <c r="AC643" t="s">
        <v>12152</v>
      </c>
      <c r="AD643" t="s">
        <v>12153</v>
      </c>
      <c r="AE643" t="s">
        <v>12154</v>
      </c>
      <c r="AF643" t="s">
        <v>74</v>
      </c>
      <c r="AG643">
        <v>100</v>
      </c>
      <c r="AH643">
        <v>169</v>
      </c>
      <c r="AI643">
        <v>180</v>
      </c>
      <c r="AJ643">
        <v>2</v>
      </c>
      <c r="AK643">
        <v>82</v>
      </c>
      <c r="AL643" t="s">
        <v>9241</v>
      </c>
      <c r="AM643" t="s">
        <v>434</v>
      </c>
      <c r="AN643" t="s">
        <v>9242</v>
      </c>
      <c r="AO643" t="s">
        <v>9243</v>
      </c>
      <c r="AP643" t="s">
        <v>9244</v>
      </c>
      <c r="AQ643" t="s">
        <v>74</v>
      </c>
      <c r="AR643" t="s">
        <v>9245</v>
      </c>
      <c r="AS643" t="s">
        <v>9246</v>
      </c>
      <c r="AT643" t="s">
        <v>10359</v>
      </c>
      <c r="AU643">
        <v>2012</v>
      </c>
      <c r="AV643">
        <v>27</v>
      </c>
      <c r="AW643">
        <v>8</v>
      </c>
      <c r="AX643" t="s">
        <v>74</v>
      </c>
      <c r="AY643" t="s">
        <v>74</v>
      </c>
      <c r="AZ643" t="s">
        <v>74</v>
      </c>
      <c r="BA643" t="s">
        <v>74</v>
      </c>
      <c r="BB643">
        <v>462</v>
      </c>
      <c r="BC643">
        <v>471</v>
      </c>
      <c r="BD643" t="s">
        <v>74</v>
      </c>
      <c r="BE643" t="s">
        <v>12155</v>
      </c>
      <c r="BF643" t="str">
        <f>HYPERLINK("http://dx.doi.org/10.1016/j.tree.2012.04.011","http://dx.doi.org/10.1016/j.tree.2012.04.011")</f>
        <v>http://dx.doi.org/10.1016/j.tree.2012.04.011</v>
      </c>
      <c r="BG643" t="s">
        <v>74</v>
      </c>
      <c r="BH643" t="s">
        <v>74</v>
      </c>
      <c r="BI643">
        <v>10</v>
      </c>
      <c r="BJ643" t="s">
        <v>9248</v>
      </c>
      <c r="BK643" t="s">
        <v>98</v>
      </c>
      <c r="BL643" t="s">
        <v>9249</v>
      </c>
      <c r="BM643" t="s">
        <v>12156</v>
      </c>
      <c r="BN643">
        <v>22658874</v>
      </c>
      <c r="BO643" t="s">
        <v>1499</v>
      </c>
      <c r="BP643" t="s">
        <v>74</v>
      </c>
      <c r="BQ643" t="s">
        <v>74</v>
      </c>
      <c r="BR643" t="s">
        <v>101</v>
      </c>
      <c r="BS643" t="s">
        <v>12157</v>
      </c>
      <c r="BT643" t="str">
        <f>HYPERLINK("https%3A%2F%2Fwww.webofscience.com%2Fwos%2Fwoscc%2Ffull-record%2FWOS:000307622300009","View Full Record in Web of Science")</f>
        <v>View Full Record in Web of Science</v>
      </c>
    </row>
    <row r="644" spans="1:72" x14ac:dyDescent="0.15">
      <c r="A644" t="s">
        <v>72</v>
      </c>
      <c r="B644" t="s">
        <v>12158</v>
      </c>
      <c r="C644" t="s">
        <v>74</v>
      </c>
      <c r="D644" t="s">
        <v>74</v>
      </c>
      <c r="E644" t="s">
        <v>74</v>
      </c>
      <c r="F644" t="s">
        <v>12159</v>
      </c>
      <c r="G644" t="s">
        <v>74</v>
      </c>
      <c r="H644" t="s">
        <v>74</v>
      </c>
      <c r="I644" t="s">
        <v>12160</v>
      </c>
      <c r="J644" t="s">
        <v>12161</v>
      </c>
      <c r="K644" t="s">
        <v>74</v>
      </c>
      <c r="L644" t="s">
        <v>74</v>
      </c>
      <c r="M644" t="s">
        <v>12162</v>
      </c>
      <c r="N644" t="s">
        <v>79</v>
      </c>
      <c r="O644" t="s">
        <v>74</v>
      </c>
      <c r="P644" t="s">
        <v>74</v>
      </c>
      <c r="Q644" t="s">
        <v>74</v>
      </c>
      <c r="R644" t="s">
        <v>74</v>
      </c>
      <c r="S644" t="s">
        <v>74</v>
      </c>
      <c r="T644" t="s">
        <v>12163</v>
      </c>
      <c r="U644" t="s">
        <v>74</v>
      </c>
      <c r="V644" t="s">
        <v>12164</v>
      </c>
      <c r="W644" t="s">
        <v>12165</v>
      </c>
      <c r="X644" t="s">
        <v>12166</v>
      </c>
      <c r="Y644" t="s">
        <v>12167</v>
      </c>
      <c r="Z644" t="s">
        <v>12168</v>
      </c>
      <c r="AA644" t="s">
        <v>12169</v>
      </c>
      <c r="AB644" t="s">
        <v>74</v>
      </c>
      <c r="AC644" t="s">
        <v>74</v>
      </c>
      <c r="AD644" t="s">
        <v>74</v>
      </c>
      <c r="AE644" t="s">
        <v>74</v>
      </c>
      <c r="AF644" t="s">
        <v>74</v>
      </c>
      <c r="AG644">
        <v>84</v>
      </c>
      <c r="AH644">
        <v>0</v>
      </c>
      <c r="AI644">
        <v>0</v>
      </c>
      <c r="AJ644">
        <v>0</v>
      </c>
      <c r="AK644">
        <v>0</v>
      </c>
      <c r="AL644" t="s">
        <v>12170</v>
      </c>
      <c r="AM644" t="s">
        <v>12171</v>
      </c>
      <c r="AN644" t="s">
        <v>12172</v>
      </c>
      <c r="AO644" t="s">
        <v>12173</v>
      </c>
      <c r="AP644" t="s">
        <v>74</v>
      </c>
      <c r="AQ644" t="s">
        <v>74</v>
      </c>
      <c r="AR644" t="s">
        <v>12174</v>
      </c>
      <c r="AS644" t="s">
        <v>12175</v>
      </c>
      <c r="AT644" t="s">
        <v>10359</v>
      </c>
      <c r="AU644">
        <v>2012</v>
      </c>
      <c r="AV644">
        <v>55</v>
      </c>
      <c r="AW644">
        <v>3</v>
      </c>
      <c r="AX644" t="s">
        <v>74</v>
      </c>
      <c r="AY644" t="s">
        <v>74</v>
      </c>
      <c r="AZ644" t="s">
        <v>74</v>
      </c>
      <c r="BA644" t="s">
        <v>74</v>
      </c>
      <c r="BB644">
        <v>159</v>
      </c>
      <c r="BC644">
        <v>188</v>
      </c>
      <c r="BD644" t="s">
        <v>74</v>
      </c>
      <c r="BE644" t="s">
        <v>74</v>
      </c>
      <c r="BF644" t="s">
        <v>74</v>
      </c>
      <c r="BG644" t="s">
        <v>74</v>
      </c>
      <c r="BH644" t="s">
        <v>74</v>
      </c>
      <c r="BI644">
        <v>30</v>
      </c>
      <c r="BJ644" t="s">
        <v>461</v>
      </c>
      <c r="BK644" t="s">
        <v>2920</v>
      </c>
      <c r="BL644" t="s">
        <v>462</v>
      </c>
      <c r="BM644" t="s">
        <v>12176</v>
      </c>
      <c r="BN644" t="s">
        <v>74</v>
      </c>
      <c r="BO644" t="s">
        <v>74</v>
      </c>
      <c r="BP644" t="s">
        <v>74</v>
      </c>
      <c r="BQ644" t="s">
        <v>74</v>
      </c>
      <c r="BR644" t="s">
        <v>101</v>
      </c>
      <c r="BS644" t="s">
        <v>12177</v>
      </c>
      <c r="BT644" t="str">
        <f>HYPERLINK("https%3A%2F%2Fwww.webofscience.com%2Fwos%2Fwoscc%2Ffull-record%2FWOS:000443700600002","View Full Record in Web of Science")</f>
        <v>View Full Record in Web of Science</v>
      </c>
    </row>
    <row r="645" spans="1:72" x14ac:dyDescent="0.15">
      <c r="A645" t="s">
        <v>72</v>
      </c>
      <c r="B645" t="s">
        <v>12178</v>
      </c>
      <c r="C645" t="s">
        <v>74</v>
      </c>
      <c r="D645" t="s">
        <v>74</v>
      </c>
      <c r="E645" t="s">
        <v>74</v>
      </c>
      <c r="F645" t="s">
        <v>12179</v>
      </c>
      <c r="G645" t="s">
        <v>74</v>
      </c>
      <c r="H645" t="s">
        <v>74</v>
      </c>
      <c r="I645" t="s">
        <v>12180</v>
      </c>
      <c r="J645" t="s">
        <v>12181</v>
      </c>
      <c r="K645" t="s">
        <v>74</v>
      </c>
      <c r="L645" t="s">
        <v>74</v>
      </c>
      <c r="M645" t="s">
        <v>78</v>
      </c>
      <c r="N645" t="s">
        <v>79</v>
      </c>
      <c r="O645" t="s">
        <v>74</v>
      </c>
      <c r="P645" t="s">
        <v>74</v>
      </c>
      <c r="Q645" t="s">
        <v>74</v>
      </c>
      <c r="R645" t="s">
        <v>74</v>
      </c>
      <c r="S645" t="s">
        <v>74</v>
      </c>
      <c r="T645" t="s">
        <v>12182</v>
      </c>
      <c r="U645" t="s">
        <v>12183</v>
      </c>
      <c r="V645" t="s">
        <v>12184</v>
      </c>
      <c r="W645" t="s">
        <v>12185</v>
      </c>
      <c r="X645" t="s">
        <v>12186</v>
      </c>
      <c r="Y645" t="s">
        <v>12187</v>
      </c>
      <c r="Z645" t="s">
        <v>12188</v>
      </c>
      <c r="AA645" t="s">
        <v>12189</v>
      </c>
      <c r="AB645" t="s">
        <v>12190</v>
      </c>
      <c r="AC645" t="s">
        <v>74</v>
      </c>
      <c r="AD645" t="s">
        <v>74</v>
      </c>
      <c r="AE645" t="s">
        <v>74</v>
      </c>
      <c r="AF645" t="s">
        <v>74</v>
      </c>
      <c r="AG645">
        <v>29</v>
      </c>
      <c r="AH645">
        <v>28</v>
      </c>
      <c r="AI645">
        <v>28</v>
      </c>
      <c r="AJ645">
        <v>10</v>
      </c>
      <c r="AK645">
        <v>76</v>
      </c>
      <c r="AL645" t="s">
        <v>898</v>
      </c>
      <c r="AM645" t="s">
        <v>899</v>
      </c>
      <c r="AN645" t="s">
        <v>900</v>
      </c>
      <c r="AO645" t="s">
        <v>12191</v>
      </c>
      <c r="AP645" t="s">
        <v>12192</v>
      </c>
      <c r="AQ645" t="s">
        <v>74</v>
      </c>
      <c r="AR645" t="s">
        <v>12193</v>
      </c>
      <c r="AS645" t="s">
        <v>12194</v>
      </c>
      <c r="AT645" t="s">
        <v>10359</v>
      </c>
      <c r="AU645">
        <v>2012</v>
      </c>
      <c r="AV645">
        <v>92</v>
      </c>
      <c r="AW645">
        <v>10</v>
      </c>
      <c r="AX645" t="s">
        <v>74</v>
      </c>
      <c r="AY645" t="s">
        <v>74</v>
      </c>
      <c r="AZ645" t="s">
        <v>74</v>
      </c>
      <c r="BA645" t="s">
        <v>74</v>
      </c>
      <c r="BB645">
        <v>2141</v>
      </c>
      <c r="BC645">
        <v>2147</v>
      </c>
      <c r="BD645" t="s">
        <v>74</v>
      </c>
      <c r="BE645" t="s">
        <v>12195</v>
      </c>
      <c r="BF645" t="str">
        <f>HYPERLINK("http://dx.doi.org/10.1002/jsfa.5599","http://dx.doi.org/10.1002/jsfa.5599")</f>
        <v>http://dx.doi.org/10.1002/jsfa.5599</v>
      </c>
      <c r="BG645" t="s">
        <v>74</v>
      </c>
      <c r="BH645" t="s">
        <v>74</v>
      </c>
      <c r="BI645">
        <v>7</v>
      </c>
      <c r="BJ645" t="s">
        <v>12196</v>
      </c>
      <c r="BK645" t="s">
        <v>98</v>
      </c>
      <c r="BL645" t="s">
        <v>12197</v>
      </c>
      <c r="BM645" t="s">
        <v>12198</v>
      </c>
      <c r="BN645">
        <v>22396119</v>
      </c>
      <c r="BO645" t="s">
        <v>74</v>
      </c>
      <c r="BP645" t="s">
        <v>74</v>
      </c>
      <c r="BQ645" t="s">
        <v>74</v>
      </c>
      <c r="BR645" t="s">
        <v>101</v>
      </c>
      <c r="BS645" t="s">
        <v>12199</v>
      </c>
      <c r="BT645" t="str">
        <f>HYPERLINK("https%3A%2F%2Fwww.webofscience.com%2Fwos%2Fwoscc%2Ffull-record%2FWOS:000305067100018","View Full Record in Web of Science")</f>
        <v>View Full Record in Web of Science</v>
      </c>
    </row>
    <row r="646" spans="1:72" x14ac:dyDescent="0.15">
      <c r="A646" t="s">
        <v>72</v>
      </c>
      <c r="B646" t="s">
        <v>12200</v>
      </c>
      <c r="C646" t="s">
        <v>74</v>
      </c>
      <c r="D646" t="s">
        <v>74</v>
      </c>
      <c r="E646" t="s">
        <v>74</v>
      </c>
      <c r="F646" t="s">
        <v>12201</v>
      </c>
      <c r="G646" t="s">
        <v>74</v>
      </c>
      <c r="H646" t="s">
        <v>74</v>
      </c>
      <c r="I646" t="s">
        <v>12202</v>
      </c>
      <c r="J646" t="s">
        <v>5274</v>
      </c>
      <c r="K646" t="s">
        <v>74</v>
      </c>
      <c r="L646" t="s">
        <v>74</v>
      </c>
      <c r="M646" t="s">
        <v>78</v>
      </c>
      <c r="N646" t="s">
        <v>79</v>
      </c>
      <c r="O646" t="s">
        <v>74</v>
      </c>
      <c r="P646" t="s">
        <v>74</v>
      </c>
      <c r="Q646" t="s">
        <v>74</v>
      </c>
      <c r="R646" t="s">
        <v>74</v>
      </c>
      <c r="S646" t="s">
        <v>74</v>
      </c>
      <c r="T646" t="s">
        <v>12203</v>
      </c>
      <c r="U646" t="s">
        <v>12204</v>
      </c>
      <c r="V646" t="s">
        <v>12205</v>
      </c>
      <c r="W646" t="s">
        <v>12206</v>
      </c>
      <c r="X646" t="s">
        <v>12207</v>
      </c>
      <c r="Y646" t="s">
        <v>12208</v>
      </c>
      <c r="Z646" t="s">
        <v>12209</v>
      </c>
      <c r="AA646" t="s">
        <v>74</v>
      </c>
      <c r="AB646" t="s">
        <v>74</v>
      </c>
      <c r="AC646" t="s">
        <v>12210</v>
      </c>
      <c r="AD646" t="s">
        <v>12211</v>
      </c>
      <c r="AE646" t="s">
        <v>12212</v>
      </c>
      <c r="AF646" t="s">
        <v>74</v>
      </c>
      <c r="AG646">
        <v>63</v>
      </c>
      <c r="AH646">
        <v>34</v>
      </c>
      <c r="AI646">
        <v>38</v>
      </c>
      <c r="AJ646">
        <v>0</v>
      </c>
      <c r="AK646">
        <v>29</v>
      </c>
      <c r="AL646" t="s">
        <v>259</v>
      </c>
      <c r="AM646" t="s">
        <v>189</v>
      </c>
      <c r="AN646" t="s">
        <v>260</v>
      </c>
      <c r="AO646" t="s">
        <v>5287</v>
      </c>
      <c r="AP646" t="s">
        <v>74</v>
      </c>
      <c r="AQ646" t="s">
        <v>74</v>
      </c>
      <c r="AR646" t="s">
        <v>5289</v>
      </c>
      <c r="AS646" t="s">
        <v>5290</v>
      </c>
      <c r="AT646" t="s">
        <v>10359</v>
      </c>
      <c r="AU646">
        <v>2012</v>
      </c>
      <c r="AV646">
        <v>125</v>
      </c>
      <c r="AW646" t="s">
        <v>74</v>
      </c>
      <c r="AX646" t="s">
        <v>74</v>
      </c>
      <c r="AY646" t="s">
        <v>74</v>
      </c>
      <c r="AZ646" t="s">
        <v>74</v>
      </c>
      <c r="BA646" t="s">
        <v>74</v>
      </c>
      <c r="BB646">
        <v>206</v>
      </c>
      <c r="BC646">
        <v>213</v>
      </c>
      <c r="BD646" t="s">
        <v>74</v>
      </c>
      <c r="BE646" t="s">
        <v>12213</v>
      </c>
      <c r="BF646" t="str">
        <f>HYPERLINK("http://dx.doi.org/10.1016/j.fishres.2012.02.017","http://dx.doi.org/10.1016/j.fishres.2012.02.017")</f>
        <v>http://dx.doi.org/10.1016/j.fishres.2012.02.017</v>
      </c>
      <c r="BG646" t="s">
        <v>74</v>
      </c>
      <c r="BH646" t="s">
        <v>74</v>
      </c>
      <c r="BI646">
        <v>8</v>
      </c>
      <c r="BJ646" t="s">
        <v>5292</v>
      </c>
      <c r="BK646" t="s">
        <v>98</v>
      </c>
      <c r="BL646" t="s">
        <v>5292</v>
      </c>
      <c r="BM646" t="s">
        <v>12214</v>
      </c>
      <c r="BN646" t="s">
        <v>74</v>
      </c>
      <c r="BO646" t="s">
        <v>74</v>
      </c>
      <c r="BP646" t="s">
        <v>74</v>
      </c>
      <c r="BQ646" t="s">
        <v>74</v>
      </c>
      <c r="BR646" t="s">
        <v>101</v>
      </c>
      <c r="BS646" t="s">
        <v>12215</v>
      </c>
      <c r="BT646" t="str">
        <f>HYPERLINK("https%3A%2F%2Fwww.webofscience.com%2Fwos%2Fwoscc%2Ffull-record%2FWOS:000304849100022","View Full Record in Web of Science")</f>
        <v>View Full Record in Web of Science</v>
      </c>
    </row>
    <row r="647" spans="1:72" x14ac:dyDescent="0.15">
      <c r="A647" t="s">
        <v>72</v>
      </c>
      <c r="B647" t="s">
        <v>12216</v>
      </c>
      <c r="C647" t="s">
        <v>74</v>
      </c>
      <c r="D647" t="s">
        <v>74</v>
      </c>
      <c r="E647" t="s">
        <v>74</v>
      </c>
      <c r="F647" t="s">
        <v>12217</v>
      </c>
      <c r="G647" t="s">
        <v>74</v>
      </c>
      <c r="H647" t="s">
        <v>74</v>
      </c>
      <c r="I647" t="s">
        <v>12218</v>
      </c>
      <c r="J647" t="s">
        <v>8722</v>
      </c>
      <c r="K647" t="s">
        <v>74</v>
      </c>
      <c r="L647" t="s">
        <v>74</v>
      </c>
      <c r="M647" t="s">
        <v>78</v>
      </c>
      <c r="N647" t="s">
        <v>79</v>
      </c>
      <c r="O647" t="s">
        <v>74</v>
      </c>
      <c r="P647" t="s">
        <v>74</v>
      </c>
      <c r="Q647" t="s">
        <v>74</v>
      </c>
      <c r="R647" t="s">
        <v>74</v>
      </c>
      <c r="S647" t="s">
        <v>74</v>
      </c>
      <c r="T647" t="s">
        <v>12219</v>
      </c>
      <c r="U647" t="s">
        <v>12220</v>
      </c>
      <c r="V647" t="s">
        <v>12221</v>
      </c>
      <c r="W647" t="s">
        <v>12222</v>
      </c>
      <c r="X647" t="s">
        <v>12223</v>
      </c>
      <c r="Y647" t="s">
        <v>12224</v>
      </c>
      <c r="Z647" t="s">
        <v>12225</v>
      </c>
      <c r="AA647" t="s">
        <v>12226</v>
      </c>
      <c r="AB647" t="s">
        <v>12227</v>
      </c>
      <c r="AC647" t="s">
        <v>12228</v>
      </c>
      <c r="AD647" t="s">
        <v>12229</v>
      </c>
      <c r="AE647" t="s">
        <v>12230</v>
      </c>
      <c r="AF647" t="s">
        <v>74</v>
      </c>
      <c r="AG647">
        <v>70</v>
      </c>
      <c r="AH647">
        <v>24</v>
      </c>
      <c r="AI647">
        <v>24</v>
      </c>
      <c r="AJ647">
        <v>0</v>
      </c>
      <c r="AK647">
        <v>22</v>
      </c>
      <c r="AL647" t="s">
        <v>188</v>
      </c>
      <c r="AM647" t="s">
        <v>189</v>
      </c>
      <c r="AN647" t="s">
        <v>190</v>
      </c>
      <c r="AO647" t="s">
        <v>8735</v>
      </c>
      <c r="AP647" t="s">
        <v>8736</v>
      </c>
      <c r="AQ647" t="s">
        <v>74</v>
      </c>
      <c r="AR647" t="s">
        <v>8737</v>
      </c>
      <c r="AS647" t="s">
        <v>8738</v>
      </c>
      <c r="AT647" t="s">
        <v>10359</v>
      </c>
      <c r="AU647">
        <v>2012</v>
      </c>
      <c r="AV647" t="s">
        <v>4298</v>
      </c>
      <c r="AW647" t="s">
        <v>74</v>
      </c>
      <c r="AX647" t="s">
        <v>74</v>
      </c>
      <c r="AY647" t="s">
        <v>74</v>
      </c>
      <c r="AZ647" t="s">
        <v>74</v>
      </c>
      <c r="BA647" t="s">
        <v>74</v>
      </c>
      <c r="BB647">
        <v>61</v>
      </c>
      <c r="BC647">
        <v>71</v>
      </c>
      <c r="BD647" t="s">
        <v>74</v>
      </c>
      <c r="BE647" t="s">
        <v>12231</v>
      </c>
      <c r="BF647" t="str">
        <f>HYPERLINK("http://dx.doi.org/10.1016/j.jmarsys.2012.02.002","http://dx.doi.org/10.1016/j.jmarsys.2012.02.002")</f>
        <v>http://dx.doi.org/10.1016/j.jmarsys.2012.02.002</v>
      </c>
      <c r="BG647" t="s">
        <v>74</v>
      </c>
      <c r="BH647" t="s">
        <v>74</v>
      </c>
      <c r="BI647">
        <v>11</v>
      </c>
      <c r="BJ647" t="s">
        <v>8741</v>
      </c>
      <c r="BK647" t="s">
        <v>98</v>
      </c>
      <c r="BL647" t="s">
        <v>8742</v>
      </c>
      <c r="BM647" t="s">
        <v>12232</v>
      </c>
      <c r="BN647" t="s">
        <v>74</v>
      </c>
      <c r="BO647" t="s">
        <v>74</v>
      </c>
      <c r="BP647" t="s">
        <v>74</v>
      </c>
      <c r="BQ647" t="s">
        <v>74</v>
      </c>
      <c r="BR647" t="s">
        <v>101</v>
      </c>
      <c r="BS647" t="s">
        <v>12233</v>
      </c>
      <c r="BT647" t="str">
        <f>HYPERLINK("https%3A%2F%2Fwww.webofscience.com%2Fwos%2Fwoscc%2Ffull-record%2FWOS:000303088100006","View Full Record in Web of Science")</f>
        <v>View Full Record in Web of Science</v>
      </c>
    </row>
    <row r="648" spans="1:72" x14ac:dyDescent="0.15">
      <c r="A648" t="s">
        <v>72</v>
      </c>
      <c r="B648" t="s">
        <v>12234</v>
      </c>
      <c r="C648" t="s">
        <v>74</v>
      </c>
      <c r="D648" t="s">
        <v>74</v>
      </c>
      <c r="E648" t="s">
        <v>74</v>
      </c>
      <c r="F648" t="s">
        <v>12235</v>
      </c>
      <c r="G648" t="s">
        <v>74</v>
      </c>
      <c r="H648" t="s">
        <v>74</v>
      </c>
      <c r="I648" t="s">
        <v>12236</v>
      </c>
      <c r="J648" t="s">
        <v>77</v>
      </c>
      <c r="K648" t="s">
        <v>74</v>
      </c>
      <c r="L648" t="s">
        <v>74</v>
      </c>
      <c r="M648" t="s">
        <v>78</v>
      </c>
      <c r="N648" t="s">
        <v>974</v>
      </c>
      <c r="O648" t="s">
        <v>74</v>
      </c>
      <c r="P648" t="s">
        <v>74</v>
      </c>
      <c r="Q648" t="s">
        <v>74</v>
      </c>
      <c r="R648" t="s">
        <v>74</v>
      </c>
      <c r="S648" t="s">
        <v>74</v>
      </c>
      <c r="T648" t="s">
        <v>12237</v>
      </c>
      <c r="U648" t="s">
        <v>12238</v>
      </c>
      <c r="V648" t="s">
        <v>12239</v>
      </c>
      <c r="W648" t="s">
        <v>12240</v>
      </c>
      <c r="X648" t="s">
        <v>12241</v>
      </c>
      <c r="Y648" t="s">
        <v>12242</v>
      </c>
      <c r="Z648" t="s">
        <v>7472</v>
      </c>
      <c r="AA648" t="s">
        <v>74</v>
      </c>
      <c r="AB648" t="s">
        <v>74</v>
      </c>
      <c r="AC648" t="s">
        <v>12243</v>
      </c>
      <c r="AD648" t="s">
        <v>12244</v>
      </c>
      <c r="AE648" t="s">
        <v>12245</v>
      </c>
      <c r="AF648" t="s">
        <v>74</v>
      </c>
      <c r="AG648">
        <v>78</v>
      </c>
      <c r="AH648">
        <v>27</v>
      </c>
      <c r="AI648">
        <v>35</v>
      </c>
      <c r="AJ648">
        <v>0</v>
      </c>
      <c r="AK648">
        <v>23</v>
      </c>
      <c r="AL648" t="s">
        <v>89</v>
      </c>
      <c r="AM648" t="s">
        <v>90</v>
      </c>
      <c r="AN648" t="s">
        <v>91</v>
      </c>
      <c r="AO648" t="s">
        <v>92</v>
      </c>
      <c r="AP648" t="s">
        <v>74</v>
      </c>
      <c r="AQ648" t="s">
        <v>74</v>
      </c>
      <c r="AR648" t="s">
        <v>93</v>
      </c>
      <c r="AS648" t="s">
        <v>94</v>
      </c>
      <c r="AT648" t="s">
        <v>12246</v>
      </c>
      <c r="AU648">
        <v>2012</v>
      </c>
      <c r="AV648">
        <v>47</v>
      </c>
      <c r="AW648" t="s">
        <v>74</v>
      </c>
      <c r="AX648" t="s">
        <v>74</v>
      </c>
      <c r="AY648" t="s">
        <v>74</v>
      </c>
      <c r="AZ648" t="s">
        <v>74</v>
      </c>
      <c r="BA648" t="s">
        <v>74</v>
      </c>
      <c r="BB648">
        <v>101</v>
      </c>
      <c r="BC648">
        <v>115</v>
      </c>
      <c r="BD648" t="s">
        <v>74</v>
      </c>
      <c r="BE648" t="s">
        <v>12247</v>
      </c>
      <c r="BF648" t="str">
        <f>HYPERLINK("http://dx.doi.org/10.1016/j.quascirev.2012.04.023","http://dx.doi.org/10.1016/j.quascirev.2012.04.023")</f>
        <v>http://dx.doi.org/10.1016/j.quascirev.2012.04.023</v>
      </c>
      <c r="BG648" t="s">
        <v>74</v>
      </c>
      <c r="BH648" t="s">
        <v>74</v>
      </c>
      <c r="BI648">
        <v>15</v>
      </c>
      <c r="BJ648" t="s">
        <v>97</v>
      </c>
      <c r="BK648" t="s">
        <v>98</v>
      </c>
      <c r="BL648" t="s">
        <v>99</v>
      </c>
      <c r="BM648" t="s">
        <v>12248</v>
      </c>
      <c r="BN648" t="s">
        <v>74</v>
      </c>
      <c r="BO648" t="s">
        <v>74</v>
      </c>
      <c r="BP648" t="s">
        <v>74</v>
      </c>
      <c r="BQ648" t="s">
        <v>74</v>
      </c>
      <c r="BR648" t="s">
        <v>101</v>
      </c>
      <c r="BS648" t="s">
        <v>12249</v>
      </c>
      <c r="BT648" t="str">
        <f>HYPERLINK("https%3A%2F%2Fwww.webofscience.com%2Fwos%2Fwoscc%2Ffull-record%2FWOS:000306729300008","View Full Record in Web of Science")</f>
        <v>View Full Record in Web of Science</v>
      </c>
    </row>
    <row r="649" spans="1:72" x14ac:dyDescent="0.15">
      <c r="A649" t="s">
        <v>72</v>
      </c>
      <c r="B649" t="s">
        <v>12250</v>
      </c>
      <c r="C649" t="s">
        <v>74</v>
      </c>
      <c r="D649" t="s">
        <v>74</v>
      </c>
      <c r="E649" t="s">
        <v>74</v>
      </c>
      <c r="F649" t="s">
        <v>12251</v>
      </c>
      <c r="G649" t="s">
        <v>74</v>
      </c>
      <c r="H649" t="s">
        <v>74</v>
      </c>
      <c r="I649" t="s">
        <v>12252</v>
      </c>
      <c r="J649" t="s">
        <v>77</v>
      </c>
      <c r="K649" t="s">
        <v>74</v>
      </c>
      <c r="L649" t="s">
        <v>74</v>
      </c>
      <c r="M649" t="s">
        <v>78</v>
      </c>
      <c r="N649" t="s">
        <v>974</v>
      </c>
      <c r="O649" t="s">
        <v>74</v>
      </c>
      <c r="P649" t="s">
        <v>74</v>
      </c>
      <c r="Q649" t="s">
        <v>74</v>
      </c>
      <c r="R649" t="s">
        <v>74</v>
      </c>
      <c r="S649" t="s">
        <v>74</v>
      </c>
      <c r="T649" t="s">
        <v>12253</v>
      </c>
      <c r="U649" t="s">
        <v>12254</v>
      </c>
      <c r="V649" t="s">
        <v>12255</v>
      </c>
      <c r="W649" t="s">
        <v>12256</v>
      </c>
      <c r="X649" t="s">
        <v>12257</v>
      </c>
      <c r="Y649" t="s">
        <v>12258</v>
      </c>
      <c r="Z649" t="s">
        <v>12259</v>
      </c>
      <c r="AA649" t="s">
        <v>12260</v>
      </c>
      <c r="AB649" t="s">
        <v>12261</v>
      </c>
      <c r="AC649" t="s">
        <v>12262</v>
      </c>
      <c r="AD649" t="s">
        <v>12263</v>
      </c>
      <c r="AE649" t="s">
        <v>12264</v>
      </c>
      <c r="AF649" t="s">
        <v>74</v>
      </c>
      <c r="AG649">
        <v>101</v>
      </c>
      <c r="AH649">
        <v>59</v>
      </c>
      <c r="AI649">
        <v>64</v>
      </c>
      <c r="AJ649">
        <v>1</v>
      </c>
      <c r="AK649">
        <v>24</v>
      </c>
      <c r="AL649" t="s">
        <v>89</v>
      </c>
      <c r="AM649" t="s">
        <v>90</v>
      </c>
      <c r="AN649" t="s">
        <v>91</v>
      </c>
      <c r="AO649" t="s">
        <v>92</v>
      </c>
      <c r="AP649" t="s">
        <v>74</v>
      </c>
      <c r="AQ649" t="s">
        <v>74</v>
      </c>
      <c r="AR649" t="s">
        <v>93</v>
      </c>
      <c r="AS649" t="s">
        <v>94</v>
      </c>
      <c r="AT649" t="s">
        <v>12246</v>
      </c>
      <c r="AU649">
        <v>2012</v>
      </c>
      <c r="AV649">
        <v>47</v>
      </c>
      <c r="AW649" t="s">
        <v>74</v>
      </c>
      <c r="AX649" t="s">
        <v>74</v>
      </c>
      <c r="AY649" t="s">
        <v>74</v>
      </c>
      <c r="AZ649" t="s">
        <v>74</v>
      </c>
      <c r="BA649" t="s">
        <v>74</v>
      </c>
      <c r="BB649">
        <v>41</v>
      </c>
      <c r="BC649">
        <v>55</v>
      </c>
      <c r="BD649" t="s">
        <v>74</v>
      </c>
      <c r="BE649" t="s">
        <v>12265</v>
      </c>
      <c r="BF649" t="str">
        <f>HYPERLINK("http://dx.doi.org/10.1016/j.quascirev.2012.05.013","http://dx.doi.org/10.1016/j.quascirev.2012.05.013")</f>
        <v>http://dx.doi.org/10.1016/j.quascirev.2012.05.013</v>
      </c>
      <c r="BG649" t="s">
        <v>74</v>
      </c>
      <c r="BH649" t="s">
        <v>74</v>
      </c>
      <c r="BI649">
        <v>15</v>
      </c>
      <c r="BJ649" t="s">
        <v>97</v>
      </c>
      <c r="BK649" t="s">
        <v>98</v>
      </c>
      <c r="BL649" t="s">
        <v>99</v>
      </c>
      <c r="BM649" t="s">
        <v>12248</v>
      </c>
      <c r="BN649" t="s">
        <v>74</v>
      </c>
      <c r="BO649" t="s">
        <v>74</v>
      </c>
      <c r="BP649" t="s">
        <v>74</v>
      </c>
      <c r="BQ649" t="s">
        <v>74</v>
      </c>
      <c r="BR649" t="s">
        <v>101</v>
      </c>
      <c r="BS649" t="s">
        <v>12266</v>
      </c>
      <c r="BT649" t="str">
        <f>HYPERLINK("https%3A%2F%2Fwww.webofscience.com%2Fwos%2Fwoscc%2Ffull-record%2FWOS:000306729300004","View Full Record in Web of Science")</f>
        <v>View Full Record in Web of Science</v>
      </c>
    </row>
    <row r="650" spans="1:72" x14ac:dyDescent="0.15">
      <c r="A650" t="s">
        <v>72</v>
      </c>
      <c r="B650" t="s">
        <v>12267</v>
      </c>
      <c r="C650" t="s">
        <v>74</v>
      </c>
      <c r="D650" t="s">
        <v>74</v>
      </c>
      <c r="E650" t="s">
        <v>74</v>
      </c>
      <c r="F650" t="s">
        <v>12268</v>
      </c>
      <c r="G650" t="s">
        <v>74</v>
      </c>
      <c r="H650" t="s">
        <v>74</v>
      </c>
      <c r="I650" t="s">
        <v>12269</v>
      </c>
      <c r="J650" t="s">
        <v>539</v>
      </c>
      <c r="K650" t="s">
        <v>74</v>
      </c>
      <c r="L650" t="s">
        <v>74</v>
      </c>
      <c r="M650" t="s">
        <v>78</v>
      </c>
      <c r="N650" t="s">
        <v>540</v>
      </c>
      <c r="O650" t="s">
        <v>74</v>
      </c>
      <c r="P650" t="s">
        <v>74</v>
      </c>
      <c r="Q650" t="s">
        <v>74</v>
      </c>
      <c r="R650" t="s">
        <v>74</v>
      </c>
      <c r="S650" t="s">
        <v>74</v>
      </c>
      <c r="T650" t="s">
        <v>74</v>
      </c>
      <c r="U650" t="s">
        <v>74</v>
      </c>
      <c r="V650" t="s">
        <v>74</v>
      </c>
      <c r="W650" t="s">
        <v>74</v>
      </c>
      <c r="X650" t="s">
        <v>74</v>
      </c>
      <c r="Y650" t="s">
        <v>74</v>
      </c>
      <c r="Z650" t="s">
        <v>74</v>
      </c>
      <c r="AA650" t="s">
        <v>74</v>
      </c>
      <c r="AB650" t="s">
        <v>74</v>
      </c>
      <c r="AC650" t="s">
        <v>74</v>
      </c>
      <c r="AD650" t="s">
        <v>74</v>
      </c>
      <c r="AE650" t="s">
        <v>74</v>
      </c>
      <c r="AF650" t="s">
        <v>74</v>
      </c>
      <c r="AG650">
        <v>0</v>
      </c>
      <c r="AH650">
        <v>0</v>
      </c>
      <c r="AI650">
        <v>0</v>
      </c>
      <c r="AJ650">
        <v>0</v>
      </c>
      <c r="AK650">
        <v>0</v>
      </c>
      <c r="AL650" t="s">
        <v>541</v>
      </c>
      <c r="AM650" t="s">
        <v>119</v>
      </c>
      <c r="AN650" t="s">
        <v>542</v>
      </c>
      <c r="AO650" t="s">
        <v>543</v>
      </c>
      <c r="AP650" t="s">
        <v>74</v>
      </c>
      <c r="AQ650" t="s">
        <v>74</v>
      </c>
      <c r="AR650" t="s">
        <v>539</v>
      </c>
      <c r="AS650" t="s">
        <v>544</v>
      </c>
      <c r="AT650" t="s">
        <v>12270</v>
      </c>
      <c r="AU650">
        <v>2012</v>
      </c>
      <c r="AV650">
        <v>337</v>
      </c>
      <c r="AW650">
        <v>6093</v>
      </c>
      <c r="AX650" t="s">
        <v>74</v>
      </c>
      <c r="AY650" t="s">
        <v>74</v>
      </c>
      <c r="AZ650" t="s">
        <v>74</v>
      </c>
      <c r="BA650" t="s">
        <v>74</v>
      </c>
      <c r="BB650">
        <v>397</v>
      </c>
      <c r="BC650">
        <v>398</v>
      </c>
      <c r="BD650" t="s">
        <v>74</v>
      </c>
      <c r="BE650" t="s">
        <v>12271</v>
      </c>
      <c r="BF650" t="str">
        <f>HYPERLINK("http://dx.doi.org/10.1126/science.337.6093.397","http://dx.doi.org/10.1126/science.337.6093.397")</f>
        <v>http://dx.doi.org/10.1126/science.337.6093.397</v>
      </c>
      <c r="BG650" t="s">
        <v>74</v>
      </c>
      <c r="BH650" t="s">
        <v>74</v>
      </c>
      <c r="BI650">
        <v>2</v>
      </c>
      <c r="BJ650" t="s">
        <v>153</v>
      </c>
      <c r="BK650" t="s">
        <v>98</v>
      </c>
      <c r="BL650" t="s">
        <v>154</v>
      </c>
      <c r="BM650" t="s">
        <v>12272</v>
      </c>
      <c r="BN650">
        <v>22837498</v>
      </c>
      <c r="BO650" t="s">
        <v>74</v>
      </c>
      <c r="BP650" t="s">
        <v>74</v>
      </c>
      <c r="BQ650" t="s">
        <v>74</v>
      </c>
      <c r="BR650" t="s">
        <v>101</v>
      </c>
      <c r="BS650" t="s">
        <v>12273</v>
      </c>
      <c r="BT650" t="str">
        <f>HYPERLINK("https%3A%2F%2Fwww.webofscience.com%2Fwos%2Fwoscc%2Ffull-record%2FWOS:000306802300009","View Full Record in Web of Science")</f>
        <v>View Full Record in Web of Science</v>
      </c>
    </row>
    <row r="651" spans="1:72" x14ac:dyDescent="0.15">
      <c r="A651" t="s">
        <v>72</v>
      </c>
      <c r="B651" t="s">
        <v>12274</v>
      </c>
      <c r="C651" t="s">
        <v>74</v>
      </c>
      <c r="D651" t="s">
        <v>74</v>
      </c>
      <c r="E651" t="s">
        <v>74</v>
      </c>
      <c r="F651" t="s">
        <v>12275</v>
      </c>
      <c r="G651" t="s">
        <v>74</v>
      </c>
      <c r="H651" t="s">
        <v>74</v>
      </c>
      <c r="I651" t="s">
        <v>12276</v>
      </c>
      <c r="J651" t="s">
        <v>421</v>
      </c>
      <c r="K651" t="s">
        <v>74</v>
      </c>
      <c r="L651" t="s">
        <v>74</v>
      </c>
      <c r="M651" t="s">
        <v>78</v>
      </c>
      <c r="N651" t="s">
        <v>79</v>
      </c>
      <c r="O651" t="s">
        <v>74</v>
      </c>
      <c r="P651" t="s">
        <v>74</v>
      </c>
      <c r="Q651" t="s">
        <v>74</v>
      </c>
      <c r="R651" t="s">
        <v>74</v>
      </c>
      <c r="S651" t="s">
        <v>74</v>
      </c>
      <c r="T651" t="s">
        <v>74</v>
      </c>
      <c r="U651" t="s">
        <v>12277</v>
      </c>
      <c r="V651" t="s">
        <v>12278</v>
      </c>
      <c r="W651" t="s">
        <v>12279</v>
      </c>
      <c r="X651" t="s">
        <v>12280</v>
      </c>
      <c r="Y651" t="s">
        <v>12281</v>
      </c>
      <c r="Z651" t="s">
        <v>12282</v>
      </c>
      <c r="AA651" t="s">
        <v>12283</v>
      </c>
      <c r="AB651" t="s">
        <v>12284</v>
      </c>
      <c r="AC651" t="s">
        <v>12285</v>
      </c>
      <c r="AD651" t="s">
        <v>12286</v>
      </c>
      <c r="AE651" t="s">
        <v>12287</v>
      </c>
      <c r="AF651" t="s">
        <v>74</v>
      </c>
      <c r="AG651">
        <v>30</v>
      </c>
      <c r="AH651">
        <v>73</v>
      </c>
      <c r="AI651">
        <v>81</v>
      </c>
      <c r="AJ651">
        <v>0</v>
      </c>
      <c r="AK651">
        <v>63</v>
      </c>
      <c r="AL651" t="s">
        <v>433</v>
      </c>
      <c r="AM651" t="s">
        <v>434</v>
      </c>
      <c r="AN651" t="s">
        <v>435</v>
      </c>
      <c r="AO651" t="s">
        <v>436</v>
      </c>
      <c r="AP651" t="s">
        <v>3383</v>
      </c>
      <c r="AQ651" t="s">
        <v>74</v>
      </c>
      <c r="AR651" t="s">
        <v>421</v>
      </c>
      <c r="AS651" t="s">
        <v>437</v>
      </c>
      <c r="AT651" t="s">
        <v>12288</v>
      </c>
      <c r="AU651">
        <v>2012</v>
      </c>
      <c r="AV651">
        <v>487</v>
      </c>
      <c r="AW651">
        <v>7408</v>
      </c>
      <c r="AX651" t="s">
        <v>74</v>
      </c>
      <c r="AY651" t="s">
        <v>74</v>
      </c>
      <c r="AZ651" t="s">
        <v>74</v>
      </c>
      <c r="BA651" t="s">
        <v>74</v>
      </c>
      <c r="BB651">
        <v>468</v>
      </c>
      <c r="BC651">
        <v>471</v>
      </c>
      <c r="BD651" t="s">
        <v>74</v>
      </c>
      <c r="BE651" t="s">
        <v>12289</v>
      </c>
      <c r="BF651" t="str">
        <f>HYPERLINK("http://dx.doi.org/10.1038/nature11292","http://dx.doi.org/10.1038/nature11292")</f>
        <v>http://dx.doi.org/10.1038/nature11292</v>
      </c>
      <c r="BG651" t="s">
        <v>74</v>
      </c>
      <c r="BH651" t="s">
        <v>74</v>
      </c>
      <c r="BI651">
        <v>4</v>
      </c>
      <c r="BJ651" t="s">
        <v>153</v>
      </c>
      <c r="BK651" t="s">
        <v>98</v>
      </c>
      <c r="BL651" t="s">
        <v>154</v>
      </c>
      <c r="BM651" t="s">
        <v>12290</v>
      </c>
      <c r="BN651">
        <v>22837002</v>
      </c>
      <c r="BO651" t="s">
        <v>74</v>
      </c>
      <c r="BP651" t="s">
        <v>74</v>
      </c>
      <c r="BQ651" t="s">
        <v>74</v>
      </c>
      <c r="BR651" t="s">
        <v>101</v>
      </c>
      <c r="BS651" t="s">
        <v>12291</v>
      </c>
      <c r="BT651" t="str">
        <f>HYPERLINK("https%3A%2F%2Fwww.webofscience.com%2Fwos%2Fwoscc%2Ffull-record%2FWOS:000306815300035","View Full Record in Web of Science")</f>
        <v>View Full Record in Web of Science</v>
      </c>
    </row>
    <row r="652" spans="1:72" x14ac:dyDescent="0.15">
      <c r="A652" t="s">
        <v>72</v>
      </c>
      <c r="B652" t="s">
        <v>12292</v>
      </c>
      <c r="C652" t="s">
        <v>74</v>
      </c>
      <c r="D652" t="s">
        <v>74</v>
      </c>
      <c r="E652" t="s">
        <v>74</v>
      </c>
      <c r="F652" t="s">
        <v>12293</v>
      </c>
      <c r="G652" t="s">
        <v>74</v>
      </c>
      <c r="H652" t="s">
        <v>74</v>
      </c>
      <c r="I652" t="s">
        <v>12294</v>
      </c>
      <c r="J652" t="s">
        <v>3414</v>
      </c>
      <c r="K652" t="s">
        <v>74</v>
      </c>
      <c r="L652" t="s">
        <v>74</v>
      </c>
      <c r="M652" t="s">
        <v>78</v>
      </c>
      <c r="N652" t="s">
        <v>79</v>
      </c>
      <c r="O652" t="s">
        <v>74</v>
      </c>
      <c r="P652" t="s">
        <v>74</v>
      </c>
      <c r="Q652" t="s">
        <v>74</v>
      </c>
      <c r="R652" t="s">
        <v>74</v>
      </c>
      <c r="S652" t="s">
        <v>74</v>
      </c>
      <c r="T652" t="s">
        <v>12295</v>
      </c>
      <c r="U652" t="s">
        <v>12296</v>
      </c>
      <c r="V652" t="s">
        <v>12297</v>
      </c>
      <c r="W652" t="s">
        <v>12298</v>
      </c>
      <c r="X652" t="s">
        <v>12299</v>
      </c>
      <c r="Y652" t="s">
        <v>12300</v>
      </c>
      <c r="Z652" t="s">
        <v>12301</v>
      </c>
      <c r="AA652" t="s">
        <v>74</v>
      </c>
      <c r="AB652" t="s">
        <v>74</v>
      </c>
      <c r="AC652" t="s">
        <v>12302</v>
      </c>
      <c r="AD652" t="s">
        <v>12302</v>
      </c>
      <c r="AE652" t="s">
        <v>12303</v>
      </c>
      <c r="AF652" t="s">
        <v>74</v>
      </c>
      <c r="AG652">
        <v>53</v>
      </c>
      <c r="AH652">
        <v>26</v>
      </c>
      <c r="AI652">
        <v>30</v>
      </c>
      <c r="AJ652">
        <v>0</v>
      </c>
      <c r="AK652">
        <v>18</v>
      </c>
      <c r="AL652" t="s">
        <v>188</v>
      </c>
      <c r="AM652" t="s">
        <v>189</v>
      </c>
      <c r="AN652" t="s">
        <v>190</v>
      </c>
      <c r="AO652" t="s">
        <v>3426</v>
      </c>
      <c r="AP652" t="s">
        <v>3427</v>
      </c>
      <c r="AQ652" t="s">
        <v>74</v>
      </c>
      <c r="AR652" t="s">
        <v>3414</v>
      </c>
      <c r="AS652" t="s">
        <v>3428</v>
      </c>
      <c r="AT652" t="s">
        <v>12304</v>
      </c>
      <c r="AU652">
        <v>2012</v>
      </c>
      <c r="AV652">
        <v>554</v>
      </c>
      <c r="AW652" t="s">
        <v>74</v>
      </c>
      <c r="AX652" t="s">
        <v>74</v>
      </c>
      <c r="AY652" t="s">
        <v>74</v>
      </c>
      <c r="AZ652" t="s">
        <v>74</v>
      </c>
      <c r="BA652" t="s">
        <v>74</v>
      </c>
      <c r="BB652">
        <v>114</v>
      </c>
      <c r="BC652">
        <v>126</v>
      </c>
      <c r="BD652" t="s">
        <v>74</v>
      </c>
      <c r="BE652" t="s">
        <v>12305</v>
      </c>
      <c r="BF652" t="str">
        <f>HYPERLINK("http://dx.doi.org/10.1016/j.tecto.2012.06.001","http://dx.doi.org/10.1016/j.tecto.2012.06.001")</f>
        <v>http://dx.doi.org/10.1016/j.tecto.2012.06.001</v>
      </c>
      <c r="BG652" t="s">
        <v>74</v>
      </c>
      <c r="BH652" t="s">
        <v>74</v>
      </c>
      <c r="BI652">
        <v>13</v>
      </c>
      <c r="BJ652" t="s">
        <v>241</v>
      </c>
      <c r="BK652" t="s">
        <v>98</v>
      </c>
      <c r="BL652" t="s">
        <v>241</v>
      </c>
      <c r="BM652" t="s">
        <v>12306</v>
      </c>
      <c r="BN652" t="s">
        <v>74</v>
      </c>
      <c r="BO652" t="s">
        <v>74</v>
      </c>
      <c r="BP652" t="s">
        <v>74</v>
      </c>
      <c r="BQ652" t="s">
        <v>74</v>
      </c>
      <c r="BR652" t="s">
        <v>101</v>
      </c>
      <c r="BS652" t="s">
        <v>12307</v>
      </c>
      <c r="BT652" t="str">
        <f>HYPERLINK("https%3A%2F%2Fwww.webofscience.com%2Fwos%2Fwoscc%2Ffull-record%2FWOS:000307136900010","View Full Record in Web of Science")</f>
        <v>View Full Record in Web of Science</v>
      </c>
    </row>
    <row r="653" spans="1:72" x14ac:dyDescent="0.15">
      <c r="A653" t="s">
        <v>72</v>
      </c>
      <c r="B653" t="s">
        <v>12308</v>
      </c>
      <c r="C653" t="s">
        <v>74</v>
      </c>
      <c r="D653" t="s">
        <v>74</v>
      </c>
      <c r="E653" t="s">
        <v>74</v>
      </c>
      <c r="F653" t="s">
        <v>12309</v>
      </c>
      <c r="G653" t="s">
        <v>74</v>
      </c>
      <c r="H653" t="s">
        <v>74</v>
      </c>
      <c r="I653" t="s">
        <v>12310</v>
      </c>
      <c r="J653" t="s">
        <v>12311</v>
      </c>
      <c r="K653" t="s">
        <v>74</v>
      </c>
      <c r="L653" t="s">
        <v>74</v>
      </c>
      <c r="M653" t="s">
        <v>78</v>
      </c>
      <c r="N653" t="s">
        <v>79</v>
      </c>
      <c r="O653" t="s">
        <v>74</v>
      </c>
      <c r="P653" t="s">
        <v>74</v>
      </c>
      <c r="Q653" t="s">
        <v>74</v>
      </c>
      <c r="R653" t="s">
        <v>74</v>
      </c>
      <c r="S653" t="s">
        <v>74</v>
      </c>
      <c r="T653" t="s">
        <v>12312</v>
      </c>
      <c r="U653" t="s">
        <v>12313</v>
      </c>
      <c r="V653" t="s">
        <v>12314</v>
      </c>
      <c r="W653" t="s">
        <v>12315</v>
      </c>
      <c r="X653" t="s">
        <v>12316</v>
      </c>
      <c r="Y653" t="s">
        <v>12317</v>
      </c>
      <c r="Z653" t="s">
        <v>12318</v>
      </c>
      <c r="AA653" t="s">
        <v>12319</v>
      </c>
      <c r="AB653" t="s">
        <v>12320</v>
      </c>
      <c r="AC653" t="s">
        <v>12321</v>
      </c>
      <c r="AD653" t="s">
        <v>12322</v>
      </c>
      <c r="AE653" t="s">
        <v>12323</v>
      </c>
      <c r="AF653" t="s">
        <v>74</v>
      </c>
      <c r="AG653">
        <v>73</v>
      </c>
      <c r="AH653">
        <v>40</v>
      </c>
      <c r="AI653">
        <v>41</v>
      </c>
      <c r="AJ653">
        <v>2</v>
      </c>
      <c r="AK653">
        <v>62</v>
      </c>
      <c r="AL653" t="s">
        <v>3402</v>
      </c>
      <c r="AM653" t="s">
        <v>434</v>
      </c>
      <c r="AN653" t="s">
        <v>3403</v>
      </c>
      <c r="AO653" t="s">
        <v>12324</v>
      </c>
      <c r="AP653" t="s">
        <v>74</v>
      </c>
      <c r="AQ653" t="s">
        <v>74</v>
      </c>
      <c r="AR653" t="s">
        <v>12325</v>
      </c>
      <c r="AS653" t="s">
        <v>12326</v>
      </c>
      <c r="AT653" t="s">
        <v>12327</v>
      </c>
      <c r="AU653">
        <v>2012</v>
      </c>
      <c r="AV653">
        <v>12</v>
      </c>
      <c r="AW653" t="s">
        <v>74</v>
      </c>
      <c r="AX653" t="s">
        <v>74</v>
      </c>
      <c r="AY653" t="s">
        <v>74</v>
      </c>
      <c r="AZ653" t="s">
        <v>74</v>
      </c>
      <c r="BA653" t="s">
        <v>74</v>
      </c>
      <c r="BB653" t="s">
        <v>74</v>
      </c>
      <c r="BC653" t="s">
        <v>74</v>
      </c>
      <c r="BD653">
        <v>114</v>
      </c>
      <c r="BE653" t="s">
        <v>12328</v>
      </c>
      <c r="BF653" t="str">
        <f>HYPERLINK("http://dx.doi.org/10.1186/1471-2229-12-114","http://dx.doi.org/10.1186/1471-2229-12-114")</f>
        <v>http://dx.doi.org/10.1186/1471-2229-12-114</v>
      </c>
      <c r="BG653" t="s">
        <v>74</v>
      </c>
      <c r="BH653" t="s">
        <v>74</v>
      </c>
      <c r="BI653">
        <v>14</v>
      </c>
      <c r="BJ653" t="s">
        <v>2056</v>
      </c>
      <c r="BK653" t="s">
        <v>98</v>
      </c>
      <c r="BL653" t="s">
        <v>2056</v>
      </c>
      <c r="BM653" t="s">
        <v>12329</v>
      </c>
      <c r="BN653">
        <v>22827966</v>
      </c>
      <c r="BO653" t="s">
        <v>3409</v>
      </c>
      <c r="BP653" t="s">
        <v>74</v>
      </c>
      <c r="BQ653" t="s">
        <v>74</v>
      </c>
      <c r="BR653" t="s">
        <v>101</v>
      </c>
      <c r="BS653" t="s">
        <v>12330</v>
      </c>
      <c r="BT653" t="str">
        <f>HYPERLINK("https%3A%2F%2Fwww.webofscience.com%2Fwos%2Fwoscc%2Ffull-record%2FWOS:000311198200001","View Full Record in Web of Science")</f>
        <v>View Full Record in Web of Science</v>
      </c>
    </row>
    <row r="654" spans="1:72" x14ac:dyDescent="0.15">
      <c r="A654" t="s">
        <v>72</v>
      </c>
      <c r="B654" t="s">
        <v>12331</v>
      </c>
      <c r="C654" t="s">
        <v>74</v>
      </c>
      <c r="D654" t="s">
        <v>74</v>
      </c>
      <c r="E654" t="s">
        <v>74</v>
      </c>
      <c r="F654" t="s">
        <v>12332</v>
      </c>
      <c r="G654" t="s">
        <v>74</v>
      </c>
      <c r="H654" t="s">
        <v>74</v>
      </c>
      <c r="I654" t="s">
        <v>12333</v>
      </c>
      <c r="J654" t="s">
        <v>134</v>
      </c>
      <c r="K654" t="s">
        <v>74</v>
      </c>
      <c r="L654" t="s">
        <v>74</v>
      </c>
      <c r="M654" t="s">
        <v>78</v>
      </c>
      <c r="N654" t="s">
        <v>79</v>
      </c>
      <c r="O654" t="s">
        <v>74</v>
      </c>
      <c r="P654" t="s">
        <v>74</v>
      </c>
      <c r="Q654" t="s">
        <v>74</v>
      </c>
      <c r="R654" t="s">
        <v>74</v>
      </c>
      <c r="S654" t="s">
        <v>74</v>
      </c>
      <c r="T654" t="s">
        <v>74</v>
      </c>
      <c r="U654" t="s">
        <v>12334</v>
      </c>
      <c r="V654" t="s">
        <v>12335</v>
      </c>
      <c r="W654" t="s">
        <v>12336</v>
      </c>
      <c r="X654" t="s">
        <v>12337</v>
      </c>
      <c r="Y654" t="s">
        <v>12338</v>
      </c>
      <c r="Z654" t="s">
        <v>12339</v>
      </c>
      <c r="AA654" t="s">
        <v>12340</v>
      </c>
      <c r="AB654" t="s">
        <v>12341</v>
      </c>
      <c r="AC654" t="s">
        <v>12342</v>
      </c>
      <c r="AD654" t="s">
        <v>12343</v>
      </c>
      <c r="AE654" t="s">
        <v>12344</v>
      </c>
      <c r="AF654" t="s">
        <v>74</v>
      </c>
      <c r="AG654">
        <v>86</v>
      </c>
      <c r="AH654">
        <v>82</v>
      </c>
      <c r="AI654">
        <v>88</v>
      </c>
      <c r="AJ654">
        <v>2</v>
      </c>
      <c r="AK654">
        <v>42</v>
      </c>
      <c r="AL654" t="s">
        <v>146</v>
      </c>
      <c r="AM654" t="s">
        <v>147</v>
      </c>
      <c r="AN654" t="s">
        <v>148</v>
      </c>
      <c r="AO654" t="s">
        <v>149</v>
      </c>
      <c r="AP654" t="s">
        <v>74</v>
      </c>
      <c r="AQ654" t="s">
        <v>74</v>
      </c>
      <c r="AR654" t="s">
        <v>134</v>
      </c>
      <c r="AS654" t="s">
        <v>150</v>
      </c>
      <c r="AT654" t="s">
        <v>12327</v>
      </c>
      <c r="AU654">
        <v>2012</v>
      </c>
      <c r="AV654">
        <v>7</v>
      </c>
      <c r="AW654">
        <v>7</v>
      </c>
      <c r="AX654" t="s">
        <v>74</v>
      </c>
      <c r="AY654" t="s">
        <v>74</v>
      </c>
      <c r="AZ654" t="s">
        <v>74</v>
      </c>
      <c r="BA654" t="s">
        <v>74</v>
      </c>
      <c r="BB654" t="s">
        <v>74</v>
      </c>
      <c r="BC654" t="s">
        <v>74</v>
      </c>
      <c r="BD654" t="s">
        <v>12345</v>
      </c>
      <c r="BE654" t="s">
        <v>12346</v>
      </c>
      <c r="BF654" t="str">
        <f>HYPERLINK("http://dx.doi.org/10.1371/journal.pone.0041672","http://dx.doi.org/10.1371/journal.pone.0041672")</f>
        <v>http://dx.doi.org/10.1371/journal.pone.0041672</v>
      </c>
      <c r="BG654" t="s">
        <v>74</v>
      </c>
      <c r="BH654" t="s">
        <v>74</v>
      </c>
      <c r="BI654">
        <v>16</v>
      </c>
      <c r="BJ654" t="s">
        <v>153</v>
      </c>
      <c r="BK654" t="s">
        <v>98</v>
      </c>
      <c r="BL654" t="s">
        <v>154</v>
      </c>
      <c r="BM654" t="s">
        <v>12347</v>
      </c>
      <c r="BN654">
        <v>22911840</v>
      </c>
      <c r="BO654" t="s">
        <v>156</v>
      </c>
      <c r="BP654" t="s">
        <v>74</v>
      </c>
      <c r="BQ654" t="s">
        <v>74</v>
      </c>
      <c r="BR654" t="s">
        <v>101</v>
      </c>
      <c r="BS654" t="s">
        <v>12348</v>
      </c>
      <c r="BT654" t="str">
        <f>HYPERLINK("https%3A%2F%2Fwww.webofscience.com%2Fwos%2Fwoscc%2Ffull-record%2FWOS:000306751300063","View Full Record in Web of Science")</f>
        <v>View Full Record in Web of Science</v>
      </c>
    </row>
    <row r="655" spans="1:72" x14ac:dyDescent="0.15">
      <c r="A655" t="s">
        <v>72</v>
      </c>
      <c r="B655" t="s">
        <v>12349</v>
      </c>
      <c r="C655" t="s">
        <v>74</v>
      </c>
      <c r="D655" t="s">
        <v>74</v>
      </c>
      <c r="E655" t="s">
        <v>74</v>
      </c>
      <c r="F655" t="s">
        <v>12350</v>
      </c>
      <c r="G655" t="s">
        <v>74</v>
      </c>
      <c r="H655" t="s">
        <v>74</v>
      </c>
      <c r="I655" t="s">
        <v>12351</v>
      </c>
      <c r="J655" t="s">
        <v>9738</v>
      </c>
      <c r="K655" t="s">
        <v>74</v>
      </c>
      <c r="L655" t="s">
        <v>74</v>
      </c>
      <c r="M655" t="s">
        <v>78</v>
      </c>
      <c r="N655" t="s">
        <v>79</v>
      </c>
      <c r="O655" t="s">
        <v>74</v>
      </c>
      <c r="P655" t="s">
        <v>74</v>
      </c>
      <c r="Q655" t="s">
        <v>74</v>
      </c>
      <c r="R655" t="s">
        <v>74</v>
      </c>
      <c r="S655" t="s">
        <v>74</v>
      </c>
      <c r="T655" t="s">
        <v>12352</v>
      </c>
      <c r="U655" t="s">
        <v>12353</v>
      </c>
      <c r="V655" t="s">
        <v>12354</v>
      </c>
      <c r="W655" t="s">
        <v>12355</v>
      </c>
      <c r="X655" t="s">
        <v>12356</v>
      </c>
      <c r="Y655" t="s">
        <v>12357</v>
      </c>
      <c r="Z655" t="s">
        <v>12358</v>
      </c>
      <c r="AA655" t="s">
        <v>12359</v>
      </c>
      <c r="AB655" t="s">
        <v>12360</v>
      </c>
      <c r="AC655" t="s">
        <v>74</v>
      </c>
      <c r="AD655" t="s">
        <v>74</v>
      </c>
      <c r="AE655" t="s">
        <v>74</v>
      </c>
      <c r="AF655" t="s">
        <v>74</v>
      </c>
      <c r="AG655">
        <v>40</v>
      </c>
      <c r="AH655">
        <v>10</v>
      </c>
      <c r="AI655">
        <v>11</v>
      </c>
      <c r="AJ655">
        <v>0</v>
      </c>
      <c r="AK655">
        <v>22</v>
      </c>
      <c r="AL655" t="s">
        <v>259</v>
      </c>
      <c r="AM655" t="s">
        <v>189</v>
      </c>
      <c r="AN655" t="s">
        <v>260</v>
      </c>
      <c r="AO655" t="s">
        <v>9750</v>
      </c>
      <c r="AP655" t="s">
        <v>9751</v>
      </c>
      <c r="AQ655" t="s">
        <v>74</v>
      </c>
      <c r="AR655" t="s">
        <v>9752</v>
      </c>
      <c r="AS655" t="s">
        <v>9753</v>
      </c>
      <c r="AT655" t="s">
        <v>12361</v>
      </c>
      <c r="AU655">
        <v>2012</v>
      </c>
      <c r="AV655">
        <v>138</v>
      </c>
      <c r="AW655" t="s">
        <v>74</v>
      </c>
      <c r="AX655" t="s">
        <v>74</v>
      </c>
      <c r="AY655" t="s">
        <v>74</v>
      </c>
      <c r="AZ655" t="s">
        <v>74</v>
      </c>
      <c r="BA655" t="s">
        <v>74</v>
      </c>
      <c r="BB655">
        <v>7</v>
      </c>
      <c r="BC655">
        <v>12</v>
      </c>
      <c r="BD655" t="s">
        <v>74</v>
      </c>
      <c r="BE655" t="s">
        <v>12362</v>
      </c>
      <c r="BF655" t="str">
        <f>HYPERLINK("http://dx.doi.org/10.1016/j.marchem.2012.05.002","http://dx.doi.org/10.1016/j.marchem.2012.05.002")</f>
        <v>http://dx.doi.org/10.1016/j.marchem.2012.05.002</v>
      </c>
      <c r="BG655" t="s">
        <v>74</v>
      </c>
      <c r="BH655" t="s">
        <v>74</v>
      </c>
      <c r="BI655">
        <v>6</v>
      </c>
      <c r="BJ655" t="s">
        <v>9756</v>
      </c>
      <c r="BK655" t="s">
        <v>98</v>
      </c>
      <c r="BL655" t="s">
        <v>9757</v>
      </c>
      <c r="BM655" t="s">
        <v>12363</v>
      </c>
      <c r="BN655" t="s">
        <v>74</v>
      </c>
      <c r="BO655" t="s">
        <v>74</v>
      </c>
      <c r="BP655" t="s">
        <v>74</v>
      </c>
      <c r="BQ655" t="s">
        <v>74</v>
      </c>
      <c r="BR655" t="s">
        <v>101</v>
      </c>
      <c r="BS655" t="s">
        <v>12364</v>
      </c>
      <c r="BT655" t="str">
        <f>HYPERLINK("https%3A%2F%2Fwww.webofscience.com%2Fwos%2Fwoscc%2Ffull-record%2FWOS:000310123800002","View Full Record in Web of Science")</f>
        <v>View Full Record in Web of Science</v>
      </c>
    </row>
    <row r="656" spans="1:72" x14ac:dyDescent="0.15">
      <c r="A656" t="s">
        <v>72</v>
      </c>
      <c r="B656" t="s">
        <v>12365</v>
      </c>
      <c r="C656" t="s">
        <v>74</v>
      </c>
      <c r="D656" t="s">
        <v>74</v>
      </c>
      <c r="E656" t="s">
        <v>74</v>
      </c>
      <c r="F656" t="s">
        <v>12366</v>
      </c>
      <c r="G656" t="s">
        <v>74</v>
      </c>
      <c r="H656" t="s">
        <v>12367</v>
      </c>
      <c r="I656" t="s">
        <v>12368</v>
      </c>
      <c r="J656" t="s">
        <v>12369</v>
      </c>
      <c r="K656" t="s">
        <v>74</v>
      </c>
      <c r="L656" t="s">
        <v>74</v>
      </c>
      <c r="M656" t="s">
        <v>78</v>
      </c>
      <c r="N656" t="s">
        <v>79</v>
      </c>
      <c r="O656" t="s">
        <v>74</v>
      </c>
      <c r="P656" t="s">
        <v>74</v>
      </c>
      <c r="Q656" t="s">
        <v>74</v>
      </c>
      <c r="R656" t="s">
        <v>74</v>
      </c>
      <c r="S656" t="s">
        <v>74</v>
      </c>
      <c r="T656" t="s">
        <v>12370</v>
      </c>
      <c r="U656" t="s">
        <v>12371</v>
      </c>
      <c r="V656" t="s">
        <v>12372</v>
      </c>
      <c r="W656" t="s">
        <v>12373</v>
      </c>
      <c r="X656" t="s">
        <v>12374</v>
      </c>
      <c r="Y656" t="s">
        <v>12375</v>
      </c>
      <c r="Z656" t="s">
        <v>74</v>
      </c>
      <c r="AA656" t="s">
        <v>12376</v>
      </c>
      <c r="AB656" t="s">
        <v>12377</v>
      </c>
      <c r="AC656" t="s">
        <v>12378</v>
      </c>
      <c r="AD656" t="s">
        <v>12379</v>
      </c>
      <c r="AE656" t="s">
        <v>12380</v>
      </c>
      <c r="AF656" t="s">
        <v>74</v>
      </c>
      <c r="AG656">
        <v>80</v>
      </c>
      <c r="AH656">
        <v>42</v>
      </c>
      <c r="AI656">
        <v>45</v>
      </c>
      <c r="AJ656">
        <v>0</v>
      </c>
      <c r="AK656">
        <v>16</v>
      </c>
      <c r="AL656" t="s">
        <v>11343</v>
      </c>
      <c r="AM656" t="s">
        <v>4123</v>
      </c>
      <c r="AN656" t="s">
        <v>4124</v>
      </c>
      <c r="AO656" t="s">
        <v>12381</v>
      </c>
      <c r="AP656" t="s">
        <v>12382</v>
      </c>
      <c r="AQ656" t="s">
        <v>74</v>
      </c>
      <c r="AR656" t="s">
        <v>12383</v>
      </c>
      <c r="AS656" t="s">
        <v>12384</v>
      </c>
      <c r="AT656" t="s">
        <v>12361</v>
      </c>
      <c r="AU656">
        <v>2012</v>
      </c>
      <c r="AV656">
        <v>754</v>
      </c>
      <c r="AW656">
        <v>1</v>
      </c>
      <c r="AX656" t="s">
        <v>74</v>
      </c>
      <c r="AY656" t="s">
        <v>74</v>
      </c>
      <c r="AZ656" t="s">
        <v>74</v>
      </c>
      <c r="BA656" t="s">
        <v>74</v>
      </c>
      <c r="BB656" t="s">
        <v>74</v>
      </c>
      <c r="BC656" t="s">
        <v>74</v>
      </c>
      <c r="BD656">
        <v>73</v>
      </c>
      <c r="BE656" t="s">
        <v>12385</v>
      </c>
      <c r="BF656" t="str">
        <f>HYPERLINK("http://dx.doi.org/10.1088/0004-637X/754/1/73","http://dx.doi.org/10.1088/0004-637X/754/1/73")</f>
        <v>http://dx.doi.org/10.1088/0004-637X/754/1/73</v>
      </c>
      <c r="BG656" t="s">
        <v>74</v>
      </c>
      <c r="BH656" t="s">
        <v>74</v>
      </c>
      <c r="BI656">
        <v>17</v>
      </c>
      <c r="BJ656" t="s">
        <v>127</v>
      </c>
      <c r="BK656" t="s">
        <v>98</v>
      </c>
      <c r="BL656" t="s">
        <v>127</v>
      </c>
      <c r="BM656" t="s">
        <v>12386</v>
      </c>
      <c r="BN656" t="s">
        <v>74</v>
      </c>
      <c r="BO656" t="s">
        <v>1316</v>
      </c>
      <c r="BP656" t="s">
        <v>74</v>
      </c>
      <c r="BQ656" t="s">
        <v>74</v>
      </c>
      <c r="BR656" t="s">
        <v>101</v>
      </c>
      <c r="BS656" t="s">
        <v>12387</v>
      </c>
      <c r="BT656" t="str">
        <f>HYPERLINK("https%3A%2F%2Fwww.webofscience.com%2Fwos%2Fwoscc%2Ffull-record%2FWOS:000306111800073","View Full Record in Web of Science")</f>
        <v>View Full Record in Web of Science</v>
      </c>
    </row>
    <row r="657" spans="1:72" x14ac:dyDescent="0.15">
      <c r="A657" t="s">
        <v>72</v>
      </c>
      <c r="B657" t="s">
        <v>12388</v>
      </c>
      <c r="C657" t="s">
        <v>74</v>
      </c>
      <c r="D657" t="s">
        <v>74</v>
      </c>
      <c r="E657" t="s">
        <v>74</v>
      </c>
      <c r="F657" t="s">
        <v>12389</v>
      </c>
      <c r="G657" t="s">
        <v>74</v>
      </c>
      <c r="H657" t="s">
        <v>74</v>
      </c>
      <c r="I657" t="s">
        <v>12390</v>
      </c>
      <c r="J657" t="s">
        <v>12391</v>
      </c>
      <c r="K657" t="s">
        <v>74</v>
      </c>
      <c r="L657" t="s">
        <v>74</v>
      </c>
      <c r="M657" t="s">
        <v>78</v>
      </c>
      <c r="N657" t="s">
        <v>79</v>
      </c>
      <c r="O657" t="s">
        <v>74</v>
      </c>
      <c r="P657" t="s">
        <v>74</v>
      </c>
      <c r="Q657" t="s">
        <v>74</v>
      </c>
      <c r="R657" t="s">
        <v>74</v>
      </c>
      <c r="S657" t="s">
        <v>74</v>
      </c>
      <c r="T657" t="s">
        <v>12392</v>
      </c>
      <c r="U657" t="s">
        <v>12393</v>
      </c>
      <c r="V657" t="s">
        <v>74</v>
      </c>
      <c r="W657" t="s">
        <v>12394</v>
      </c>
      <c r="X657" t="s">
        <v>12395</v>
      </c>
      <c r="Y657" t="s">
        <v>12396</v>
      </c>
      <c r="Z657" t="s">
        <v>12397</v>
      </c>
      <c r="AA657" t="s">
        <v>12398</v>
      </c>
      <c r="AB657" t="s">
        <v>74</v>
      </c>
      <c r="AC657" t="s">
        <v>12399</v>
      </c>
      <c r="AD657" t="s">
        <v>12400</v>
      </c>
      <c r="AE657" t="s">
        <v>12401</v>
      </c>
      <c r="AF657" t="s">
        <v>74</v>
      </c>
      <c r="AG657">
        <v>17</v>
      </c>
      <c r="AH657">
        <v>3</v>
      </c>
      <c r="AI657">
        <v>3</v>
      </c>
      <c r="AJ657">
        <v>0</v>
      </c>
      <c r="AK657">
        <v>11</v>
      </c>
      <c r="AL657" t="s">
        <v>12402</v>
      </c>
      <c r="AM657" t="s">
        <v>6457</v>
      </c>
      <c r="AN657" t="s">
        <v>12403</v>
      </c>
      <c r="AO657" t="s">
        <v>12404</v>
      </c>
      <c r="AP657" t="s">
        <v>74</v>
      </c>
      <c r="AQ657" t="s">
        <v>74</v>
      </c>
      <c r="AR657" t="s">
        <v>12405</v>
      </c>
      <c r="AS657" t="s">
        <v>12406</v>
      </c>
      <c r="AT657" t="s">
        <v>12361</v>
      </c>
      <c r="AU657">
        <v>2012</v>
      </c>
      <c r="AV657">
        <v>33</v>
      </c>
      <c r="AW657">
        <v>7</v>
      </c>
      <c r="AX657" t="s">
        <v>74</v>
      </c>
      <c r="AY657" t="s">
        <v>74</v>
      </c>
      <c r="AZ657" t="s">
        <v>74</v>
      </c>
      <c r="BA657" t="s">
        <v>74</v>
      </c>
      <c r="BB657">
        <v>2411</v>
      </c>
      <c r="BC657">
        <v>2414</v>
      </c>
      <c r="BD657" t="s">
        <v>74</v>
      </c>
      <c r="BE657" t="s">
        <v>12407</v>
      </c>
      <c r="BF657" t="str">
        <f>HYPERLINK("http://dx.doi.org/10.5012/bkcs.2012.33.7.2411","http://dx.doi.org/10.5012/bkcs.2012.33.7.2411")</f>
        <v>http://dx.doi.org/10.5012/bkcs.2012.33.7.2411</v>
      </c>
      <c r="BG657" t="s">
        <v>74</v>
      </c>
      <c r="BH657" t="s">
        <v>74</v>
      </c>
      <c r="BI657">
        <v>4</v>
      </c>
      <c r="BJ657" t="s">
        <v>5514</v>
      </c>
      <c r="BK657" t="s">
        <v>98</v>
      </c>
      <c r="BL657" t="s">
        <v>801</v>
      </c>
      <c r="BM657" t="s">
        <v>12408</v>
      </c>
      <c r="BN657" t="s">
        <v>74</v>
      </c>
      <c r="BO657" t="s">
        <v>607</v>
      </c>
      <c r="BP657" t="s">
        <v>74</v>
      </c>
      <c r="BQ657" t="s">
        <v>74</v>
      </c>
      <c r="BR657" t="s">
        <v>101</v>
      </c>
      <c r="BS657" t="s">
        <v>12409</v>
      </c>
      <c r="BT657" t="str">
        <f>HYPERLINK("https%3A%2F%2Fwww.webofscience.com%2Fwos%2Fwoscc%2Ffull-record%2FWOS:000306818100055","View Full Record in Web of Science")</f>
        <v>View Full Record in Web of Science</v>
      </c>
    </row>
    <row r="658" spans="1:72" x14ac:dyDescent="0.15">
      <c r="A658" t="s">
        <v>72</v>
      </c>
      <c r="B658" t="s">
        <v>12410</v>
      </c>
      <c r="C658" t="s">
        <v>74</v>
      </c>
      <c r="D658" t="s">
        <v>74</v>
      </c>
      <c r="E658" t="s">
        <v>74</v>
      </c>
      <c r="F658" t="s">
        <v>12411</v>
      </c>
      <c r="G658" t="s">
        <v>74</v>
      </c>
      <c r="H658" t="s">
        <v>74</v>
      </c>
      <c r="I658" t="s">
        <v>12412</v>
      </c>
      <c r="J658" t="s">
        <v>539</v>
      </c>
      <c r="K658" t="s">
        <v>74</v>
      </c>
      <c r="L658" t="s">
        <v>74</v>
      </c>
      <c r="M658" t="s">
        <v>78</v>
      </c>
      <c r="N658" t="s">
        <v>79</v>
      </c>
      <c r="O658" t="s">
        <v>74</v>
      </c>
      <c r="P658" t="s">
        <v>74</v>
      </c>
      <c r="Q658" t="s">
        <v>74</v>
      </c>
      <c r="R658" t="s">
        <v>74</v>
      </c>
      <c r="S658" t="s">
        <v>74</v>
      </c>
      <c r="T658" t="s">
        <v>74</v>
      </c>
      <c r="U658" t="s">
        <v>12413</v>
      </c>
      <c r="V658" t="s">
        <v>12414</v>
      </c>
      <c r="W658" t="s">
        <v>12415</v>
      </c>
      <c r="X658" t="s">
        <v>12416</v>
      </c>
      <c r="Y658" t="s">
        <v>12417</v>
      </c>
      <c r="Z658" t="s">
        <v>12418</v>
      </c>
      <c r="AA658" t="s">
        <v>12419</v>
      </c>
      <c r="AB658" t="s">
        <v>12420</v>
      </c>
      <c r="AC658" t="s">
        <v>12421</v>
      </c>
      <c r="AD658" t="s">
        <v>12422</v>
      </c>
      <c r="AE658" t="s">
        <v>12423</v>
      </c>
      <c r="AF658" t="s">
        <v>74</v>
      </c>
      <c r="AG658">
        <v>55</v>
      </c>
      <c r="AH658">
        <v>350</v>
      </c>
      <c r="AI658">
        <v>385</v>
      </c>
      <c r="AJ658">
        <v>5</v>
      </c>
      <c r="AK658">
        <v>219</v>
      </c>
      <c r="AL658" t="s">
        <v>541</v>
      </c>
      <c r="AM658" t="s">
        <v>119</v>
      </c>
      <c r="AN658" t="s">
        <v>542</v>
      </c>
      <c r="AO658" t="s">
        <v>543</v>
      </c>
      <c r="AP658" t="s">
        <v>10073</v>
      </c>
      <c r="AQ658" t="s">
        <v>74</v>
      </c>
      <c r="AR658" t="s">
        <v>539</v>
      </c>
      <c r="AS658" t="s">
        <v>544</v>
      </c>
      <c r="AT658" t="s">
        <v>12361</v>
      </c>
      <c r="AU658">
        <v>2012</v>
      </c>
      <c r="AV658">
        <v>337</v>
      </c>
      <c r="AW658">
        <v>6092</v>
      </c>
      <c r="AX658" t="s">
        <v>74</v>
      </c>
      <c r="AY658" t="s">
        <v>74</v>
      </c>
      <c r="AZ658" t="s">
        <v>74</v>
      </c>
      <c r="BA658" t="s">
        <v>74</v>
      </c>
      <c r="BB658">
        <v>315</v>
      </c>
      <c r="BC658">
        <v>320</v>
      </c>
      <c r="BD658" t="s">
        <v>74</v>
      </c>
      <c r="BE658" t="s">
        <v>12424</v>
      </c>
      <c r="BF658" t="str">
        <f>HYPERLINK("http://dx.doi.org/10.1126/science.1222135","http://dx.doi.org/10.1126/science.1222135")</f>
        <v>http://dx.doi.org/10.1126/science.1222135</v>
      </c>
      <c r="BG658" t="s">
        <v>74</v>
      </c>
      <c r="BH658" t="s">
        <v>74</v>
      </c>
      <c r="BI658">
        <v>6</v>
      </c>
      <c r="BJ658" t="s">
        <v>153</v>
      </c>
      <c r="BK658" t="s">
        <v>98</v>
      </c>
      <c r="BL658" t="s">
        <v>154</v>
      </c>
      <c r="BM658" t="s">
        <v>12425</v>
      </c>
      <c r="BN658">
        <v>22722254</v>
      </c>
      <c r="BO658" t="s">
        <v>607</v>
      </c>
      <c r="BP658" t="s">
        <v>74</v>
      </c>
      <c r="BQ658" t="s">
        <v>74</v>
      </c>
      <c r="BR658" t="s">
        <v>101</v>
      </c>
      <c r="BS658" t="s">
        <v>12426</v>
      </c>
      <c r="BT658" t="str">
        <f>HYPERLINK("https%3A%2F%2Fwww.webofscience.com%2Fwos%2Fwoscc%2Ffull-record%2FWOS:000306542600044","View Full Record in Web of Science")</f>
        <v>View Full Record in Web of Science</v>
      </c>
    </row>
    <row r="659" spans="1:72" x14ac:dyDescent="0.15">
      <c r="A659" t="s">
        <v>72</v>
      </c>
      <c r="B659" t="s">
        <v>12427</v>
      </c>
      <c r="C659" t="s">
        <v>74</v>
      </c>
      <c r="D659" t="s">
        <v>74</v>
      </c>
      <c r="E659" t="s">
        <v>74</v>
      </c>
      <c r="F659" t="s">
        <v>12428</v>
      </c>
      <c r="G659" t="s">
        <v>74</v>
      </c>
      <c r="H659" t="s">
        <v>74</v>
      </c>
      <c r="I659" t="s">
        <v>12429</v>
      </c>
      <c r="J659" t="s">
        <v>421</v>
      </c>
      <c r="K659" t="s">
        <v>74</v>
      </c>
      <c r="L659" t="s">
        <v>74</v>
      </c>
      <c r="M659" t="s">
        <v>78</v>
      </c>
      <c r="N659" t="s">
        <v>79</v>
      </c>
      <c r="O659" t="s">
        <v>74</v>
      </c>
      <c r="P659" t="s">
        <v>74</v>
      </c>
      <c r="Q659" t="s">
        <v>74</v>
      </c>
      <c r="R659" t="s">
        <v>74</v>
      </c>
      <c r="S659" t="s">
        <v>74</v>
      </c>
      <c r="T659" t="s">
        <v>74</v>
      </c>
      <c r="U659" t="s">
        <v>12430</v>
      </c>
      <c r="V659" t="s">
        <v>12431</v>
      </c>
      <c r="W659" t="s">
        <v>12432</v>
      </c>
      <c r="X659" t="s">
        <v>12433</v>
      </c>
      <c r="Y659" t="s">
        <v>12434</v>
      </c>
      <c r="Z659" t="s">
        <v>12435</v>
      </c>
      <c r="AA659" t="s">
        <v>12436</v>
      </c>
      <c r="AB659" t="s">
        <v>12437</v>
      </c>
      <c r="AC659" t="s">
        <v>12438</v>
      </c>
      <c r="AD659" t="s">
        <v>12439</v>
      </c>
      <c r="AE659" t="s">
        <v>12440</v>
      </c>
      <c r="AF659" t="s">
        <v>74</v>
      </c>
      <c r="AG659">
        <v>24</v>
      </c>
      <c r="AH659">
        <v>304</v>
      </c>
      <c r="AI659">
        <v>337</v>
      </c>
      <c r="AJ659">
        <v>12</v>
      </c>
      <c r="AK659">
        <v>474</v>
      </c>
      <c r="AL659" t="s">
        <v>433</v>
      </c>
      <c r="AM659" t="s">
        <v>434</v>
      </c>
      <c r="AN659" t="s">
        <v>435</v>
      </c>
      <c r="AO659" t="s">
        <v>436</v>
      </c>
      <c r="AP659" t="s">
        <v>74</v>
      </c>
      <c r="AQ659" t="s">
        <v>74</v>
      </c>
      <c r="AR659" t="s">
        <v>421</v>
      </c>
      <c r="AS659" t="s">
        <v>437</v>
      </c>
      <c r="AT659" t="s">
        <v>12441</v>
      </c>
      <c r="AU659">
        <v>2012</v>
      </c>
      <c r="AV659">
        <v>487</v>
      </c>
      <c r="AW659">
        <v>7407</v>
      </c>
      <c r="AX659" t="s">
        <v>74</v>
      </c>
      <c r="AY659" t="s">
        <v>74</v>
      </c>
      <c r="AZ659" t="s">
        <v>74</v>
      </c>
      <c r="BA659" t="s">
        <v>74</v>
      </c>
      <c r="BB659">
        <v>313</v>
      </c>
      <c r="BC659">
        <v>319</v>
      </c>
      <c r="BD659" t="s">
        <v>74</v>
      </c>
      <c r="BE659" t="s">
        <v>12442</v>
      </c>
      <c r="BF659" t="str">
        <f>HYPERLINK("http://dx.doi.org/10.1038/nature11229","http://dx.doi.org/10.1038/nature11229")</f>
        <v>http://dx.doi.org/10.1038/nature11229</v>
      </c>
      <c r="BG659" t="s">
        <v>74</v>
      </c>
      <c r="BH659" t="s">
        <v>74</v>
      </c>
      <c r="BI659">
        <v>7</v>
      </c>
      <c r="BJ659" t="s">
        <v>153</v>
      </c>
      <c r="BK659" t="s">
        <v>98</v>
      </c>
      <c r="BL659" t="s">
        <v>154</v>
      </c>
      <c r="BM659" t="s">
        <v>12443</v>
      </c>
      <c r="BN659">
        <v>22810695</v>
      </c>
      <c r="BO659" t="s">
        <v>74</v>
      </c>
      <c r="BP659" t="s">
        <v>74</v>
      </c>
      <c r="BQ659" t="s">
        <v>74</v>
      </c>
      <c r="BR659" t="s">
        <v>101</v>
      </c>
      <c r="BS659" t="s">
        <v>12444</v>
      </c>
      <c r="BT659" t="str">
        <f>HYPERLINK("https%3A%2F%2Fwww.webofscience.com%2Fwos%2Fwoscc%2Ffull-record%2FWOS:000306506500032","View Full Record in Web of Science")</f>
        <v>View Full Record in Web of Science</v>
      </c>
    </row>
    <row r="660" spans="1:72" x14ac:dyDescent="0.15">
      <c r="A660" t="s">
        <v>72</v>
      </c>
      <c r="B660" t="s">
        <v>12445</v>
      </c>
      <c r="C660" t="s">
        <v>74</v>
      </c>
      <c r="D660" t="s">
        <v>74</v>
      </c>
      <c r="E660" t="s">
        <v>74</v>
      </c>
      <c r="F660" t="s">
        <v>12446</v>
      </c>
      <c r="G660" t="s">
        <v>74</v>
      </c>
      <c r="H660" t="s">
        <v>74</v>
      </c>
      <c r="I660" t="s">
        <v>12447</v>
      </c>
      <c r="J660" t="s">
        <v>134</v>
      </c>
      <c r="K660" t="s">
        <v>74</v>
      </c>
      <c r="L660" t="s">
        <v>74</v>
      </c>
      <c r="M660" t="s">
        <v>78</v>
      </c>
      <c r="N660" t="s">
        <v>79</v>
      </c>
      <c r="O660" t="s">
        <v>74</v>
      </c>
      <c r="P660" t="s">
        <v>74</v>
      </c>
      <c r="Q660" t="s">
        <v>74</v>
      </c>
      <c r="R660" t="s">
        <v>74</v>
      </c>
      <c r="S660" t="s">
        <v>74</v>
      </c>
      <c r="T660" t="s">
        <v>74</v>
      </c>
      <c r="U660" t="s">
        <v>12448</v>
      </c>
      <c r="V660" t="s">
        <v>12449</v>
      </c>
      <c r="W660" t="s">
        <v>12450</v>
      </c>
      <c r="X660" t="s">
        <v>12451</v>
      </c>
      <c r="Y660" t="s">
        <v>12452</v>
      </c>
      <c r="Z660" t="s">
        <v>12453</v>
      </c>
      <c r="AA660" t="s">
        <v>12454</v>
      </c>
      <c r="AB660" t="s">
        <v>12455</v>
      </c>
      <c r="AC660" t="s">
        <v>12456</v>
      </c>
      <c r="AD660" t="s">
        <v>12457</v>
      </c>
      <c r="AE660" t="s">
        <v>12458</v>
      </c>
      <c r="AF660" t="s">
        <v>74</v>
      </c>
      <c r="AG660">
        <v>49</v>
      </c>
      <c r="AH660">
        <v>119</v>
      </c>
      <c r="AI660">
        <v>144</v>
      </c>
      <c r="AJ660">
        <v>1</v>
      </c>
      <c r="AK660">
        <v>122</v>
      </c>
      <c r="AL660" t="s">
        <v>146</v>
      </c>
      <c r="AM660" t="s">
        <v>147</v>
      </c>
      <c r="AN660" t="s">
        <v>148</v>
      </c>
      <c r="AO660" t="s">
        <v>149</v>
      </c>
      <c r="AP660" t="s">
        <v>74</v>
      </c>
      <c r="AQ660" t="s">
        <v>74</v>
      </c>
      <c r="AR660" t="s">
        <v>134</v>
      </c>
      <c r="AS660" t="s">
        <v>150</v>
      </c>
      <c r="AT660" t="s">
        <v>12459</v>
      </c>
      <c r="AU660">
        <v>2012</v>
      </c>
      <c r="AV660">
        <v>7</v>
      </c>
      <c r="AW660">
        <v>7</v>
      </c>
      <c r="AX660" t="s">
        <v>74</v>
      </c>
      <c r="AY660" t="s">
        <v>74</v>
      </c>
      <c r="AZ660" t="s">
        <v>74</v>
      </c>
      <c r="BA660" t="s">
        <v>74</v>
      </c>
      <c r="BB660" t="s">
        <v>74</v>
      </c>
      <c r="BC660" t="s">
        <v>74</v>
      </c>
      <c r="BD660" t="s">
        <v>12460</v>
      </c>
      <c r="BE660" t="s">
        <v>12461</v>
      </c>
      <c r="BF660" t="str">
        <f>HYPERLINK("http://dx.doi.org/10.1371/journal.pone.0041195","http://dx.doi.org/10.1371/journal.pone.0041195")</f>
        <v>http://dx.doi.org/10.1371/journal.pone.0041195</v>
      </c>
      <c r="BG660" t="s">
        <v>74</v>
      </c>
      <c r="BH660" t="s">
        <v>74</v>
      </c>
      <c r="BI660">
        <v>9</v>
      </c>
      <c r="BJ660" t="s">
        <v>153</v>
      </c>
      <c r="BK660" t="s">
        <v>98</v>
      </c>
      <c r="BL660" t="s">
        <v>154</v>
      </c>
      <c r="BM660" t="s">
        <v>12462</v>
      </c>
      <c r="BN660">
        <v>22815968</v>
      </c>
      <c r="BO660" t="s">
        <v>12463</v>
      </c>
      <c r="BP660" t="s">
        <v>74</v>
      </c>
      <c r="BQ660" t="s">
        <v>74</v>
      </c>
      <c r="BR660" t="s">
        <v>101</v>
      </c>
      <c r="BS660" t="s">
        <v>12464</v>
      </c>
      <c r="BT660" t="str">
        <f>HYPERLINK("https%3A%2F%2Fwww.webofscience.com%2Fwos%2Fwoscc%2Ffull-record%2FWOS:000306548900096","View Full Record in Web of Science")</f>
        <v>View Full Record in Web of Science</v>
      </c>
    </row>
    <row r="661" spans="1:72" x14ac:dyDescent="0.15">
      <c r="A661" t="s">
        <v>72</v>
      </c>
      <c r="B661" t="s">
        <v>12465</v>
      </c>
      <c r="C661" t="s">
        <v>74</v>
      </c>
      <c r="D661" t="s">
        <v>74</v>
      </c>
      <c r="E661" t="s">
        <v>74</v>
      </c>
      <c r="F661" t="s">
        <v>12466</v>
      </c>
      <c r="G661" t="s">
        <v>74</v>
      </c>
      <c r="H661" t="s">
        <v>74</v>
      </c>
      <c r="I661" t="s">
        <v>12467</v>
      </c>
      <c r="J661" t="s">
        <v>134</v>
      </c>
      <c r="K661" t="s">
        <v>74</v>
      </c>
      <c r="L661" t="s">
        <v>74</v>
      </c>
      <c r="M661" t="s">
        <v>78</v>
      </c>
      <c r="N661" t="s">
        <v>79</v>
      </c>
      <c r="O661" t="s">
        <v>74</v>
      </c>
      <c r="P661" t="s">
        <v>74</v>
      </c>
      <c r="Q661" t="s">
        <v>74</v>
      </c>
      <c r="R661" t="s">
        <v>74</v>
      </c>
      <c r="S661" t="s">
        <v>74</v>
      </c>
      <c r="T661" t="s">
        <v>74</v>
      </c>
      <c r="U661" t="s">
        <v>12468</v>
      </c>
      <c r="V661" t="s">
        <v>12469</v>
      </c>
      <c r="W661" t="s">
        <v>12470</v>
      </c>
      <c r="X661" t="s">
        <v>12471</v>
      </c>
      <c r="Y661" t="s">
        <v>12472</v>
      </c>
      <c r="Z661" t="s">
        <v>12473</v>
      </c>
      <c r="AA661" t="s">
        <v>12474</v>
      </c>
      <c r="AB661" t="s">
        <v>12475</v>
      </c>
      <c r="AC661" t="s">
        <v>12476</v>
      </c>
      <c r="AD661" t="s">
        <v>12477</v>
      </c>
      <c r="AE661" t="s">
        <v>12478</v>
      </c>
      <c r="AF661" t="s">
        <v>74</v>
      </c>
      <c r="AG661">
        <v>37</v>
      </c>
      <c r="AH661">
        <v>31</v>
      </c>
      <c r="AI661">
        <v>34</v>
      </c>
      <c r="AJ661">
        <v>1</v>
      </c>
      <c r="AK661">
        <v>51</v>
      </c>
      <c r="AL661" t="s">
        <v>146</v>
      </c>
      <c r="AM661" t="s">
        <v>147</v>
      </c>
      <c r="AN661" t="s">
        <v>148</v>
      </c>
      <c r="AO661" t="s">
        <v>149</v>
      </c>
      <c r="AP661" t="s">
        <v>74</v>
      </c>
      <c r="AQ661" t="s">
        <v>74</v>
      </c>
      <c r="AR661" t="s">
        <v>134</v>
      </c>
      <c r="AS661" t="s">
        <v>150</v>
      </c>
      <c r="AT661" t="s">
        <v>12459</v>
      </c>
      <c r="AU661">
        <v>2012</v>
      </c>
      <c r="AV661">
        <v>7</v>
      </c>
      <c r="AW661">
        <v>7</v>
      </c>
      <c r="AX661" t="s">
        <v>74</v>
      </c>
      <c r="AY661" t="s">
        <v>74</v>
      </c>
      <c r="AZ661" t="s">
        <v>74</v>
      </c>
      <c r="BA661" t="s">
        <v>74</v>
      </c>
      <c r="BB661" t="s">
        <v>74</v>
      </c>
      <c r="BC661" t="s">
        <v>74</v>
      </c>
      <c r="BD661" t="s">
        <v>12479</v>
      </c>
      <c r="BE661" t="s">
        <v>12480</v>
      </c>
      <c r="BF661" t="str">
        <f>HYPERLINK("http://dx.doi.org/10.1371/journal.pone.0041194","http://dx.doi.org/10.1371/journal.pone.0041194")</f>
        <v>http://dx.doi.org/10.1371/journal.pone.0041194</v>
      </c>
      <c r="BG661" t="s">
        <v>74</v>
      </c>
      <c r="BH661" t="s">
        <v>74</v>
      </c>
      <c r="BI661">
        <v>6</v>
      </c>
      <c r="BJ661" t="s">
        <v>153</v>
      </c>
      <c r="BK661" t="s">
        <v>98</v>
      </c>
      <c r="BL661" t="s">
        <v>154</v>
      </c>
      <c r="BM661" t="s">
        <v>12462</v>
      </c>
      <c r="BN661">
        <v>22815967</v>
      </c>
      <c r="BO661" t="s">
        <v>12481</v>
      </c>
      <c r="BP661" t="s">
        <v>74</v>
      </c>
      <c r="BQ661" t="s">
        <v>74</v>
      </c>
      <c r="BR661" t="s">
        <v>101</v>
      </c>
      <c r="BS661" t="s">
        <v>12482</v>
      </c>
      <c r="BT661" t="str">
        <f>HYPERLINK("https%3A%2F%2Fwww.webofscience.com%2Fwos%2Fwoscc%2Ffull-record%2FWOS:000306548900095","View Full Record in Web of Science")</f>
        <v>View Full Record in Web of Science</v>
      </c>
    </row>
    <row r="662" spans="1:72" x14ac:dyDescent="0.15">
      <c r="A662" t="s">
        <v>72</v>
      </c>
      <c r="B662" t="s">
        <v>12483</v>
      </c>
      <c r="C662" t="s">
        <v>74</v>
      </c>
      <c r="D662" t="s">
        <v>74</v>
      </c>
      <c r="E662" t="s">
        <v>74</v>
      </c>
      <c r="F662" t="s">
        <v>12484</v>
      </c>
      <c r="G662" t="s">
        <v>74</v>
      </c>
      <c r="H662" t="s">
        <v>74</v>
      </c>
      <c r="I662" t="s">
        <v>12485</v>
      </c>
      <c r="J662" t="s">
        <v>134</v>
      </c>
      <c r="K662" t="s">
        <v>74</v>
      </c>
      <c r="L662" t="s">
        <v>74</v>
      </c>
      <c r="M662" t="s">
        <v>78</v>
      </c>
      <c r="N662" t="s">
        <v>79</v>
      </c>
      <c r="O662" t="s">
        <v>74</v>
      </c>
      <c r="P662" t="s">
        <v>74</v>
      </c>
      <c r="Q662" t="s">
        <v>74</v>
      </c>
      <c r="R662" t="s">
        <v>74</v>
      </c>
      <c r="S662" t="s">
        <v>74</v>
      </c>
      <c r="T662" t="s">
        <v>74</v>
      </c>
      <c r="U662" t="s">
        <v>12486</v>
      </c>
      <c r="V662" t="s">
        <v>12487</v>
      </c>
      <c r="W662" t="s">
        <v>12488</v>
      </c>
      <c r="X662" t="s">
        <v>12489</v>
      </c>
      <c r="Y662" t="s">
        <v>12490</v>
      </c>
      <c r="Z662" t="s">
        <v>12491</v>
      </c>
      <c r="AA662" t="s">
        <v>12492</v>
      </c>
      <c r="AB662" t="s">
        <v>12493</v>
      </c>
      <c r="AC662" t="s">
        <v>12494</v>
      </c>
      <c r="AD662" t="s">
        <v>12495</v>
      </c>
      <c r="AE662" t="s">
        <v>12496</v>
      </c>
      <c r="AF662" t="s">
        <v>74</v>
      </c>
      <c r="AG662">
        <v>62</v>
      </c>
      <c r="AH662">
        <v>37</v>
      </c>
      <c r="AI662">
        <v>42</v>
      </c>
      <c r="AJ662">
        <v>0</v>
      </c>
      <c r="AK662">
        <v>34</v>
      </c>
      <c r="AL662" t="s">
        <v>146</v>
      </c>
      <c r="AM662" t="s">
        <v>147</v>
      </c>
      <c r="AN662" t="s">
        <v>148</v>
      </c>
      <c r="AO662" t="s">
        <v>149</v>
      </c>
      <c r="AP662" t="s">
        <v>74</v>
      </c>
      <c r="AQ662" t="s">
        <v>74</v>
      </c>
      <c r="AR662" t="s">
        <v>134</v>
      </c>
      <c r="AS662" t="s">
        <v>150</v>
      </c>
      <c r="AT662" t="s">
        <v>12497</v>
      </c>
      <c r="AU662">
        <v>2012</v>
      </c>
      <c r="AV662">
        <v>7</v>
      </c>
      <c r="AW662">
        <v>7</v>
      </c>
      <c r="AX662" t="s">
        <v>74</v>
      </c>
      <c r="AY662" t="s">
        <v>74</v>
      </c>
      <c r="AZ662" t="s">
        <v>74</v>
      </c>
      <c r="BA662" t="s">
        <v>74</v>
      </c>
      <c r="BB662" t="s">
        <v>74</v>
      </c>
      <c r="BC662" t="s">
        <v>74</v>
      </c>
      <c r="BD662" t="s">
        <v>12498</v>
      </c>
      <c r="BE662" t="s">
        <v>12499</v>
      </c>
      <c r="BF662" t="str">
        <f>HYPERLINK("http://dx.doi.org/10.1371/journal.pone.0040683","http://dx.doi.org/10.1371/journal.pone.0040683")</f>
        <v>http://dx.doi.org/10.1371/journal.pone.0040683</v>
      </c>
      <c r="BG662" t="s">
        <v>74</v>
      </c>
      <c r="BH662" t="s">
        <v>74</v>
      </c>
      <c r="BI662">
        <v>12</v>
      </c>
      <c r="BJ662" t="s">
        <v>153</v>
      </c>
      <c r="BK662" t="s">
        <v>98</v>
      </c>
      <c r="BL662" t="s">
        <v>154</v>
      </c>
      <c r="BM662" t="s">
        <v>12500</v>
      </c>
      <c r="BN662">
        <v>22815791</v>
      </c>
      <c r="BO662" t="s">
        <v>693</v>
      </c>
      <c r="BP662" t="s">
        <v>74</v>
      </c>
      <c r="BQ662" t="s">
        <v>74</v>
      </c>
      <c r="BR662" t="s">
        <v>101</v>
      </c>
      <c r="BS662" t="s">
        <v>12501</v>
      </c>
      <c r="BT662" t="str">
        <f>HYPERLINK("https%3A%2F%2Fwww.webofscience.com%2Fwos%2Fwoscc%2Ffull-record%2FWOS:000306507000025","View Full Record in Web of Science")</f>
        <v>View Full Record in Web of Science</v>
      </c>
    </row>
    <row r="663" spans="1:72" x14ac:dyDescent="0.15">
      <c r="A663" t="s">
        <v>72</v>
      </c>
      <c r="B663" t="s">
        <v>12502</v>
      </c>
      <c r="C663" t="s">
        <v>74</v>
      </c>
      <c r="D663" t="s">
        <v>74</v>
      </c>
      <c r="E663" t="s">
        <v>74</v>
      </c>
      <c r="F663" t="s">
        <v>12503</v>
      </c>
      <c r="G663" t="s">
        <v>74</v>
      </c>
      <c r="H663" t="s">
        <v>74</v>
      </c>
      <c r="I663" t="s">
        <v>12504</v>
      </c>
      <c r="J663" t="s">
        <v>134</v>
      </c>
      <c r="K663" t="s">
        <v>74</v>
      </c>
      <c r="L663" t="s">
        <v>74</v>
      </c>
      <c r="M663" t="s">
        <v>78</v>
      </c>
      <c r="N663" t="s">
        <v>79</v>
      </c>
      <c r="O663" t="s">
        <v>74</v>
      </c>
      <c r="P663" t="s">
        <v>74</v>
      </c>
      <c r="Q663" t="s">
        <v>74</v>
      </c>
      <c r="R663" t="s">
        <v>74</v>
      </c>
      <c r="S663" t="s">
        <v>74</v>
      </c>
      <c r="T663" t="s">
        <v>74</v>
      </c>
      <c r="U663" t="s">
        <v>12505</v>
      </c>
      <c r="V663" t="s">
        <v>12506</v>
      </c>
      <c r="W663" t="s">
        <v>12507</v>
      </c>
      <c r="X663" t="s">
        <v>12508</v>
      </c>
      <c r="Y663" t="s">
        <v>12509</v>
      </c>
      <c r="Z663" t="s">
        <v>12510</v>
      </c>
      <c r="AA663" t="s">
        <v>12511</v>
      </c>
      <c r="AB663" t="s">
        <v>12512</v>
      </c>
      <c r="AC663" t="s">
        <v>12513</v>
      </c>
      <c r="AD663" t="s">
        <v>12514</v>
      </c>
      <c r="AE663" t="s">
        <v>12515</v>
      </c>
      <c r="AF663" t="s">
        <v>74</v>
      </c>
      <c r="AG663">
        <v>34</v>
      </c>
      <c r="AH663">
        <v>14</v>
      </c>
      <c r="AI663">
        <v>14</v>
      </c>
      <c r="AJ663">
        <v>0</v>
      </c>
      <c r="AK663">
        <v>21</v>
      </c>
      <c r="AL663" t="s">
        <v>146</v>
      </c>
      <c r="AM663" t="s">
        <v>147</v>
      </c>
      <c r="AN663" t="s">
        <v>148</v>
      </c>
      <c r="AO663" t="s">
        <v>149</v>
      </c>
      <c r="AP663" t="s">
        <v>74</v>
      </c>
      <c r="AQ663" t="s">
        <v>74</v>
      </c>
      <c r="AR663" t="s">
        <v>134</v>
      </c>
      <c r="AS663" t="s">
        <v>150</v>
      </c>
      <c r="AT663" t="s">
        <v>12516</v>
      </c>
      <c r="AU663">
        <v>2012</v>
      </c>
      <c r="AV663">
        <v>7</v>
      </c>
      <c r="AW663">
        <v>7</v>
      </c>
      <c r="AX663" t="s">
        <v>74</v>
      </c>
      <c r="AY663" t="s">
        <v>74</v>
      </c>
      <c r="AZ663" t="s">
        <v>74</v>
      </c>
      <c r="BA663" t="s">
        <v>74</v>
      </c>
      <c r="BB663" t="s">
        <v>74</v>
      </c>
      <c r="BC663" t="s">
        <v>74</v>
      </c>
      <c r="BD663" t="s">
        <v>12517</v>
      </c>
      <c r="BE663" t="s">
        <v>12518</v>
      </c>
      <c r="BF663" t="str">
        <f>HYPERLINK("http://dx.doi.org/10.1371/journal.pone.0040982","http://dx.doi.org/10.1371/journal.pone.0040982")</f>
        <v>http://dx.doi.org/10.1371/journal.pone.0040982</v>
      </c>
      <c r="BG663" t="s">
        <v>74</v>
      </c>
      <c r="BH663" t="s">
        <v>74</v>
      </c>
      <c r="BI663">
        <v>14</v>
      </c>
      <c r="BJ663" t="s">
        <v>153</v>
      </c>
      <c r="BK663" t="s">
        <v>98</v>
      </c>
      <c r="BL663" t="s">
        <v>154</v>
      </c>
      <c r="BM663" t="s">
        <v>12519</v>
      </c>
      <c r="BN663">
        <v>22815886</v>
      </c>
      <c r="BO663" t="s">
        <v>693</v>
      </c>
      <c r="BP663" t="s">
        <v>74</v>
      </c>
      <c r="BQ663" t="s">
        <v>74</v>
      </c>
      <c r="BR663" t="s">
        <v>101</v>
      </c>
      <c r="BS663" t="s">
        <v>12520</v>
      </c>
      <c r="BT663" t="str">
        <f>HYPERLINK("https%3A%2F%2Fwww.webofscience.com%2Fwos%2Fwoscc%2Ffull-record%2FWOS:000306466100103","View Full Record in Web of Science")</f>
        <v>View Full Record in Web of Science</v>
      </c>
    </row>
    <row r="664" spans="1:72" x14ac:dyDescent="0.15">
      <c r="A664" t="s">
        <v>72</v>
      </c>
      <c r="B664" t="s">
        <v>12521</v>
      </c>
      <c r="C664" t="s">
        <v>74</v>
      </c>
      <c r="D664" t="s">
        <v>74</v>
      </c>
      <c r="E664" t="s">
        <v>74</v>
      </c>
      <c r="F664" t="s">
        <v>12522</v>
      </c>
      <c r="G664" t="s">
        <v>74</v>
      </c>
      <c r="H664" t="s">
        <v>74</v>
      </c>
      <c r="I664" t="s">
        <v>12523</v>
      </c>
      <c r="J664" t="s">
        <v>77</v>
      </c>
      <c r="K664" t="s">
        <v>74</v>
      </c>
      <c r="L664" t="s">
        <v>74</v>
      </c>
      <c r="M664" t="s">
        <v>78</v>
      </c>
      <c r="N664" t="s">
        <v>79</v>
      </c>
      <c r="O664" t="s">
        <v>74</v>
      </c>
      <c r="P664" t="s">
        <v>74</v>
      </c>
      <c r="Q664" t="s">
        <v>74</v>
      </c>
      <c r="R664" t="s">
        <v>74</v>
      </c>
      <c r="S664" t="s">
        <v>74</v>
      </c>
      <c r="T664" t="s">
        <v>12524</v>
      </c>
      <c r="U664" t="s">
        <v>12525</v>
      </c>
      <c r="V664" t="s">
        <v>12526</v>
      </c>
      <c r="W664" t="s">
        <v>12527</v>
      </c>
      <c r="X664" t="s">
        <v>12528</v>
      </c>
      <c r="Y664" t="s">
        <v>4047</v>
      </c>
      <c r="Z664" t="s">
        <v>4048</v>
      </c>
      <c r="AA664" t="s">
        <v>74</v>
      </c>
      <c r="AB664" t="s">
        <v>12529</v>
      </c>
      <c r="AC664" t="s">
        <v>12530</v>
      </c>
      <c r="AD664" t="s">
        <v>12531</v>
      </c>
      <c r="AE664" t="s">
        <v>12532</v>
      </c>
      <c r="AF664" t="s">
        <v>74</v>
      </c>
      <c r="AG664">
        <v>78</v>
      </c>
      <c r="AH664">
        <v>83</v>
      </c>
      <c r="AI664">
        <v>93</v>
      </c>
      <c r="AJ664">
        <v>0</v>
      </c>
      <c r="AK664">
        <v>33</v>
      </c>
      <c r="AL664" t="s">
        <v>89</v>
      </c>
      <c r="AM664" t="s">
        <v>90</v>
      </c>
      <c r="AN664" t="s">
        <v>91</v>
      </c>
      <c r="AO664" t="s">
        <v>92</v>
      </c>
      <c r="AP664" t="s">
        <v>74</v>
      </c>
      <c r="AQ664" t="s">
        <v>74</v>
      </c>
      <c r="AR664" t="s">
        <v>93</v>
      </c>
      <c r="AS664" t="s">
        <v>94</v>
      </c>
      <c r="AT664" t="s">
        <v>12516</v>
      </c>
      <c r="AU664">
        <v>2012</v>
      </c>
      <c r="AV664">
        <v>46</v>
      </c>
      <c r="AW664" t="s">
        <v>74</v>
      </c>
      <c r="AX664" t="s">
        <v>74</v>
      </c>
      <c r="AY664" t="s">
        <v>74</v>
      </c>
      <c r="AZ664" t="s">
        <v>74</v>
      </c>
      <c r="BA664" t="s">
        <v>74</v>
      </c>
      <c r="BB664">
        <v>30</v>
      </c>
      <c r="BC664">
        <v>45</v>
      </c>
      <c r="BD664" t="s">
        <v>74</v>
      </c>
      <c r="BE664" t="s">
        <v>12533</v>
      </c>
      <c r="BF664" t="str">
        <f>HYPERLINK("http://dx.doi.org/10.1016/j.quascirev.2012.05.004","http://dx.doi.org/10.1016/j.quascirev.2012.05.004")</f>
        <v>http://dx.doi.org/10.1016/j.quascirev.2012.05.004</v>
      </c>
      <c r="BG664" t="s">
        <v>74</v>
      </c>
      <c r="BH664" t="s">
        <v>74</v>
      </c>
      <c r="BI664">
        <v>16</v>
      </c>
      <c r="BJ664" t="s">
        <v>97</v>
      </c>
      <c r="BK664" t="s">
        <v>98</v>
      </c>
      <c r="BL664" t="s">
        <v>99</v>
      </c>
      <c r="BM664" t="s">
        <v>12534</v>
      </c>
      <c r="BN664" t="s">
        <v>74</v>
      </c>
      <c r="BO664" t="s">
        <v>74</v>
      </c>
      <c r="BP664" t="s">
        <v>74</v>
      </c>
      <c r="BQ664" t="s">
        <v>74</v>
      </c>
      <c r="BR664" t="s">
        <v>101</v>
      </c>
      <c r="BS664" t="s">
        <v>12535</v>
      </c>
      <c r="BT664" t="str">
        <f>HYPERLINK("https%3A%2F%2Fwww.webofscience.com%2Fwos%2Fwoscc%2Ffull-record%2FWOS:000306350400002","View Full Record in Web of Science")</f>
        <v>View Full Record in Web of Science</v>
      </c>
    </row>
    <row r="665" spans="1:72" x14ac:dyDescent="0.15">
      <c r="A665" t="s">
        <v>72</v>
      </c>
      <c r="B665" t="s">
        <v>12536</v>
      </c>
      <c r="C665" t="s">
        <v>74</v>
      </c>
      <c r="D665" t="s">
        <v>74</v>
      </c>
      <c r="E665" t="s">
        <v>74</v>
      </c>
      <c r="F665" t="s">
        <v>12537</v>
      </c>
      <c r="G665" t="s">
        <v>74</v>
      </c>
      <c r="H665" t="s">
        <v>74</v>
      </c>
      <c r="I665" t="s">
        <v>12538</v>
      </c>
      <c r="J665" t="s">
        <v>9869</v>
      </c>
      <c r="K665" t="s">
        <v>74</v>
      </c>
      <c r="L665" t="s">
        <v>74</v>
      </c>
      <c r="M665" t="s">
        <v>78</v>
      </c>
      <c r="N665" t="s">
        <v>79</v>
      </c>
      <c r="O665" t="s">
        <v>74</v>
      </c>
      <c r="P665" t="s">
        <v>74</v>
      </c>
      <c r="Q665" t="s">
        <v>74</v>
      </c>
      <c r="R665" t="s">
        <v>74</v>
      </c>
      <c r="S665" t="s">
        <v>74</v>
      </c>
      <c r="T665" t="s">
        <v>12539</v>
      </c>
      <c r="U665" t="s">
        <v>12540</v>
      </c>
      <c r="V665" t="s">
        <v>12541</v>
      </c>
      <c r="W665" t="s">
        <v>12542</v>
      </c>
      <c r="X665" t="s">
        <v>12543</v>
      </c>
      <c r="Y665" t="s">
        <v>12544</v>
      </c>
      <c r="Z665" t="s">
        <v>12545</v>
      </c>
      <c r="AA665" t="s">
        <v>74</v>
      </c>
      <c r="AB665" t="s">
        <v>74</v>
      </c>
      <c r="AC665" t="s">
        <v>74</v>
      </c>
      <c r="AD665" t="s">
        <v>74</v>
      </c>
      <c r="AE665" t="s">
        <v>74</v>
      </c>
      <c r="AF665" t="s">
        <v>74</v>
      </c>
      <c r="AG665">
        <v>28</v>
      </c>
      <c r="AH665">
        <v>5</v>
      </c>
      <c r="AI665">
        <v>5</v>
      </c>
      <c r="AJ665">
        <v>0</v>
      </c>
      <c r="AK665">
        <v>25</v>
      </c>
      <c r="AL665" t="s">
        <v>89</v>
      </c>
      <c r="AM665" t="s">
        <v>90</v>
      </c>
      <c r="AN665" t="s">
        <v>91</v>
      </c>
      <c r="AO665" t="s">
        <v>9880</v>
      </c>
      <c r="AP665" t="s">
        <v>74</v>
      </c>
      <c r="AQ665" t="s">
        <v>74</v>
      </c>
      <c r="AR665" t="s">
        <v>9882</v>
      </c>
      <c r="AS665" t="s">
        <v>9883</v>
      </c>
      <c r="AT665" t="s">
        <v>12546</v>
      </c>
      <c r="AU665">
        <v>2012</v>
      </c>
      <c r="AV665">
        <v>43</v>
      </c>
      <c r="AW665" t="s">
        <v>74</v>
      </c>
      <c r="AX665" t="s">
        <v>74</v>
      </c>
      <c r="AY665" t="s">
        <v>74</v>
      </c>
      <c r="AZ665" t="s">
        <v>74</v>
      </c>
      <c r="BA665" t="s">
        <v>74</v>
      </c>
      <c r="BB665">
        <v>36</v>
      </c>
      <c r="BC665">
        <v>42</v>
      </c>
      <c r="BD665" t="s">
        <v>74</v>
      </c>
      <c r="BE665" t="s">
        <v>12547</v>
      </c>
      <c r="BF665" t="str">
        <f>HYPERLINK("http://dx.doi.org/10.1016/j.csr.2012.04.013","http://dx.doi.org/10.1016/j.csr.2012.04.013")</f>
        <v>http://dx.doi.org/10.1016/j.csr.2012.04.013</v>
      </c>
      <c r="BG665" t="s">
        <v>74</v>
      </c>
      <c r="BH665" t="s">
        <v>74</v>
      </c>
      <c r="BI665">
        <v>7</v>
      </c>
      <c r="BJ665" t="s">
        <v>941</v>
      </c>
      <c r="BK665" t="s">
        <v>98</v>
      </c>
      <c r="BL665" t="s">
        <v>941</v>
      </c>
      <c r="BM665" t="s">
        <v>12548</v>
      </c>
      <c r="BN665" t="s">
        <v>74</v>
      </c>
      <c r="BO665" t="s">
        <v>74</v>
      </c>
      <c r="BP665" t="s">
        <v>74</v>
      </c>
      <c r="BQ665" t="s">
        <v>74</v>
      </c>
      <c r="BR665" t="s">
        <v>101</v>
      </c>
      <c r="BS665" t="s">
        <v>12549</v>
      </c>
      <c r="BT665" t="str">
        <f>HYPERLINK("https%3A%2F%2Fwww.webofscience.com%2Fwos%2Fwoscc%2Ffull-record%2FWOS:000306980400004","View Full Record in Web of Science")</f>
        <v>View Full Record in Web of Science</v>
      </c>
    </row>
    <row r="666" spans="1:72" x14ac:dyDescent="0.15">
      <c r="A666" t="s">
        <v>72</v>
      </c>
      <c r="B666" t="s">
        <v>12550</v>
      </c>
      <c r="C666" t="s">
        <v>74</v>
      </c>
      <c r="D666" t="s">
        <v>74</v>
      </c>
      <c r="E666" t="s">
        <v>74</v>
      </c>
      <c r="F666" t="s">
        <v>12551</v>
      </c>
      <c r="G666" t="s">
        <v>74</v>
      </c>
      <c r="H666" t="s">
        <v>74</v>
      </c>
      <c r="I666" t="s">
        <v>12552</v>
      </c>
      <c r="J666" t="s">
        <v>1417</v>
      </c>
      <c r="K666" t="s">
        <v>74</v>
      </c>
      <c r="L666" t="s">
        <v>74</v>
      </c>
      <c r="M666" t="s">
        <v>78</v>
      </c>
      <c r="N666" t="s">
        <v>79</v>
      </c>
      <c r="O666" t="s">
        <v>74</v>
      </c>
      <c r="P666" t="s">
        <v>74</v>
      </c>
      <c r="Q666" t="s">
        <v>74</v>
      </c>
      <c r="R666" t="s">
        <v>74</v>
      </c>
      <c r="S666" t="s">
        <v>74</v>
      </c>
      <c r="T666" t="s">
        <v>74</v>
      </c>
      <c r="U666" t="s">
        <v>12553</v>
      </c>
      <c r="V666" t="s">
        <v>12554</v>
      </c>
      <c r="W666" t="s">
        <v>12555</v>
      </c>
      <c r="X666" t="s">
        <v>12556</v>
      </c>
      <c r="Y666" t="s">
        <v>12557</v>
      </c>
      <c r="Z666" t="s">
        <v>12558</v>
      </c>
      <c r="AA666" t="s">
        <v>12559</v>
      </c>
      <c r="AB666" t="s">
        <v>12560</v>
      </c>
      <c r="AC666" t="s">
        <v>12561</v>
      </c>
      <c r="AD666" t="s">
        <v>12562</v>
      </c>
      <c r="AE666" t="s">
        <v>12563</v>
      </c>
      <c r="AF666" t="s">
        <v>74</v>
      </c>
      <c r="AG666">
        <v>90</v>
      </c>
      <c r="AH666">
        <v>48</v>
      </c>
      <c r="AI666">
        <v>48</v>
      </c>
      <c r="AJ666">
        <v>0</v>
      </c>
      <c r="AK666">
        <v>26</v>
      </c>
      <c r="AL666" t="s">
        <v>1429</v>
      </c>
      <c r="AM666" t="s">
        <v>1430</v>
      </c>
      <c r="AN666" t="s">
        <v>3557</v>
      </c>
      <c r="AO666" t="s">
        <v>1432</v>
      </c>
      <c r="AP666" t="s">
        <v>1433</v>
      </c>
      <c r="AQ666" t="s">
        <v>74</v>
      </c>
      <c r="AR666" t="s">
        <v>1434</v>
      </c>
      <c r="AS666" t="s">
        <v>1435</v>
      </c>
      <c r="AT666" t="s">
        <v>12546</v>
      </c>
      <c r="AU666">
        <v>2012</v>
      </c>
      <c r="AV666">
        <v>25</v>
      </c>
      <c r="AW666">
        <v>14</v>
      </c>
      <c r="AX666" t="s">
        <v>74</v>
      </c>
      <c r="AY666" t="s">
        <v>74</v>
      </c>
      <c r="AZ666" t="s">
        <v>74</v>
      </c>
      <c r="BA666" t="s">
        <v>74</v>
      </c>
      <c r="BB666">
        <v>4817</v>
      </c>
      <c r="BC666">
        <v>4838</v>
      </c>
      <c r="BD666" t="s">
        <v>74</v>
      </c>
      <c r="BE666" t="s">
        <v>12564</v>
      </c>
      <c r="BF666" t="str">
        <f>HYPERLINK("http://dx.doi.org/10.1175/JCLI-D-11-00289.1","http://dx.doi.org/10.1175/JCLI-D-11-00289.1")</f>
        <v>http://dx.doi.org/10.1175/JCLI-D-11-00289.1</v>
      </c>
      <c r="BG666" t="s">
        <v>74</v>
      </c>
      <c r="BH666" t="s">
        <v>74</v>
      </c>
      <c r="BI666">
        <v>22</v>
      </c>
      <c r="BJ666" t="s">
        <v>378</v>
      </c>
      <c r="BK666" t="s">
        <v>98</v>
      </c>
      <c r="BL666" t="s">
        <v>378</v>
      </c>
      <c r="BM666" t="s">
        <v>12565</v>
      </c>
      <c r="BN666" t="s">
        <v>74</v>
      </c>
      <c r="BO666" t="s">
        <v>380</v>
      </c>
      <c r="BP666" t="s">
        <v>74</v>
      </c>
      <c r="BQ666" t="s">
        <v>74</v>
      </c>
      <c r="BR666" t="s">
        <v>101</v>
      </c>
      <c r="BS666" t="s">
        <v>12566</v>
      </c>
      <c r="BT666" t="str">
        <f>HYPERLINK("https%3A%2F%2Fwww.webofscience.com%2Fwos%2Fwoscc%2Ffull-record%2FWOS:000307027800004","View Full Record in Web of Science")</f>
        <v>View Full Record in Web of Science</v>
      </c>
    </row>
    <row r="667" spans="1:72" x14ac:dyDescent="0.15">
      <c r="A667" t="s">
        <v>72</v>
      </c>
      <c r="B667" t="s">
        <v>12567</v>
      </c>
      <c r="C667" t="s">
        <v>74</v>
      </c>
      <c r="D667" t="s">
        <v>74</v>
      </c>
      <c r="E667" t="s">
        <v>74</v>
      </c>
      <c r="F667" t="s">
        <v>12568</v>
      </c>
      <c r="G667" t="s">
        <v>74</v>
      </c>
      <c r="H667" t="s">
        <v>74</v>
      </c>
      <c r="I667" t="s">
        <v>12569</v>
      </c>
      <c r="J667" t="s">
        <v>12570</v>
      </c>
      <c r="K667" t="s">
        <v>74</v>
      </c>
      <c r="L667" t="s">
        <v>74</v>
      </c>
      <c r="M667" t="s">
        <v>78</v>
      </c>
      <c r="N667" t="s">
        <v>79</v>
      </c>
      <c r="O667" t="s">
        <v>74</v>
      </c>
      <c r="P667" t="s">
        <v>74</v>
      </c>
      <c r="Q667" t="s">
        <v>74</v>
      </c>
      <c r="R667" t="s">
        <v>74</v>
      </c>
      <c r="S667" t="s">
        <v>74</v>
      </c>
      <c r="T667" t="s">
        <v>12571</v>
      </c>
      <c r="U667" t="s">
        <v>12572</v>
      </c>
      <c r="V667" t="s">
        <v>12573</v>
      </c>
      <c r="W667" t="s">
        <v>12574</v>
      </c>
      <c r="X667" t="s">
        <v>12575</v>
      </c>
      <c r="Y667" t="s">
        <v>12576</v>
      </c>
      <c r="Z667" t="s">
        <v>12577</v>
      </c>
      <c r="AA667" t="s">
        <v>74</v>
      </c>
      <c r="AB667" t="s">
        <v>12578</v>
      </c>
      <c r="AC667" t="s">
        <v>12579</v>
      </c>
      <c r="AD667" t="s">
        <v>12580</v>
      </c>
      <c r="AE667" t="s">
        <v>12581</v>
      </c>
      <c r="AF667" t="s">
        <v>74</v>
      </c>
      <c r="AG667">
        <v>62</v>
      </c>
      <c r="AH667">
        <v>17</v>
      </c>
      <c r="AI667">
        <v>21</v>
      </c>
      <c r="AJ667">
        <v>0</v>
      </c>
      <c r="AK667">
        <v>21</v>
      </c>
      <c r="AL667" t="s">
        <v>188</v>
      </c>
      <c r="AM667" t="s">
        <v>189</v>
      </c>
      <c r="AN667" t="s">
        <v>190</v>
      </c>
      <c r="AO667" t="s">
        <v>12582</v>
      </c>
      <c r="AP667" t="s">
        <v>12583</v>
      </c>
      <c r="AQ667" t="s">
        <v>74</v>
      </c>
      <c r="AR667" t="s">
        <v>12570</v>
      </c>
      <c r="AS667" t="s">
        <v>12584</v>
      </c>
      <c r="AT667" t="s">
        <v>12546</v>
      </c>
      <c r="AU667">
        <v>2012</v>
      </c>
      <c r="AV667">
        <v>159</v>
      </c>
      <c r="AW667" t="s">
        <v>74</v>
      </c>
      <c r="AX667" t="s">
        <v>74</v>
      </c>
      <c r="AY667" t="s">
        <v>74</v>
      </c>
      <c r="AZ667" t="s">
        <v>74</v>
      </c>
      <c r="BA667" t="s">
        <v>74</v>
      </c>
      <c r="BB667">
        <v>73</v>
      </c>
      <c r="BC667">
        <v>83</v>
      </c>
      <c r="BD667" t="s">
        <v>74</v>
      </c>
      <c r="BE667" t="s">
        <v>12585</v>
      </c>
      <c r="BF667" t="str">
        <f>HYPERLINK("http://dx.doi.org/10.1016/j.geomorph.2012.03.006","http://dx.doi.org/10.1016/j.geomorph.2012.03.006")</f>
        <v>http://dx.doi.org/10.1016/j.geomorph.2012.03.006</v>
      </c>
      <c r="BG667" t="s">
        <v>74</v>
      </c>
      <c r="BH667" t="s">
        <v>74</v>
      </c>
      <c r="BI667">
        <v>11</v>
      </c>
      <c r="BJ667" t="s">
        <v>97</v>
      </c>
      <c r="BK667" t="s">
        <v>98</v>
      </c>
      <c r="BL667" t="s">
        <v>99</v>
      </c>
      <c r="BM667" t="s">
        <v>12586</v>
      </c>
      <c r="BN667" t="s">
        <v>74</v>
      </c>
      <c r="BO667" t="s">
        <v>74</v>
      </c>
      <c r="BP667" t="s">
        <v>74</v>
      </c>
      <c r="BQ667" t="s">
        <v>74</v>
      </c>
      <c r="BR667" t="s">
        <v>101</v>
      </c>
      <c r="BS667" t="s">
        <v>12587</v>
      </c>
      <c r="BT667" t="str">
        <f>HYPERLINK("https%3A%2F%2Fwww.webofscience.com%2Fwos%2Fwoscc%2Ffull-record%2FWOS:000305658900007","View Full Record in Web of Science")</f>
        <v>View Full Record in Web of Science</v>
      </c>
    </row>
    <row r="668" spans="1:72" x14ac:dyDescent="0.15">
      <c r="A668" t="s">
        <v>72</v>
      </c>
      <c r="B668" t="s">
        <v>12588</v>
      </c>
      <c r="C668" t="s">
        <v>74</v>
      </c>
      <c r="D668" t="s">
        <v>74</v>
      </c>
      <c r="E668" t="s">
        <v>74</v>
      </c>
      <c r="F668" t="s">
        <v>12589</v>
      </c>
      <c r="G668" t="s">
        <v>74</v>
      </c>
      <c r="H668" t="s">
        <v>74</v>
      </c>
      <c r="I668" t="s">
        <v>12590</v>
      </c>
      <c r="J668" t="s">
        <v>12591</v>
      </c>
      <c r="K668" t="s">
        <v>74</v>
      </c>
      <c r="L668" t="s">
        <v>74</v>
      </c>
      <c r="M668" t="s">
        <v>78</v>
      </c>
      <c r="N668" t="s">
        <v>79</v>
      </c>
      <c r="O668" t="s">
        <v>74</v>
      </c>
      <c r="P668" t="s">
        <v>74</v>
      </c>
      <c r="Q668" t="s">
        <v>74</v>
      </c>
      <c r="R668" t="s">
        <v>74</v>
      </c>
      <c r="S668" t="s">
        <v>74</v>
      </c>
      <c r="T668" t="s">
        <v>12592</v>
      </c>
      <c r="U668" t="s">
        <v>12593</v>
      </c>
      <c r="V668" t="s">
        <v>12594</v>
      </c>
      <c r="W668" t="s">
        <v>12595</v>
      </c>
      <c r="X668" t="s">
        <v>12596</v>
      </c>
      <c r="Y668" t="s">
        <v>12597</v>
      </c>
      <c r="Z668" t="s">
        <v>12598</v>
      </c>
      <c r="AA668" t="s">
        <v>12599</v>
      </c>
      <c r="AB668" t="s">
        <v>12600</v>
      </c>
      <c r="AC668" t="s">
        <v>12601</v>
      </c>
      <c r="AD668" t="s">
        <v>12602</v>
      </c>
      <c r="AE668" t="s">
        <v>12603</v>
      </c>
      <c r="AF668" t="s">
        <v>74</v>
      </c>
      <c r="AG668">
        <v>33</v>
      </c>
      <c r="AH668">
        <v>6</v>
      </c>
      <c r="AI668">
        <v>9</v>
      </c>
      <c r="AJ668">
        <v>0</v>
      </c>
      <c r="AK668">
        <v>19</v>
      </c>
      <c r="AL668" t="s">
        <v>89</v>
      </c>
      <c r="AM668" t="s">
        <v>90</v>
      </c>
      <c r="AN668" t="s">
        <v>91</v>
      </c>
      <c r="AO668" t="s">
        <v>12604</v>
      </c>
      <c r="AP668" t="s">
        <v>74</v>
      </c>
      <c r="AQ668" t="s">
        <v>74</v>
      </c>
      <c r="AR668" t="s">
        <v>12605</v>
      </c>
      <c r="AS668" t="s">
        <v>12606</v>
      </c>
      <c r="AT668" t="s">
        <v>12546</v>
      </c>
      <c r="AU668">
        <v>2012</v>
      </c>
      <c r="AV668">
        <v>22</v>
      </c>
      <c r="AW668">
        <v>14</v>
      </c>
      <c r="AX668" t="s">
        <v>74</v>
      </c>
      <c r="AY668" t="s">
        <v>74</v>
      </c>
      <c r="AZ668" t="s">
        <v>74</v>
      </c>
      <c r="BA668" t="s">
        <v>74</v>
      </c>
      <c r="BB668">
        <v>4735</v>
      </c>
      <c r="BC668">
        <v>4739</v>
      </c>
      <c r="BD668" t="s">
        <v>74</v>
      </c>
      <c r="BE668" t="s">
        <v>12607</v>
      </c>
      <c r="BF668" t="str">
        <f>HYPERLINK("http://dx.doi.org/10.1016/j.bmcl.2012.05.073","http://dx.doi.org/10.1016/j.bmcl.2012.05.073")</f>
        <v>http://dx.doi.org/10.1016/j.bmcl.2012.05.073</v>
      </c>
      <c r="BG668" t="s">
        <v>74</v>
      </c>
      <c r="BH668" t="s">
        <v>74</v>
      </c>
      <c r="BI668">
        <v>5</v>
      </c>
      <c r="BJ668" t="s">
        <v>12608</v>
      </c>
      <c r="BK668" t="s">
        <v>98</v>
      </c>
      <c r="BL668" t="s">
        <v>12609</v>
      </c>
      <c r="BM668" t="s">
        <v>12610</v>
      </c>
      <c r="BN668">
        <v>22704237</v>
      </c>
      <c r="BO668" t="s">
        <v>74</v>
      </c>
      <c r="BP668" t="s">
        <v>74</v>
      </c>
      <c r="BQ668" t="s">
        <v>74</v>
      </c>
      <c r="BR668" t="s">
        <v>101</v>
      </c>
      <c r="BS668" t="s">
        <v>12611</v>
      </c>
      <c r="BT668" t="str">
        <f>HYPERLINK("https%3A%2F%2Fwww.webofscience.com%2Fwos%2Fwoscc%2Ffull-record%2FWOS:000306101300048","View Full Record in Web of Science")</f>
        <v>View Full Record in Web of Science</v>
      </c>
    </row>
    <row r="669" spans="1:72" x14ac:dyDescent="0.15">
      <c r="A669" t="s">
        <v>72</v>
      </c>
      <c r="B669" t="s">
        <v>12612</v>
      </c>
      <c r="C669" t="s">
        <v>74</v>
      </c>
      <c r="D669" t="s">
        <v>74</v>
      </c>
      <c r="E669" t="s">
        <v>74</v>
      </c>
      <c r="F669" t="s">
        <v>12613</v>
      </c>
      <c r="G669" t="s">
        <v>74</v>
      </c>
      <c r="H669" t="s">
        <v>74</v>
      </c>
      <c r="I669" t="s">
        <v>12614</v>
      </c>
      <c r="J669" t="s">
        <v>12615</v>
      </c>
      <c r="K669" t="s">
        <v>74</v>
      </c>
      <c r="L669" t="s">
        <v>74</v>
      </c>
      <c r="M669" t="s">
        <v>78</v>
      </c>
      <c r="N669" t="s">
        <v>79</v>
      </c>
      <c r="O669" t="s">
        <v>74</v>
      </c>
      <c r="P669" t="s">
        <v>74</v>
      </c>
      <c r="Q669" t="s">
        <v>74</v>
      </c>
      <c r="R669" t="s">
        <v>74</v>
      </c>
      <c r="S669" t="s">
        <v>74</v>
      </c>
      <c r="T669" t="s">
        <v>12616</v>
      </c>
      <c r="U669" t="s">
        <v>12617</v>
      </c>
      <c r="V669" t="s">
        <v>12618</v>
      </c>
      <c r="W669" t="s">
        <v>12619</v>
      </c>
      <c r="X669" t="s">
        <v>12620</v>
      </c>
      <c r="Y669" t="s">
        <v>12621</v>
      </c>
      <c r="Z669" t="s">
        <v>12622</v>
      </c>
      <c r="AA669" t="s">
        <v>12623</v>
      </c>
      <c r="AB669" t="s">
        <v>12624</v>
      </c>
      <c r="AC669" t="s">
        <v>12625</v>
      </c>
      <c r="AD669" t="s">
        <v>12625</v>
      </c>
      <c r="AE669" t="s">
        <v>12626</v>
      </c>
      <c r="AF669" t="s">
        <v>74</v>
      </c>
      <c r="AG669">
        <v>31</v>
      </c>
      <c r="AH669">
        <v>13</v>
      </c>
      <c r="AI669">
        <v>13</v>
      </c>
      <c r="AJ669">
        <v>1</v>
      </c>
      <c r="AK669">
        <v>38</v>
      </c>
      <c r="AL669" t="s">
        <v>12627</v>
      </c>
      <c r="AM669" t="s">
        <v>12628</v>
      </c>
      <c r="AN669" t="s">
        <v>12629</v>
      </c>
      <c r="AO669" t="s">
        <v>12630</v>
      </c>
      <c r="AP669" t="s">
        <v>74</v>
      </c>
      <c r="AQ669" t="s">
        <v>74</v>
      </c>
      <c r="AR669" t="s">
        <v>12631</v>
      </c>
      <c r="AS669" t="s">
        <v>12632</v>
      </c>
      <c r="AT669" t="s">
        <v>12546</v>
      </c>
      <c r="AU669">
        <v>2012</v>
      </c>
      <c r="AV669">
        <v>15</v>
      </c>
      <c r="AW669">
        <v>4</v>
      </c>
      <c r="AX669" t="s">
        <v>74</v>
      </c>
      <c r="AY669" t="s">
        <v>74</v>
      </c>
      <c r="AZ669" t="s">
        <v>74</v>
      </c>
      <c r="BA669" t="s">
        <v>74</v>
      </c>
      <c r="BB669" t="s">
        <v>74</v>
      </c>
      <c r="BC669" t="s">
        <v>74</v>
      </c>
      <c r="BD669">
        <v>7</v>
      </c>
      <c r="BE669" t="s">
        <v>12633</v>
      </c>
      <c r="BF669" t="str">
        <f>HYPERLINK("http://dx.doi.org/10.2225/vol15-issue4-fulltext-7","http://dx.doi.org/10.2225/vol15-issue4-fulltext-7")</f>
        <v>http://dx.doi.org/10.2225/vol15-issue4-fulltext-7</v>
      </c>
      <c r="BG669" t="s">
        <v>74</v>
      </c>
      <c r="BH669" t="s">
        <v>74</v>
      </c>
      <c r="BI669">
        <v>8</v>
      </c>
      <c r="BJ669" t="s">
        <v>8329</v>
      </c>
      <c r="BK669" t="s">
        <v>98</v>
      </c>
      <c r="BL669" t="s">
        <v>8329</v>
      </c>
      <c r="BM669" t="s">
        <v>12634</v>
      </c>
      <c r="BN669" t="s">
        <v>74</v>
      </c>
      <c r="BO669" t="s">
        <v>12635</v>
      </c>
      <c r="BP669" t="s">
        <v>74</v>
      </c>
      <c r="BQ669" t="s">
        <v>74</v>
      </c>
      <c r="BR669" t="s">
        <v>101</v>
      </c>
      <c r="BS669" t="s">
        <v>12636</v>
      </c>
      <c r="BT669" t="str">
        <f>HYPERLINK("https%3A%2F%2Fwww.webofscience.com%2Fwos%2Fwoscc%2Ffull-record%2FWOS:000307004700007","View Full Record in Web of Science")</f>
        <v>View Full Record in Web of Science</v>
      </c>
    </row>
    <row r="670" spans="1:72" x14ac:dyDescent="0.15">
      <c r="A670" t="s">
        <v>72</v>
      </c>
      <c r="B670" t="s">
        <v>12637</v>
      </c>
      <c r="C670" t="s">
        <v>74</v>
      </c>
      <c r="D670" t="s">
        <v>74</v>
      </c>
      <c r="E670" t="s">
        <v>74</v>
      </c>
      <c r="F670" t="s">
        <v>12638</v>
      </c>
      <c r="G670" t="s">
        <v>74</v>
      </c>
      <c r="H670" t="s">
        <v>74</v>
      </c>
      <c r="I670" t="s">
        <v>12639</v>
      </c>
      <c r="J670" t="s">
        <v>1417</v>
      </c>
      <c r="K670" t="s">
        <v>74</v>
      </c>
      <c r="L670" t="s">
        <v>74</v>
      </c>
      <c r="M670" t="s">
        <v>78</v>
      </c>
      <c r="N670" t="s">
        <v>79</v>
      </c>
      <c r="O670" t="s">
        <v>74</v>
      </c>
      <c r="P670" t="s">
        <v>74</v>
      </c>
      <c r="Q670" t="s">
        <v>74</v>
      </c>
      <c r="R670" t="s">
        <v>74</v>
      </c>
      <c r="S670" t="s">
        <v>74</v>
      </c>
      <c r="T670" t="s">
        <v>74</v>
      </c>
      <c r="U670" t="s">
        <v>12640</v>
      </c>
      <c r="V670" t="s">
        <v>12641</v>
      </c>
      <c r="W670" t="s">
        <v>12642</v>
      </c>
      <c r="X670" t="s">
        <v>12643</v>
      </c>
      <c r="Y670" t="s">
        <v>12644</v>
      </c>
      <c r="Z670" t="s">
        <v>12645</v>
      </c>
      <c r="AA670" t="s">
        <v>74</v>
      </c>
      <c r="AB670" t="s">
        <v>12646</v>
      </c>
      <c r="AC670" t="s">
        <v>12647</v>
      </c>
      <c r="AD670" t="s">
        <v>12648</v>
      </c>
      <c r="AE670" t="s">
        <v>12649</v>
      </c>
      <c r="AF670" t="s">
        <v>74</v>
      </c>
      <c r="AG670">
        <v>109</v>
      </c>
      <c r="AH670">
        <v>108</v>
      </c>
      <c r="AI670">
        <v>126</v>
      </c>
      <c r="AJ670">
        <v>2</v>
      </c>
      <c r="AK670">
        <v>61</v>
      </c>
      <c r="AL670" t="s">
        <v>1429</v>
      </c>
      <c r="AM670" t="s">
        <v>1430</v>
      </c>
      <c r="AN670" t="s">
        <v>1431</v>
      </c>
      <c r="AO670" t="s">
        <v>1432</v>
      </c>
      <c r="AP670" t="s">
        <v>1433</v>
      </c>
      <c r="AQ670" t="s">
        <v>74</v>
      </c>
      <c r="AR670" t="s">
        <v>1434</v>
      </c>
      <c r="AS670" t="s">
        <v>1435</v>
      </c>
      <c r="AT670" t="s">
        <v>12546</v>
      </c>
      <c r="AU670">
        <v>2012</v>
      </c>
      <c r="AV670">
        <v>25</v>
      </c>
      <c r="AW670">
        <v>14</v>
      </c>
      <c r="AX670" t="s">
        <v>74</v>
      </c>
      <c r="AY670" t="s">
        <v>74</v>
      </c>
      <c r="AZ670" t="s">
        <v>74</v>
      </c>
      <c r="BA670" t="s">
        <v>74</v>
      </c>
      <c r="BB670">
        <v>4799</v>
      </c>
      <c r="BC670">
        <v>4816</v>
      </c>
      <c r="BD670" t="s">
        <v>74</v>
      </c>
      <c r="BE670" t="s">
        <v>12650</v>
      </c>
      <c r="BF670" t="str">
        <f>HYPERLINK("http://dx.doi.org/10.1175/JCLI-D-11-00307.1","http://dx.doi.org/10.1175/JCLI-D-11-00307.1")</f>
        <v>http://dx.doi.org/10.1175/JCLI-D-11-00307.1</v>
      </c>
      <c r="BG670" t="s">
        <v>74</v>
      </c>
      <c r="BH670" t="s">
        <v>74</v>
      </c>
      <c r="BI670">
        <v>18</v>
      </c>
      <c r="BJ670" t="s">
        <v>378</v>
      </c>
      <c r="BK670" t="s">
        <v>98</v>
      </c>
      <c r="BL670" t="s">
        <v>378</v>
      </c>
      <c r="BM670" t="s">
        <v>12565</v>
      </c>
      <c r="BN670" t="s">
        <v>74</v>
      </c>
      <c r="BO670" t="s">
        <v>1287</v>
      </c>
      <c r="BP670" t="s">
        <v>74</v>
      </c>
      <c r="BQ670" t="s">
        <v>74</v>
      </c>
      <c r="BR670" t="s">
        <v>101</v>
      </c>
      <c r="BS670" t="s">
        <v>12651</v>
      </c>
      <c r="BT670" t="str">
        <f>HYPERLINK("https%3A%2F%2Fwww.webofscience.com%2Fwos%2Fwoscc%2Ffull-record%2FWOS:000307027800003","View Full Record in Web of Science")</f>
        <v>View Full Record in Web of Science</v>
      </c>
    </row>
    <row r="671" spans="1:72" x14ac:dyDescent="0.15">
      <c r="A671" t="s">
        <v>72</v>
      </c>
      <c r="B671" t="s">
        <v>12652</v>
      </c>
      <c r="C671" t="s">
        <v>74</v>
      </c>
      <c r="D671" t="s">
        <v>74</v>
      </c>
      <c r="E671" t="s">
        <v>74</v>
      </c>
      <c r="F671" t="s">
        <v>12653</v>
      </c>
      <c r="G671" t="s">
        <v>74</v>
      </c>
      <c r="H671" t="s">
        <v>74</v>
      </c>
      <c r="I671" t="s">
        <v>12654</v>
      </c>
      <c r="J671" t="s">
        <v>2580</v>
      </c>
      <c r="K671" t="s">
        <v>74</v>
      </c>
      <c r="L671" t="s">
        <v>74</v>
      </c>
      <c r="M671" t="s">
        <v>78</v>
      </c>
      <c r="N671" t="s">
        <v>79</v>
      </c>
      <c r="O671" t="s">
        <v>74</v>
      </c>
      <c r="P671" t="s">
        <v>74</v>
      </c>
      <c r="Q671" t="s">
        <v>74</v>
      </c>
      <c r="R671" t="s">
        <v>74</v>
      </c>
      <c r="S671" t="s">
        <v>74</v>
      </c>
      <c r="T671" t="s">
        <v>74</v>
      </c>
      <c r="U671" t="s">
        <v>12655</v>
      </c>
      <c r="V671" t="s">
        <v>12656</v>
      </c>
      <c r="W671" t="s">
        <v>12657</v>
      </c>
      <c r="X671" t="s">
        <v>12658</v>
      </c>
      <c r="Y671" t="s">
        <v>12659</v>
      </c>
      <c r="Z671" t="s">
        <v>12660</v>
      </c>
      <c r="AA671" t="s">
        <v>12661</v>
      </c>
      <c r="AB671" t="s">
        <v>12662</v>
      </c>
      <c r="AC671" t="s">
        <v>12663</v>
      </c>
      <c r="AD671" t="s">
        <v>12664</v>
      </c>
      <c r="AE671" t="s">
        <v>12665</v>
      </c>
      <c r="AF671" t="s">
        <v>74</v>
      </c>
      <c r="AG671">
        <v>70</v>
      </c>
      <c r="AH671">
        <v>23</v>
      </c>
      <c r="AI671">
        <v>25</v>
      </c>
      <c r="AJ671">
        <v>3</v>
      </c>
      <c r="AK671">
        <v>45</v>
      </c>
      <c r="AL671" t="s">
        <v>89</v>
      </c>
      <c r="AM671" t="s">
        <v>90</v>
      </c>
      <c r="AN671" t="s">
        <v>91</v>
      </c>
      <c r="AO671" t="s">
        <v>2592</v>
      </c>
      <c r="AP671" t="s">
        <v>2593</v>
      </c>
      <c r="AQ671" t="s">
        <v>74</v>
      </c>
      <c r="AR671" t="s">
        <v>2594</v>
      </c>
      <c r="AS671" t="s">
        <v>2595</v>
      </c>
      <c r="AT671" t="s">
        <v>12546</v>
      </c>
      <c r="AU671">
        <v>2012</v>
      </c>
      <c r="AV671">
        <v>89</v>
      </c>
      <c r="AW671" t="s">
        <v>74</v>
      </c>
      <c r="AX671" t="s">
        <v>74</v>
      </c>
      <c r="AY671" t="s">
        <v>74</v>
      </c>
      <c r="AZ671" t="s">
        <v>74</v>
      </c>
      <c r="BA671" t="s">
        <v>74</v>
      </c>
      <c r="BB671">
        <v>226</v>
      </c>
      <c r="BC671">
        <v>239</v>
      </c>
      <c r="BD671" t="s">
        <v>74</v>
      </c>
      <c r="BE671" t="s">
        <v>12666</v>
      </c>
      <c r="BF671" t="str">
        <f>HYPERLINK("http://dx.doi.org/10.1016/j.gca.2012.04.043","http://dx.doi.org/10.1016/j.gca.2012.04.043")</f>
        <v>http://dx.doi.org/10.1016/j.gca.2012.04.043</v>
      </c>
      <c r="BG671" t="s">
        <v>74</v>
      </c>
      <c r="BH671" t="s">
        <v>74</v>
      </c>
      <c r="BI671">
        <v>14</v>
      </c>
      <c r="BJ671" t="s">
        <v>241</v>
      </c>
      <c r="BK671" t="s">
        <v>98</v>
      </c>
      <c r="BL671" t="s">
        <v>241</v>
      </c>
      <c r="BM671" t="s">
        <v>12667</v>
      </c>
      <c r="BN671" t="s">
        <v>74</v>
      </c>
      <c r="BO671" t="s">
        <v>1254</v>
      </c>
      <c r="BP671" t="s">
        <v>74</v>
      </c>
      <c r="BQ671" t="s">
        <v>74</v>
      </c>
      <c r="BR671" t="s">
        <v>101</v>
      </c>
      <c r="BS671" t="s">
        <v>12668</v>
      </c>
      <c r="BT671" t="str">
        <f>HYPERLINK("https%3A%2F%2Fwww.webofscience.com%2Fwos%2Fwoscc%2Ffull-record%2FWOS:000305334100014","View Full Record in Web of Science")</f>
        <v>View Full Record in Web of Science</v>
      </c>
    </row>
    <row r="672" spans="1:72" x14ac:dyDescent="0.15">
      <c r="A672" t="s">
        <v>72</v>
      </c>
      <c r="B672" t="s">
        <v>12669</v>
      </c>
      <c r="C672" t="s">
        <v>74</v>
      </c>
      <c r="D672" t="s">
        <v>74</v>
      </c>
      <c r="E672" t="s">
        <v>74</v>
      </c>
      <c r="F672" t="s">
        <v>12670</v>
      </c>
      <c r="G672" t="s">
        <v>74</v>
      </c>
      <c r="H672" t="s">
        <v>74</v>
      </c>
      <c r="I672" t="s">
        <v>12671</v>
      </c>
      <c r="J672" t="s">
        <v>444</v>
      </c>
      <c r="K672" t="s">
        <v>74</v>
      </c>
      <c r="L672" t="s">
        <v>74</v>
      </c>
      <c r="M672" t="s">
        <v>78</v>
      </c>
      <c r="N672" t="s">
        <v>79</v>
      </c>
      <c r="O672" t="s">
        <v>74</v>
      </c>
      <c r="P672" t="s">
        <v>74</v>
      </c>
      <c r="Q672" t="s">
        <v>74</v>
      </c>
      <c r="R672" t="s">
        <v>74</v>
      </c>
      <c r="S672" t="s">
        <v>74</v>
      </c>
      <c r="T672" t="s">
        <v>74</v>
      </c>
      <c r="U672" t="s">
        <v>12672</v>
      </c>
      <c r="V672" t="s">
        <v>12673</v>
      </c>
      <c r="W672" t="s">
        <v>12674</v>
      </c>
      <c r="X672" t="s">
        <v>12675</v>
      </c>
      <c r="Y672" t="s">
        <v>12676</v>
      </c>
      <c r="Z672" t="s">
        <v>12677</v>
      </c>
      <c r="AA672" t="s">
        <v>12678</v>
      </c>
      <c r="AB672" t="s">
        <v>12679</v>
      </c>
      <c r="AC672" t="s">
        <v>12680</v>
      </c>
      <c r="AD672" t="s">
        <v>12681</v>
      </c>
      <c r="AE672" t="s">
        <v>12682</v>
      </c>
      <c r="AF672" t="s">
        <v>74</v>
      </c>
      <c r="AG672">
        <v>34</v>
      </c>
      <c r="AH672">
        <v>41</v>
      </c>
      <c r="AI672">
        <v>45</v>
      </c>
      <c r="AJ672">
        <v>0</v>
      </c>
      <c r="AK672">
        <v>25</v>
      </c>
      <c r="AL672" t="s">
        <v>118</v>
      </c>
      <c r="AM672" t="s">
        <v>119</v>
      </c>
      <c r="AN672" t="s">
        <v>120</v>
      </c>
      <c r="AO672" t="s">
        <v>454</v>
      </c>
      <c r="AP672" t="s">
        <v>455</v>
      </c>
      <c r="AQ672" t="s">
        <v>74</v>
      </c>
      <c r="AR672" t="s">
        <v>456</v>
      </c>
      <c r="AS672" t="s">
        <v>457</v>
      </c>
      <c r="AT672" t="s">
        <v>12683</v>
      </c>
      <c r="AU672">
        <v>2012</v>
      </c>
      <c r="AV672">
        <v>39</v>
      </c>
      <c r="AW672" t="s">
        <v>74</v>
      </c>
      <c r="AX672" t="s">
        <v>74</v>
      </c>
      <c r="AY672" t="s">
        <v>74</v>
      </c>
      <c r="AZ672" t="s">
        <v>74</v>
      </c>
      <c r="BA672" t="s">
        <v>74</v>
      </c>
      <c r="BB672" t="s">
        <v>74</v>
      </c>
      <c r="BC672" t="s">
        <v>74</v>
      </c>
      <c r="BD672" t="s">
        <v>12684</v>
      </c>
      <c r="BE672" t="s">
        <v>12685</v>
      </c>
      <c r="BF672" t="str">
        <f>HYPERLINK("http://dx.doi.org/10.1029/2012GL051983","http://dx.doi.org/10.1029/2012GL051983")</f>
        <v>http://dx.doi.org/10.1029/2012GL051983</v>
      </c>
      <c r="BG672" t="s">
        <v>74</v>
      </c>
      <c r="BH672" t="s">
        <v>74</v>
      </c>
      <c r="BI672">
        <v>6</v>
      </c>
      <c r="BJ672" t="s">
        <v>461</v>
      </c>
      <c r="BK672" t="s">
        <v>98</v>
      </c>
      <c r="BL672" t="s">
        <v>462</v>
      </c>
      <c r="BM672" t="s">
        <v>12686</v>
      </c>
      <c r="BN672" t="s">
        <v>74</v>
      </c>
      <c r="BO672" t="s">
        <v>74</v>
      </c>
      <c r="BP672" t="s">
        <v>74</v>
      </c>
      <c r="BQ672" t="s">
        <v>74</v>
      </c>
      <c r="BR672" t="s">
        <v>101</v>
      </c>
      <c r="BS672" t="s">
        <v>12687</v>
      </c>
      <c r="BT672" t="str">
        <f>HYPERLINK("https%3A%2F%2Fwww.webofscience.com%2Fwos%2Fwoscc%2Ffull-record%2FWOS:000306464100001","View Full Record in Web of Science")</f>
        <v>View Full Record in Web of Science</v>
      </c>
    </row>
    <row r="673" spans="1:72" x14ac:dyDescent="0.15">
      <c r="A673" t="s">
        <v>72</v>
      </c>
      <c r="B673" t="s">
        <v>12688</v>
      </c>
      <c r="C673" t="s">
        <v>74</v>
      </c>
      <c r="D673" t="s">
        <v>74</v>
      </c>
      <c r="E673" t="s">
        <v>74</v>
      </c>
      <c r="F673" t="s">
        <v>12689</v>
      </c>
      <c r="G673" t="s">
        <v>74</v>
      </c>
      <c r="H673" t="s">
        <v>74</v>
      </c>
      <c r="I673" t="s">
        <v>12690</v>
      </c>
      <c r="J673" t="s">
        <v>539</v>
      </c>
      <c r="K673" t="s">
        <v>74</v>
      </c>
      <c r="L673" t="s">
        <v>74</v>
      </c>
      <c r="M673" t="s">
        <v>78</v>
      </c>
      <c r="N673" t="s">
        <v>2829</v>
      </c>
      <c r="O673" t="s">
        <v>74</v>
      </c>
      <c r="P673" t="s">
        <v>74</v>
      </c>
      <c r="Q673" t="s">
        <v>74</v>
      </c>
      <c r="R673" t="s">
        <v>74</v>
      </c>
      <c r="S673" t="s">
        <v>74</v>
      </c>
      <c r="T673" t="s">
        <v>74</v>
      </c>
      <c r="U673" t="s">
        <v>74</v>
      </c>
      <c r="V673" t="s">
        <v>74</v>
      </c>
      <c r="W673" t="s">
        <v>12691</v>
      </c>
      <c r="X673" t="s">
        <v>12692</v>
      </c>
      <c r="Y673" t="s">
        <v>12693</v>
      </c>
      <c r="Z673" t="s">
        <v>12694</v>
      </c>
      <c r="AA673" t="s">
        <v>12695</v>
      </c>
      <c r="AB673" t="s">
        <v>12696</v>
      </c>
      <c r="AC673" t="s">
        <v>12697</v>
      </c>
      <c r="AD673" t="s">
        <v>12698</v>
      </c>
      <c r="AE673" t="s">
        <v>74</v>
      </c>
      <c r="AF673" t="s">
        <v>74</v>
      </c>
      <c r="AG673">
        <v>14</v>
      </c>
      <c r="AH673">
        <v>135</v>
      </c>
      <c r="AI673">
        <v>141</v>
      </c>
      <c r="AJ673">
        <v>0</v>
      </c>
      <c r="AK673">
        <v>92</v>
      </c>
      <c r="AL673" t="s">
        <v>541</v>
      </c>
      <c r="AM673" t="s">
        <v>119</v>
      </c>
      <c r="AN673" t="s">
        <v>542</v>
      </c>
      <c r="AO673" t="s">
        <v>543</v>
      </c>
      <c r="AP673" t="s">
        <v>74</v>
      </c>
      <c r="AQ673" t="s">
        <v>74</v>
      </c>
      <c r="AR673" t="s">
        <v>539</v>
      </c>
      <c r="AS673" t="s">
        <v>544</v>
      </c>
      <c r="AT673" t="s">
        <v>12683</v>
      </c>
      <c r="AU673">
        <v>2012</v>
      </c>
      <c r="AV673">
        <v>337</v>
      </c>
      <c r="AW673">
        <v>6091</v>
      </c>
      <c r="AX673" t="s">
        <v>74</v>
      </c>
      <c r="AY673" t="s">
        <v>74</v>
      </c>
      <c r="AZ673" t="s">
        <v>74</v>
      </c>
      <c r="BA673" t="s">
        <v>74</v>
      </c>
      <c r="BB673">
        <v>158</v>
      </c>
      <c r="BC673">
        <v>159</v>
      </c>
      <c r="BD673" t="s">
        <v>74</v>
      </c>
      <c r="BE673" t="s">
        <v>12699</v>
      </c>
      <c r="BF673" t="str">
        <f>HYPERLINK("http://dx.doi.org/10.1126/science.1222821","http://dx.doi.org/10.1126/science.1222821")</f>
        <v>http://dx.doi.org/10.1126/science.1222821</v>
      </c>
      <c r="BG673" t="s">
        <v>74</v>
      </c>
      <c r="BH673" t="s">
        <v>74</v>
      </c>
      <c r="BI673">
        <v>2</v>
      </c>
      <c r="BJ673" t="s">
        <v>153</v>
      </c>
      <c r="BK673" t="s">
        <v>98</v>
      </c>
      <c r="BL673" t="s">
        <v>154</v>
      </c>
      <c r="BM673" t="s">
        <v>12700</v>
      </c>
      <c r="BN673">
        <v>22798586</v>
      </c>
      <c r="BO673" t="s">
        <v>74</v>
      </c>
      <c r="BP673" t="s">
        <v>74</v>
      </c>
      <c r="BQ673" t="s">
        <v>74</v>
      </c>
      <c r="BR673" t="s">
        <v>101</v>
      </c>
      <c r="BS673" t="s">
        <v>12701</v>
      </c>
      <c r="BT673" t="str">
        <f>HYPERLINK("https%3A%2F%2Fwww.webofscience.com%2Fwos%2Fwoscc%2Ffull-record%2FWOS:000306323500028","View Full Record in Web of Science")</f>
        <v>View Full Record in Web of Science</v>
      </c>
    </row>
    <row r="674" spans="1:72" x14ac:dyDescent="0.15">
      <c r="A674" t="s">
        <v>72</v>
      </c>
      <c r="B674" t="s">
        <v>12702</v>
      </c>
      <c r="C674" t="s">
        <v>74</v>
      </c>
      <c r="D674" t="s">
        <v>74</v>
      </c>
      <c r="E674" t="s">
        <v>74</v>
      </c>
      <c r="F674" t="s">
        <v>12703</v>
      </c>
      <c r="G674" t="s">
        <v>74</v>
      </c>
      <c r="H674" t="s">
        <v>74</v>
      </c>
      <c r="I674" t="s">
        <v>12704</v>
      </c>
      <c r="J674" t="s">
        <v>539</v>
      </c>
      <c r="K674" t="s">
        <v>74</v>
      </c>
      <c r="L674" t="s">
        <v>74</v>
      </c>
      <c r="M674" t="s">
        <v>78</v>
      </c>
      <c r="N674" t="s">
        <v>79</v>
      </c>
      <c r="O674" t="s">
        <v>74</v>
      </c>
      <c r="P674" t="s">
        <v>74</v>
      </c>
      <c r="Q674" t="s">
        <v>74</v>
      </c>
      <c r="R674" t="s">
        <v>74</v>
      </c>
      <c r="S674" t="s">
        <v>74</v>
      </c>
      <c r="T674" t="s">
        <v>74</v>
      </c>
      <c r="U674" t="s">
        <v>12705</v>
      </c>
      <c r="V674" t="s">
        <v>12706</v>
      </c>
      <c r="W674" t="s">
        <v>12707</v>
      </c>
      <c r="X674" t="s">
        <v>12708</v>
      </c>
      <c r="Y674" t="s">
        <v>12709</v>
      </c>
      <c r="Z674" t="s">
        <v>12710</v>
      </c>
      <c r="AA674" t="s">
        <v>12711</v>
      </c>
      <c r="AB674" t="s">
        <v>12712</v>
      </c>
      <c r="AC674" t="s">
        <v>12713</v>
      </c>
      <c r="AD674" t="s">
        <v>12714</v>
      </c>
      <c r="AE674" t="s">
        <v>12715</v>
      </c>
      <c r="AF674" t="s">
        <v>74</v>
      </c>
      <c r="AG674">
        <v>27</v>
      </c>
      <c r="AH674">
        <v>322</v>
      </c>
      <c r="AI674">
        <v>363</v>
      </c>
      <c r="AJ674">
        <v>1</v>
      </c>
      <c r="AK674">
        <v>197</v>
      </c>
      <c r="AL674" t="s">
        <v>541</v>
      </c>
      <c r="AM674" t="s">
        <v>119</v>
      </c>
      <c r="AN674" t="s">
        <v>542</v>
      </c>
      <c r="AO674" t="s">
        <v>543</v>
      </c>
      <c r="AP674" t="s">
        <v>10073</v>
      </c>
      <c r="AQ674" t="s">
        <v>74</v>
      </c>
      <c r="AR674" t="s">
        <v>539</v>
      </c>
      <c r="AS674" t="s">
        <v>544</v>
      </c>
      <c r="AT674" t="s">
        <v>12683</v>
      </c>
      <c r="AU674">
        <v>2012</v>
      </c>
      <c r="AV674">
        <v>337</v>
      </c>
      <c r="AW674">
        <v>6091</v>
      </c>
      <c r="AX674" t="s">
        <v>74</v>
      </c>
      <c r="AY674" t="s">
        <v>74</v>
      </c>
      <c r="AZ674" t="s">
        <v>74</v>
      </c>
      <c r="BA674" t="s">
        <v>74</v>
      </c>
      <c r="BB674">
        <v>216</v>
      </c>
      <c r="BC674">
        <v>219</v>
      </c>
      <c r="BD674" t="s">
        <v>74</v>
      </c>
      <c r="BE674" t="s">
        <v>12716</v>
      </c>
      <c r="BF674" t="str">
        <f>HYPERLINK("http://dx.doi.org/10.1126/science.1205749","http://dx.doi.org/10.1126/science.1205749")</f>
        <v>http://dx.doi.org/10.1126/science.1205749</v>
      </c>
      <c r="BG674" t="s">
        <v>74</v>
      </c>
      <c r="BH674" t="s">
        <v>74</v>
      </c>
      <c r="BI674">
        <v>4</v>
      </c>
      <c r="BJ674" t="s">
        <v>153</v>
      </c>
      <c r="BK674" t="s">
        <v>98</v>
      </c>
      <c r="BL674" t="s">
        <v>154</v>
      </c>
      <c r="BM674" t="s">
        <v>12700</v>
      </c>
      <c r="BN674">
        <v>22798610</v>
      </c>
      <c r="BO674" t="s">
        <v>74</v>
      </c>
      <c r="BP674" t="s">
        <v>74</v>
      </c>
      <c r="BQ674" t="s">
        <v>74</v>
      </c>
      <c r="BR674" t="s">
        <v>101</v>
      </c>
      <c r="BS674" t="s">
        <v>12717</v>
      </c>
      <c r="BT674" t="str">
        <f>HYPERLINK("https%3A%2F%2Fwww.webofscience.com%2Fwos%2Fwoscc%2Ffull-record%2FWOS:000306323500054","View Full Record in Web of Science")</f>
        <v>View Full Record in Web of Science</v>
      </c>
    </row>
    <row r="675" spans="1:72" x14ac:dyDescent="0.15">
      <c r="A675" t="s">
        <v>72</v>
      </c>
      <c r="B675" t="s">
        <v>12718</v>
      </c>
      <c r="C675" t="s">
        <v>74</v>
      </c>
      <c r="D675" t="s">
        <v>74</v>
      </c>
      <c r="E675" t="s">
        <v>74</v>
      </c>
      <c r="F675" t="s">
        <v>12719</v>
      </c>
      <c r="G675" t="s">
        <v>74</v>
      </c>
      <c r="H675" t="s">
        <v>74</v>
      </c>
      <c r="I675" t="s">
        <v>12720</v>
      </c>
      <c r="J675" t="s">
        <v>134</v>
      </c>
      <c r="K675" t="s">
        <v>74</v>
      </c>
      <c r="L675" t="s">
        <v>74</v>
      </c>
      <c r="M675" t="s">
        <v>78</v>
      </c>
      <c r="N675" t="s">
        <v>79</v>
      </c>
      <c r="O675" t="s">
        <v>74</v>
      </c>
      <c r="P675" t="s">
        <v>74</v>
      </c>
      <c r="Q675" t="s">
        <v>74</v>
      </c>
      <c r="R675" t="s">
        <v>74</v>
      </c>
      <c r="S675" t="s">
        <v>74</v>
      </c>
      <c r="T675" t="s">
        <v>74</v>
      </c>
      <c r="U675" t="s">
        <v>12721</v>
      </c>
      <c r="V675" t="s">
        <v>12722</v>
      </c>
      <c r="W675" t="s">
        <v>12723</v>
      </c>
      <c r="X675" t="s">
        <v>12724</v>
      </c>
      <c r="Y675" t="s">
        <v>12725</v>
      </c>
      <c r="Z675" t="s">
        <v>12726</v>
      </c>
      <c r="AA675" t="s">
        <v>12727</v>
      </c>
      <c r="AB675" t="s">
        <v>12728</v>
      </c>
      <c r="AC675" t="s">
        <v>12729</v>
      </c>
      <c r="AD675" t="s">
        <v>12730</v>
      </c>
      <c r="AE675" t="s">
        <v>12731</v>
      </c>
      <c r="AF675" t="s">
        <v>74</v>
      </c>
      <c r="AG675">
        <v>78</v>
      </c>
      <c r="AH675">
        <v>59</v>
      </c>
      <c r="AI675">
        <v>71</v>
      </c>
      <c r="AJ675">
        <v>1</v>
      </c>
      <c r="AK675">
        <v>79</v>
      </c>
      <c r="AL675" t="s">
        <v>146</v>
      </c>
      <c r="AM675" t="s">
        <v>147</v>
      </c>
      <c r="AN675" t="s">
        <v>148</v>
      </c>
      <c r="AO675" t="s">
        <v>149</v>
      </c>
      <c r="AP675" t="s">
        <v>74</v>
      </c>
      <c r="AQ675" t="s">
        <v>74</v>
      </c>
      <c r="AR675" t="s">
        <v>134</v>
      </c>
      <c r="AS675" t="s">
        <v>150</v>
      </c>
      <c r="AT675" t="s">
        <v>12732</v>
      </c>
      <c r="AU675">
        <v>2012</v>
      </c>
      <c r="AV675">
        <v>7</v>
      </c>
      <c r="AW675">
        <v>7</v>
      </c>
      <c r="AX675" t="s">
        <v>74</v>
      </c>
      <c r="AY675" t="s">
        <v>74</v>
      </c>
      <c r="AZ675" t="s">
        <v>74</v>
      </c>
      <c r="BA675" t="s">
        <v>74</v>
      </c>
      <c r="BB675" t="s">
        <v>74</v>
      </c>
      <c r="BC675" t="s">
        <v>74</v>
      </c>
      <c r="BD675" t="s">
        <v>12733</v>
      </c>
      <c r="BE675" t="s">
        <v>12734</v>
      </c>
      <c r="BF675" t="str">
        <f>HYPERLINK("http://dx.doi.org/10.1371/journal.pone.0040713","http://dx.doi.org/10.1371/journal.pone.0040713")</f>
        <v>http://dx.doi.org/10.1371/journal.pone.0040713</v>
      </c>
      <c r="BG675" t="s">
        <v>74</v>
      </c>
      <c r="BH675" t="s">
        <v>74</v>
      </c>
      <c r="BI675">
        <v>10</v>
      </c>
      <c r="BJ675" t="s">
        <v>153</v>
      </c>
      <c r="BK675" t="s">
        <v>98</v>
      </c>
      <c r="BL675" t="s">
        <v>154</v>
      </c>
      <c r="BM675" t="s">
        <v>12735</v>
      </c>
      <c r="BN675">
        <v>22808241</v>
      </c>
      <c r="BO675" t="s">
        <v>12736</v>
      </c>
      <c r="BP675" t="s">
        <v>74</v>
      </c>
      <c r="BQ675" t="s">
        <v>74</v>
      </c>
      <c r="BR675" t="s">
        <v>101</v>
      </c>
      <c r="BS675" t="s">
        <v>12737</v>
      </c>
      <c r="BT675" t="str">
        <f>HYPERLINK("https%3A%2F%2Fwww.webofscience.com%2Fwos%2Fwoscc%2Ffull-record%2FWOS:000306366400050","View Full Record in Web of Science")</f>
        <v>View Full Record in Web of Science</v>
      </c>
    </row>
    <row r="676" spans="1:72" x14ac:dyDescent="0.15">
      <c r="A676" t="s">
        <v>72</v>
      </c>
      <c r="B676" t="s">
        <v>12738</v>
      </c>
      <c r="C676" t="s">
        <v>74</v>
      </c>
      <c r="D676" t="s">
        <v>74</v>
      </c>
      <c r="E676" t="s">
        <v>74</v>
      </c>
      <c r="F676" t="s">
        <v>12739</v>
      </c>
      <c r="G676" t="s">
        <v>74</v>
      </c>
      <c r="H676" t="s">
        <v>74</v>
      </c>
      <c r="I676" t="s">
        <v>12740</v>
      </c>
      <c r="J676" t="s">
        <v>657</v>
      </c>
      <c r="K676" t="s">
        <v>74</v>
      </c>
      <c r="L676" t="s">
        <v>74</v>
      </c>
      <c r="M676" t="s">
        <v>78</v>
      </c>
      <c r="N676" t="s">
        <v>79</v>
      </c>
      <c r="O676" t="s">
        <v>74</v>
      </c>
      <c r="P676" t="s">
        <v>74</v>
      </c>
      <c r="Q676" t="s">
        <v>74</v>
      </c>
      <c r="R676" t="s">
        <v>74</v>
      </c>
      <c r="S676" t="s">
        <v>74</v>
      </c>
      <c r="T676" t="s">
        <v>12741</v>
      </c>
      <c r="U676" t="s">
        <v>12742</v>
      </c>
      <c r="V676" t="s">
        <v>12743</v>
      </c>
      <c r="W676" t="s">
        <v>12744</v>
      </c>
      <c r="X676" t="s">
        <v>12745</v>
      </c>
      <c r="Y676" t="s">
        <v>12746</v>
      </c>
      <c r="Z676" t="s">
        <v>12747</v>
      </c>
      <c r="AA676" t="s">
        <v>12748</v>
      </c>
      <c r="AB676" t="s">
        <v>74</v>
      </c>
      <c r="AC676" t="s">
        <v>12749</v>
      </c>
      <c r="AD676" t="s">
        <v>12750</v>
      </c>
      <c r="AE676" t="s">
        <v>12751</v>
      </c>
      <c r="AF676" t="s">
        <v>74</v>
      </c>
      <c r="AG676">
        <v>30</v>
      </c>
      <c r="AH676">
        <v>19</v>
      </c>
      <c r="AI676">
        <v>19</v>
      </c>
      <c r="AJ676">
        <v>0</v>
      </c>
      <c r="AK676">
        <v>10</v>
      </c>
      <c r="AL676" t="s">
        <v>668</v>
      </c>
      <c r="AM676" t="s">
        <v>669</v>
      </c>
      <c r="AN676" t="s">
        <v>670</v>
      </c>
      <c r="AO676" t="s">
        <v>671</v>
      </c>
      <c r="AP676" t="s">
        <v>672</v>
      </c>
      <c r="AQ676" t="s">
        <v>74</v>
      </c>
      <c r="AR676" t="s">
        <v>657</v>
      </c>
      <c r="AS676" t="s">
        <v>673</v>
      </c>
      <c r="AT676" t="s">
        <v>12752</v>
      </c>
      <c r="AU676">
        <v>2012</v>
      </c>
      <c r="AV676" t="s">
        <v>74</v>
      </c>
      <c r="AW676">
        <v>3383</v>
      </c>
      <c r="AX676" t="s">
        <v>74</v>
      </c>
      <c r="AY676" t="s">
        <v>74</v>
      </c>
      <c r="AZ676" t="s">
        <v>74</v>
      </c>
      <c r="BA676" t="s">
        <v>74</v>
      </c>
      <c r="BB676">
        <v>1</v>
      </c>
      <c r="BC676">
        <v>13</v>
      </c>
      <c r="BD676" t="s">
        <v>74</v>
      </c>
      <c r="BE676" t="s">
        <v>74</v>
      </c>
      <c r="BF676" t="s">
        <v>74</v>
      </c>
      <c r="BG676" t="s">
        <v>74</v>
      </c>
      <c r="BH676" t="s">
        <v>74</v>
      </c>
      <c r="BI676">
        <v>13</v>
      </c>
      <c r="BJ676" t="s">
        <v>675</v>
      </c>
      <c r="BK676" t="s">
        <v>98</v>
      </c>
      <c r="BL676" t="s">
        <v>675</v>
      </c>
      <c r="BM676" t="s">
        <v>12753</v>
      </c>
      <c r="BN676" t="s">
        <v>74</v>
      </c>
      <c r="BO676" t="s">
        <v>74</v>
      </c>
      <c r="BP676" t="s">
        <v>74</v>
      </c>
      <c r="BQ676" t="s">
        <v>74</v>
      </c>
      <c r="BR676" t="s">
        <v>101</v>
      </c>
      <c r="BS676" t="s">
        <v>12754</v>
      </c>
      <c r="BT676" t="str">
        <f>HYPERLINK("https%3A%2F%2Fwww.webofscience.com%2Fwos%2Fwoscc%2Ffull-record%2FWOS:000306166000001","View Full Record in Web of Science")</f>
        <v>View Full Record in Web of Science</v>
      </c>
    </row>
    <row r="677" spans="1:72" x14ac:dyDescent="0.15">
      <c r="A677" t="s">
        <v>72</v>
      </c>
      <c r="B677" t="s">
        <v>12755</v>
      </c>
      <c r="C677" t="s">
        <v>74</v>
      </c>
      <c r="D677" t="s">
        <v>74</v>
      </c>
      <c r="E677" t="s">
        <v>74</v>
      </c>
      <c r="F677" t="s">
        <v>12756</v>
      </c>
      <c r="G677" t="s">
        <v>74</v>
      </c>
      <c r="H677" t="s">
        <v>74</v>
      </c>
      <c r="I677" t="s">
        <v>12757</v>
      </c>
      <c r="J677" t="s">
        <v>444</v>
      </c>
      <c r="K677" t="s">
        <v>74</v>
      </c>
      <c r="L677" t="s">
        <v>74</v>
      </c>
      <c r="M677" t="s">
        <v>78</v>
      </c>
      <c r="N677" t="s">
        <v>79</v>
      </c>
      <c r="O677" t="s">
        <v>74</v>
      </c>
      <c r="P677" t="s">
        <v>74</v>
      </c>
      <c r="Q677" t="s">
        <v>74</v>
      </c>
      <c r="R677" t="s">
        <v>74</v>
      </c>
      <c r="S677" t="s">
        <v>74</v>
      </c>
      <c r="T677" t="s">
        <v>74</v>
      </c>
      <c r="U677" t="s">
        <v>12758</v>
      </c>
      <c r="V677" t="s">
        <v>12759</v>
      </c>
      <c r="W677" t="s">
        <v>12760</v>
      </c>
      <c r="X677" t="s">
        <v>12761</v>
      </c>
      <c r="Y677" t="s">
        <v>12762</v>
      </c>
      <c r="Z677" t="s">
        <v>12763</v>
      </c>
      <c r="AA677" t="s">
        <v>12764</v>
      </c>
      <c r="AB677" t="s">
        <v>12765</v>
      </c>
      <c r="AC677" t="s">
        <v>12766</v>
      </c>
      <c r="AD677" t="s">
        <v>12767</v>
      </c>
      <c r="AE677" t="s">
        <v>12768</v>
      </c>
      <c r="AF677" t="s">
        <v>74</v>
      </c>
      <c r="AG677">
        <v>25</v>
      </c>
      <c r="AH677">
        <v>79</v>
      </c>
      <c r="AI677">
        <v>82</v>
      </c>
      <c r="AJ677">
        <v>0</v>
      </c>
      <c r="AK677">
        <v>32</v>
      </c>
      <c r="AL677" t="s">
        <v>118</v>
      </c>
      <c r="AM677" t="s">
        <v>119</v>
      </c>
      <c r="AN677" t="s">
        <v>120</v>
      </c>
      <c r="AO677" t="s">
        <v>454</v>
      </c>
      <c r="AP677" t="s">
        <v>74</v>
      </c>
      <c r="AQ677" t="s">
        <v>74</v>
      </c>
      <c r="AR677" t="s">
        <v>456</v>
      </c>
      <c r="AS677" t="s">
        <v>457</v>
      </c>
      <c r="AT677" t="s">
        <v>12752</v>
      </c>
      <c r="AU677">
        <v>2012</v>
      </c>
      <c r="AV677">
        <v>39</v>
      </c>
      <c r="AW677" t="s">
        <v>74</v>
      </c>
      <c r="AX677" t="s">
        <v>74</v>
      </c>
      <c r="AY677" t="s">
        <v>74</v>
      </c>
      <c r="AZ677" t="s">
        <v>74</v>
      </c>
      <c r="BA677" t="s">
        <v>74</v>
      </c>
      <c r="BB677" t="s">
        <v>74</v>
      </c>
      <c r="BC677" t="s">
        <v>74</v>
      </c>
      <c r="BD677" t="s">
        <v>12769</v>
      </c>
      <c r="BE677" t="s">
        <v>12770</v>
      </c>
      <c r="BF677" t="str">
        <f>HYPERLINK("http://dx.doi.org/10.1029/2012GL051755","http://dx.doi.org/10.1029/2012GL051755")</f>
        <v>http://dx.doi.org/10.1029/2012GL051755</v>
      </c>
      <c r="BG677" t="s">
        <v>74</v>
      </c>
      <c r="BH677" t="s">
        <v>74</v>
      </c>
      <c r="BI677">
        <v>6</v>
      </c>
      <c r="BJ677" t="s">
        <v>461</v>
      </c>
      <c r="BK677" t="s">
        <v>98</v>
      </c>
      <c r="BL677" t="s">
        <v>462</v>
      </c>
      <c r="BM677" t="s">
        <v>12771</v>
      </c>
      <c r="BN677" t="s">
        <v>74</v>
      </c>
      <c r="BO677" t="s">
        <v>1458</v>
      </c>
      <c r="BP677" t="s">
        <v>74</v>
      </c>
      <c r="BQ677" t="s">
        <v>74</v>
      </c>
      <c r="BR677" t="s">
        <v>101</v>
      </c>
      <c r="BS677" t="s">
        <v>12772</v>
      </c>
      <c r="BT677" t="str">
        <f>HYPERLINK("https%3A%2F%2Fwww.webofscience.com%2Fwos%2Fwoscc%2Ffull-record%2FWOS:000306463700001","View Full Record in Web of Science")</f>
        <v>View Full Record in Web of Science</v>
      </c>
    </row>
    <row r="678" spans="1:72" x14ac:dyDescent="0.15">
      <c r="A678" t="s">
        <v>72</v>
      </c>
      <c r="B678" t="s">
        <v>12773</v>
      </c>
      <c r="C678" t="s">
        <v>74</v>
      </c>
      <c r="D678" t="s">
        <v>74</v>
      </c>
      <c r="E678" t="s">
        <v>74</v>
      </c>
      <c r="F678" t="s">
        <v>12774</v>
      </c>
      <c r="G678" t="s">
        <v>74</v>
      </c>
      <c r="H678" t="s">
        <v>74</v>
      </c>
      <c r="I678" t="s">
        <v>12775</v>
      </c>
      <c r="J678" t="s">
        <v>12776</v>
      </c>
      <c r="K678" t="s">
        <v>74</v>
      </c>
      <c r="L678" t="s">
        <v>74</v>
      </c>
      <c r="M678" t="s">
        <v>78</v>
      </c>
      <c r="N678" t="s">
        <v>79</v>
      </c>
      <c r="O678" t="s">
        <v>74</v>
      </c>
      <c r="P678" t="s">
        <v>74</v>
      </c>
      <c r="Q678" t="s">
        <v>74</v>
      </c>
      <c r="R678" t="s">
        <v>74</v>
      </c>
      <c r="S678" t="s">
        <v>74</v>
      </c>
      <c r="T678" t="s">
        <v>12777</v>
      </c>
      <c r="U678" t="s">
        <v>12778</v>
      </c>
      <c r="V678" t="s">
        <v>12779</v>
      </c>
      <c r="W678" t="s">
        <v>12780</v>
      </c>
      <c r="X678" t="s">
        <v>12781</v>
      </c>
      <c r="Y678" t="s">
        <v>12782</v>
      </c>
      <c r="Z678" t="s">
        <v>12783</v>
      </c>
      <c r="AA678" t="s">
        <v>12784</v>
      </c>
      <c r="AB678" t="s">
        <v>12785</v>
      </c>
      <c r="AC678" t="s">
        <v>12786</v>
      </c>
      <c r="AD678" t="s">
        <v>12786</v>
      </c>
      <c r="AE678" t="s">
        <v>12787</v>
      </c>
      <c r="AF678" t="s">
        <v>74</v>
      </c>
      <c r="AG678">
        <v>60</v>
      </c>
      <c r="AH678">
        <v>29</v>
      </c>
      <c r="AI678">
        <v>29</v>
      </c>
      <c r="AJ678">
        <v>0</v>
      </c>
      <c r="AK678">
        <v>46</v>
      </c>
      <c r="AL678" t="s">
        <v>644</v>
      </c>
      <c r="AM678" t="s">
        <v>434</v>
      </c>
      <c r="AN678" t="s">
        <v>645</v>
      </c>
      <c r="AO678" t="s">
        <v>12788</v>
      </c>
      <c r="AP678" t="s">
        <v>74</v>
      </c>
      <c r="AQ678" t="s">
        <v>74</v>
      </c>
      <c r="AR678" t="s">
        <v>12789</v>
      </c>
      <c r="AS678" t="s">
        <v>12790</v>
      </c>
      <c r="AT678" t="s">
        <v>12791</v>
      </c>
      <c r="AU678">
        <v>2012</v>
      </c>
      <c r="AV678">
        <v>279</v>
      </c>
      <c r="AW678">
        <v>1738</v>
      </c>
      <c r="AX678" t="s">
        <v>74</v>
      </c>
      <c r="AY678" t="s">
        <v>74</v>
      </c>
      <c r="AZ678" t="s">
        <v>74</v>
      </c>
      <c r="BA678" t="s">
        <v>74</v>
      </c>
      <c r="BB678">
        <v>2681</v>
      </c>
      <c r="BC678">
        <v>2690</v>
      </c>
      <c r="BD678" t="s">
        <v>74</v>
      </c>
      <c r="BE678" t="s">
        <v>12792</v>
      </c>
      <c r="BF678" t="str">
        <f>HYPERLINK("http://dx.doi.org/10.1098/rspb.2012.0199","http://dx.doi.org/10.1098/rspb.2012.0199")</f>
        <v>http://dx.doi.org/10.1098/rspb.2012.0199</v>
      </c>
      <c r="BG678" t="s">
        <v>74</v>
      </c>
      <c r="BH678" t="s">
        <v>74</v>
      </c>
      <c r="BI678">
        <v>10</v>
      </c>
      <c r="BJ678" t="s">
        <v>9631</v>
      </c>
      <c r="BK678" t="s">
        <v>98</v>
      </c>
      <c r="BL678" t="s">
        <v>9632</v>
      </c>
      <c r="BM678" t="s">
        <v>12793</v>
      </c>
      <c r="BN678">
        <v>22398171</v>
      </c>
      <c r="BO678" t="s">
        <v>1654</v>
      </c>
      <c r="BP678" t="s">
        <v>74</v>
      </c>
      <c r="BQ678" t="s">
        <v>74</v>
      </c>
      <c r="BR678" t="s">
        <v>101</v>
      </c>
      <c r="BS678" t="s">
        <v>12794</v>
      </c>
      <c r="BT678" t="str">
        <f>HYPERLINK("https%3A%2F%2Fwww.webofscience.com%2Fwos%2Fwoscc%2Ffull-record%2FWOS:000304453000023","View Full Record in Web of Science")</f>
        <v>View Full Record in Web of Science</v>
      </c>
    </row>
    <row r="679" spans="1:72" x14ac:dyDescent="0.15">
      <c r="A679" t="s">
        <v>72</v>
      </c>
      <c r="B679" t="s">
        <v>12795</v>
      </c>
      <c r="C679" t="s">
        <v>74</v>
      </c>
      <c r="D679" t="s">
        <v>74</v>
      </c>
      <c r="E679" t="s">
        <v>74</v>
      </c>
      <c r="F679" t="s">
        <v>12796</v>
      </c>
      <c r="G679" t="s">
        <v>74</v>
      </c>
      <c r="H679" t="s">
        <v>74</v>
      </c>
      <c r="I679" t="s">
        <v>12797</v>
      </c>
      <c r="J679" t="s">
        <v>3414</v>
      </c>
      <c r="K679" t="s">
        <v>74</v>
      </c>
      <c r="L679" t="s">
        <v>74</v>
      </c>
      <c r="M679" t="s">
        <v>78</v>
      </c>
      <c r="N679" t="s">
        <v>79</v>
      </c>
      <c r="O679" t="s">
        <v>74</v>
      </c>
      <c r="P679" t="s">
        <v>74</v>
      </c>
      <c r="Q679" t="s">
        <v>74</v>
      </c>
      <c r="R679" t="s">
        <v>74</v>
      </c>
      <c r="S679" t="s">
        <v>74</v>
      </c>
      <c r="T679" t="s">
        <v>12798</v>
      </c>
      <c r="U679" t="s">
        <v>12799</v>
      </c>
      <c r="V679" t="s">
        <v>12800</v>
      </c>
      <c r="W679" t="s">
        <v>12801</v>
      </c>
      <c r="X679" t="s">
        <v>7883</v>
      </c>
      <c r="Y679" t="s">
        <v>12802</v>
      </c>
      <c r="Z679" t="s">
        <v>12803</v>
      </c>
      <c r="AA679" t="s">
        <v>12804</v>
      </c>
      <c r="AB679" t="s">
        <v>12805</v>
      </c>
      <c r="AC679" t="s">
        <v>9588</v>
      </c>
      <c r="AD679" t="s">
        <v>9588</v>
      </c>
      <c r="AE679" t="s">
        <v>12806</v>
      </c>
      <c r="AF679" t="s">
        <v>74</v>
      </c>
      <c r="AG679">
        <v>66</v>
      </c>
      <c r="AH679">
        <v>46</v>
      </c>
      <c r="AI679">
        <v>54</v>
      </c>
      <c r="AJ679">
        <v>0</v>
      </c>
      <c r="AK679">
        <v>34</v>
      </c>
      <c r="AL679" t="s">
        <v>188</v>
      </c>
      <c r="AM679" t="s">
        <v>189</v>
      </c>
      <c r="AN679" t="s">
        <v>190</v>
      </c>
      <c r="AO679" t="s">
        <v>3426</v>
      </c>
      <c r="AP679" t="s">
        <v>3427</v>
      </c>
      <c r="AQ679" t="s">
        <v>74</v>
      </c>
      <c r="AR679" t="s">
        <v>3414</v>
      </c>
      <c r="AS679" t="s">
        <v>3428</v>
      </c>
      <c r="AT679" t="s">
        <v>12807</v>
      </c>
      <c r="AU679">
        <v>2012</v>
      </c>
      <c r="AV679">
        <v>550</v>
      </c>
      <c r="AW679" t="s">
        <v>74</v>
      </c>
      <c r="AX679" t="s">
        <v>74</v>
      </c>
      <c r="AY679" t="s">
        <v>74</v>
      </c>
      <c r="AZ679" t="s">
        <v>74</v>
      </c>
      <c r="BA679" t="s">
        <v>74</v>
      </c>
      <c r="BB679">
        <v>17</v>
      </c>
      <c r="BC679">
        <v>34</v>
      </c>
      <c r="BD679" t="s">
        <v>74</v>
      </c>
      <c r="BE679" t="s">
        <v>12808</v>
      </c>
      <c r="BF679" t="str">
        <f>HYPERLINK("http://dx.doi.org/10.1016/j.tecto.2012.05.002","http://dx.doi.org/10.1016/j.tecto.2012.05.002")</f>
        <v>http://dx.doi.org/10.1016/j.tecto.2012.05.002</v>
      </c>
      <c r="BG679" t="s">
        <v>74</v>
      </c>
      <c r="BH679" t="s">
        <v>74</v>
      </c>
      <c r="BI679">
        <v>18</v>
      </c>
      <c r="BJ679" t="s">
        <v>241</v>
      </c>
      <c r="BK679" t="s">
        <v>98</v>
      </c>
      <c r="BL679" t="s">
        <v>241</v>
      </c>
      <c r="BM679" t="s">
        <v>12809</v>
      </c>
      <c r="BN679" t="s">
        <v>74</v>
      </c>
      <c r="BO679" t="s">
        <v>74</v>
      </c>
      <c r="BP679" t="s">
        <v>74</v>
      </c>
      <c r="BQ679" t="s">
        <v>74</v>
      </c>
      <c r="BR679" t="s">
        <v>101</v>
      </c>
      <c r="BS679" t="s">
        <v>12810</v>
      </c>
      <c r="BT679" t="str">
        <f>HYPERLINK("https%3A%2F%2Fwww.webofscience.com%2Fwos%2Fwoscc%2Ffull-record%2FWOS:000306878300002","View Full Record in Web of Science")</f>
        <v>View Full Record in Web of Science</v>
      </c>
    </row>
    <row r="680" spans="1:72" x14ac:dyDescent="0.15">
      <c r="A680" t="s">
        <v>72</v>
      </c>
      <c r="B680" t="s">
        <v>12811</v>
      </c>
      <c r="C680" t="s">
        <v>74</v>
      </c>
      <c r="D680" t="s">
        <v>74</v>
      </c>
      <c r="E680" t="s">
        <v>74</v>
      </c>
      <c r="F680" t="s">
        <v>12812</v>
      </c>
      <c r="G680" t="s">
        <v>74</v>
      </c>
      <c r="H680" t="s">
        <v>74</v>
      </c>
      <c r="I680" t="s">
        <v>12813</v>
      </c>
      <c r="J680" t="s">
        <v>657</v>
      </c>
      <c r="K680" t="s">
        <v>74</v>
      </c>
      <c r="L680" t="s">
        <v>74</v>
      </c>
      <c r="M680" t="s">
        <v>78</v>
      </c>
      <c r="N680" t="s">
        <v>79</v>
      </c>
      <c r="O680" t="s">
        <v>74</v>
      </c>
      <c r="P680" t="s">
        <v>74</v>
      </c>
      <c r="Q680" t="s">
        <v>74</v>
      </c>
      <c r="R680" t="s">
        <v>74</v>
      </c>
      <c r="S680" t="s">
        <v>74</v>
      </c>
      <c r="T680" t="s">
        <v>12814</v>
      </c>
      <c r="U680" t="s">
        <v>12815</v>
      </c>
      <c r="V680" t="s">
        <v>12816</v>
      </c>
      <c r="W680" t="s">
        <v>12817</v>
      </c>
      <c r="X680" t="s">
        <v>12818</v>
      </c>
      <c r="Y680" t="s">
        <v>12819</v>
      </c>
      <c r="Z680" t="s">
        <v>12820</v>
      </c>
      <c r="AA680" t="s">
        <v>74</v>
      </c>
      <c r="AB680" t="s">
        <v>74</v>
      </c>
      <c r="AC680" t="s">
        <v>12821</v>
      </c>
      <c r="AD680" t="s">
        <v>12821</v>
      </c>
      <c r="AE680" t="s">
        <v>12822</v>
      </c>
      <c r="AF680" t="s">
        <v>74</v>
      </c>
      <c r="AG680">
        <v>66</v>
      </c>
      <c r="AH680">
        <v>17</v>
      </c>
      <c r="AI680">
        <v>21</v>
      </c>
      <c r="AJ680">
        <v>0</v>
      </c>
      <c r="AK680">
        <v>3</v>
      </c>
      <c r="AL680" t="s">
        <v>668</v>
      </c>
      <c r="AM680" t="s">
        <v>669</v>
      </c>
      <c r="AN680" t="s">
        <v>670</v>
      </c>
      <c r="AO680" t="s">
        <v>671</v>
      </c>
      <c r="AP680" t="s">
        <v>672</v>
      </c>
      <c r="AQ680" t="s">
        <v>74</v>
      </c>
      <c r="AR680" t="s">
        <v>657</v>
      </c>
      <c r="AS680" t="s">
        <v>673</v>
      </c>
      <c r="AT680" t="s">
        <v>12823</v>
      </c>
      <c r="AU680">
        <v>2012</v>
      </c>
      <c r="AV680" t="s">
        <v>74</v>
      </c>
      <c r="AW680">
        <v>3368</v>
      </c>
      <c r="AX680" t="s">
        <v>74</v>
      </c>
      <c r="AY680" t="s">
        <v>74</v>
      </c>
      <c r="AZ680" t="s">
        <v>1019</v>
      </c>
      <c r="BA680" t="s">
        <v>74</v>
      </c>
      <c r="BB680">
        <v>91</v>
      </c>
      <c r="BC680">
        <v>127</v>
      </c>
      <c r="BD680" t="s">
        <v>74</v>
      </c>
      <c r="BE680" t="s">
        <v>12824</v>
      </c>
      <c r="BF680" t="str">
        <f>HYPERLINK("http://dx.doi.org/10.11646/zootaxa.3368.1.5","http://dx.doi.org/10.11646/zootaxa.3368.1.5")</f>
        <v>http://dx.doi.org/10.11646/zootaxa.3368.1.5</v>
      </c>
      <c r="BG680" t="s">
        <v>74</v>
      </c>
      <c r="BH680" t="s">
        <v>74</v>
      </c>
      <c r="BI680">
        <v>37</v>
      </c>
      <c r="BJ680" t="s">
        <v>675</v>
      </c>
      <c r="BK680" t="s">
        <v>98</v>
      </c>
      <c r="BL680" t="s">
        <v>675</v>
      </c>
      <c r="BM680" t="s">
        <v>12825</v>
      </c>
      <c r="BN680" t="s">
        <v>74</v>
      </c>
      <c r="BO680" t="s">
        <v>607</v>
      </c>
      <c r="BP680" t="s">
        <v>74</v>
      </c>
      <c r="BQ680" t="s">
        <v>74</v>
      </c>
      <c r="BR680" t="s">
        <v>101</v>
      </c>
      <c r="BS680" t="s">
        <v>12826</v>
      </c>
      <c r="BT680" t="str">
        <f>HYPERLINK("https%3A%2F%2Fwww.webofscience.com%2Fwos%2Fwoscc%2Ffull-record%2FWOS:000305937400004","View Full Record in Web of Science")</f>
        <v>View Full Record in Web of Science</v>
      </c>
    </row>
    <row r="681" spans="1:72" x14ac:dyDescent="0.15">
      <c r="A681" t="s">
        <v>72</v>
      </c>
      <c r="B681" t="s">
        <v>1730</v>
      </c>
      <c r="C681" t="s">
        <v>74</v>
      </c>
      <c r="D681" t="s">
        <v>74</v>
      </c>
      <c r="E681" t="s">
        <v>74</v>
      </c>
      <c r="F681" t="s">
        <v>12827</v>
      </c>
      <c r="G681" t="s">
        <v>74</v>
      </c>
      <c r="H681" t="s">
        <v>74</v>
      </c>
      <c r="I681" t="s">
        <v>12828</v>
      </c>
      <c r="J681" t="s">
        <v>657</v>
      </c>
      <c r="K681" t="s">
        <v>74</v>
      </c>
      <c r="L681" t="s">
        <v>74</v>
      </c>
      <c r="M681" t="s">
        <v>78</v>
      </c>
      <c r="N681" t="s">
        <v>974</v>
      </c>
      <c r="O681" t="s">
        <v>74</v>
      </c>
      <c r="P681" t="s">
        <v>74</v>
      </c>
      <c r="Q681" t="s">
        <v>74</v>
      </c>
      <c r="R681" t="s">
        <v>74</v>
      </c>
      <c r="S681" t="s">
        <v>74</v>
      </c>
      <c r="T681" t="s">
        <v>12829</v>
      </c>
      <c r="U681" t="s">
        <v>12830</v>
      </c>
      <c r="V681" t="s">
        <v>12831</v>
      </c>
      <c r="W681" t="s">
        <v>12832</v>
      </c>
      <c r="X681" t="s">
        <v>1738</v>
      </c>
      <c r="Y681" t="s">
        <v>12833</v>
      </c>
      <c r="Z681" t="s">
        <v>12834</v>
      </c>
      <c r="AA681" t="s">
        <v>1741</v>
      </c>
      <c r="AB681" t="s">
        <v>1742</v>
      </c>
      <c r="AC681" t="s">
        <v>12835</v>
      </c>
      <c r="AD681" t="s">
        <v>12835</v>
      </c>
      <c r="AE681" t="s">
        <v>12836</v>
      </c>
      <c r="AF681" t="s">
        <v>74</v>
      </c>
      <c r="AG681">
        <v>90</v>
      </c>
      <c r="AH681">
        <v>18</v>
      </c>
      <c r="AI681">
        <v>20</v>
      </c>
      <c r="AJ681">
        <v>0</v>
      </c>
      <c r="AK681">
        <v>8</v>
      </c>
      <c r="AL681" t="s">
        <v>668</v>
      </c>
      <c r="AM681" t="s">
        <v>669</v>
      </c>
      <c r="AN681" t="s">
        <v>670</v>
      </c>
      <c r="AO681" t="s">
        <v>671</v>
      </c>
      <c r="AP681" t="s">
        <v>672</v>
      </c>
      <c r="AQ681" t="s">
        <v>74</v>
      </c>
      <c r="AR681" t="s">
        <v>657</v>
      </c>
      <c r="AS681" t="s">
        <v>673</v>
      </c>
      <c r="AT681" t="s">
        <v>12823</v>
      </c>
      <c r="AU681">
        <v>2012</v>
      </c>
      <c r="AV681" t="s">
        <v>74</v>
      </c>
      <c r="AW681">
        <v>3368</v>
      </c>
      <c r="AX681" t="s">
        <v>74</v>
      </c>
      <c r="AY681" t="s">
        <v>74</v>
      </c>
      <c r="AZ681" t="s">
        <v>1019</v>
      </c>
      <c r="BA681" t="s">
        <v>74</v>
      </c>
      <c r="BB681">
        <v>7</v>
      </c>
      <c r="BC681">
        <v>49</v>
      </c>
      <c r="BD681" t="s">
        <v>74</v>
      </c>
      <c r="BE681" t="s">
        <v>74</v>
      </c>
      <c r="BF681" t="s">
        <v>74</v>
      </c>
      <c r="BG681" t="s">
        <v>74</v>
      </c>
      <c r="BH681" t="s">
        <v>74</v>
      </c>
      <c r="BI681">
        <v>43</v>
      </c>
      <c r="BJ681" t="s">
        <v>675</v>
      </c>
      <c r="BK681" t="s">
        <v>98</v>
      </c>
      <c r="BL681" t="s">
        <v>675</v>
      </c>
      <c r="BM681" t="s">
        <v>12825</v>
      </c>
      <c r="BN681" t="s">
        <v>74</v>
      </c>
      <c r="BO681" t="s">
        <v>74</v>
      </c>
      <c r="BP681" t="s">
        <v>74</v>
      </c>
      <c r="BQ681" t="s">
        <v>74</v>
      </c>
      <c r="BR681" t="s">
        <v>101</v>
      </c>
      <c r="BS681" t="s">
        <v>12837</v>
      </c>
      <c r="BT681" t="str">
        <f>HYPERLINK("https%3A%2F%2Fwww.webofscience.com%2Fwos%2Fwoscc%2Ffull-record%2FWOS:000305937400002","View Full Record in Web of Science")</f>
        <v>View Full Record in Web of Science</v>
      </c>
    </row>
    <row r="682" spans="1:72" x14ac:dyDescent="0.15">
      <c r="A682" t="s">
        <v>72</v>
      </c>
      <c r="B682" t="s">
        <v>12838</v>
      </c>
      <c r="C682" t="s">
        <v>74</v>
      </c>
      <c r="D682" t="s">
        <v>74</v>
      </c>
      <c r="E682" t="s">
        <v>74</v>
      </c>
      <c r="F682" t="s">
        <v>12839</v>
      </c>
      <c r="G682" t="s">
        <v>74</v>
      </c>
      <c r="H682" t="s">
        <v>74</v>
      </c>
      <c r="I682" t="s">
        <v>12840</v>
      </c>
      <c r="J682" t="s">
        <v>3733</v>
      </c>
      <c r="K682" t="s">
        <v>74</v>
      </c>
      <c r="L682" t="s">
        <v>74</v>
      </c>
      <c r="M682" t="s">
        <v>78</v>
      </c>
      <c r="N682" t="s">
        <v>3922</v>
      </c>
      <c r="O682" t="s">
        <v>74</v>
      </c>
      <c r="P682" t="s">
        <v>74</v>
      </c>
      <c r="Q682" t="s">
        <v>74</v>
      </c>
      <c r="R682" t="s">
        <v>74</v>
      </c>
      <c r="S682" t="s">
        <v>74</v>
      </c>
      <c r="T682" t="s">
        <v>74</v>
      </c>
      <c r="U682" t="s">
        <v>74</v>
      </c>
      <c r="V682" t="s">
        <v>74</v>
      </c>
      <c r="W682" t="s">
        <v>74</v>
      </c>
      <c r="X682" t="s">
        <v>74</v>
      </c>
      <c r="Y682" t="s">
        <v>74</v>
      </c>
      <c r="Z682" t="s">
        <v>74</v>
      </c>
      <c r="AA682" t="s">
        <v>74</v>
      </c>
      <c r="AB682" t="s">
        <v>74</v>
      </c>
      <c r="AC682" t="s">
        <v>74</v>
      </c>
      <c r="AD682" t="s">
        <v>74</v>
      </c>
      <c r="AE682" t="s">
        <v>74</v>
      </c>
      <c r="AF682" t="s">
        <v>74</v>
      </c>
      <c r="AG682">
        <v>1</v>
      </c>
      <c r="AH682">
        <v>2</v>
      </c>
      <c r="AI682">
        <v>2</v>
      </c>
      <c r="AJ682">
        <v>0</v>
      </c>
      <c r="AK682">
        <v>2</v>
      </c>
      <c r="AL682" t="s">
        <v>118</v>
      </c>
      <c r="AM682" t="s">
        <v>119</v>
      </c>
      <c r="AN682" t="s">
        <v>120</v>
      </c>
      <c r="AO682" t="s">
        <v>3745</v>
      </c>
      <c r="AP682" t="s">
        <v>74</v>
      </c>
      <c r="AQ682" t="s">
        <v>74</v>
      </c>
      <c r="AR682" t="s">
        <v>3733</v>
      </c>
      <c r="AS682" t="s">
        <v>3747</v>
      </c>
      <c r="AT682" t="s">
        <v>12823</v>
      </c>
      <c r="AU682">
        <v>2012</v>
      </c>
      <c r="AV682">
        <v>27</v>
      </c>
      <c r="AW682" t="s">
        <v>74</v>
      </c>
      <c r="AX682" t="s">
        <v>74</v>
      </c>
      <c r="AY682" t="s">
        <v>74</v>
      </c>
      <c r="AZ682" t="s">
        <v>74</v>
      </c>
      <c r="BA682" t="s">
        <v>74</v>
      </c>
      <c r="BB682" t="s">
        <v>74</v>
      </c>
      <c r="BC682" t="s">
        <v>74</v>
      </c>
      <c r="BD682" t="s">
        <v>12841</v>
      </c>
      <c r="BE682" t="s">
        <v>12842</v>
      </c>
      <c r="BF682" t="str">
        <f>HYPERLINK("http://dx.doi.org/10.1029/2012PA002360","http://dx.doi.org/10.1029/2012PA002360")</f>
        <v>http://dx.doi.org/10.1029/2012PA002360</v>
      </c>
      <c r="BG682" t="s">
        <v>74</v>
      </c>
      <c r="BH682" t="s">
        <v>74</v>
      </c>
      <c r="BI682">
        <v>1</v>
      </c>
      <c r="BJ682" t="s">
        <v>3750</v>
      </c>
      <c r="BK682" t="s">
        <v>98</v>
      </c>
      <c r="BL682" t="s">
        <v>3751</v>
      </c>
      <c r="BM682" t="s">
        <v>12843</v>
      </c>
      <c r="BN682" t="s">
        <v>74</v>
      </c>
      <c r="BO682" t="s">
        <v>607</v>
      </c>
      <c r="BP682" t="s">
        <v>74</v>
      </c>
      <c r="BQ682" t="s">
        <v>74</v>
      </c>
      <c r="BR682" t="s">
        <v>101</v>
      </c>
      <c r="BS682" t="s">
        <v>12844</v>
      </c>
      <c r="BT682" t="str">
        <f>HYPERLINK("https%3A%2F%2Fwww.webofscience.com%2Fwos%2Fwoscc%2Ffull-record%2FWOS:000306239700002","View Full Record in Web of Science")</f>
        <v>View Full Record in Web of Science</v>
      </c>
    </row>
    <row r="683" spans="1:72" x14ac:dyDescent="0.15">
      <c r="A683" t="s">
        <v>72</v>
      </c>
      <c r="B683" t="s">
        <v>12845</v>
      </c>
      <c r="C683" t="s">
        <v>74</v>
      </c>
      <c r="D683" t="s">
        <v>74</v>
      </c>
      <c r="E683" t="s">
        <v>74</v>
      </c>
      <c r="F683" t="s">
        <v>12846</v>
      </c>
      <c r="G683" t="s">
        <v>74</v>
      </c>
      <c r="H683" t="s">
        <v>74</v>
      </c>
      <c r="I683" t="s">
        <v>12847</v>
      </c>
      <c r="J683" t="s">
        <v>657</v>
      </c>
      <c r="K683" t="s">
        <v>74</v>
      </c>
      <c r="L683" t="s">
        <v>74</v>
      </c>
      <c r="M683" t="s">
        <v>78</v>
      </c>
      <c r="N683" t="s">
        <v>2829</v>
      </c>
      <c r="O683" t="s">
        <v>74</v>
      </c>
      <c r="P683" t="s">
        <v>74</v>
      </c>
      <c r="Q683" t="s">
        <v>74</v>
      </c>
      <c r="R683" t="s">
        <v>74</v>
      </c>
      <c r="S683" t="s">
        <v>74</v>
      </c>
      <c r="T683" t="s">
        <v>74</v>
      </c>
      <c r="U683" t="s">
        <v>74</v>
      </c>
      <c r="V683" t="s">
        <v>74</v>
      </c>
      <c r="W683" t="s">
        <v>12848</v>
      </c>
      <c r="X683" t="s">
        <v>1738</v>
      </c>
      <c r="Y683" t="s">
        <v>12849</v>
      </c>
      <c r="Z683" t="s">
        <v>12850</v>
      </c>
      <c r="AA683" t="s">
        <v>1741</v>
      </c>
      <c r="AB683" t="s">
        <v>1742</v>
      </c>
      <c r="AC683" t="s">
        <v>74</v>
      </c>
      <c r="AD683" t="s">
        <v>74</v>
      </c>
      <c r="AE683" t="s">
        <v>74</v>
      </c>
      <c r="AF683" t="s">
        <v>74</v>
      </c>
      <c r="AG683">
        <v>9</v>
      </c>
      <c r="AH683">
        <v>2</v>
      </c>
      <c r="AI683">
        <v>2</v>
      </c>
      <c r="AJ683">
        <v>0</v>
      </c>
      <c r="AK683">
        <v>3</v>
      </c>
      <c r="AL683" t="s">
        <v>668</v>
      </c>
      <c r="AM683" t="s">
        <v>669</v>
      </c>
      <c r="AN683" t="s">
        <v>670</v>
      </c>
      <c r="AO683" t="s">
        <v>671</v>
      </c>
      <c r="AP683" t="s">
        <v>672</v>
      </c>
      <c r="AQ683" t="s">
        <v>74</v>
      </c>
      <c r="AR683" t="s">
        <v>657</v>
      </c>
      <c r="AS683" t="s">
        <v>673</v>
      </c>
      <c r="AT683" t="s">
        <v>12823</v>
      </c>
      <c r="AU683">
        <v>2012</v>
      </c>
      <c r="AV683" t="s">
        <v>74</v>
      </c>
      <c r="AW683">
        <v>3368</v>
      </c>
      <c r="AX683" t="s">
        <v>74</v>
      </c>
      <c r="AY683" t="s">
        <v>74</v>
      </c>
      <c r="AZ683" t="s">
        <v>1019</v>
      </c>
      <c r="BA683" t="s">
        <v>74</v>
      </c>
      <c r="BB683">
        <v>5</v>
      </c>
      <c r="BC683">
        <v>6</v>
      </c>
      <c r="BD683" t="s">
        <v>74</v>
      </c>
      <c r="BE683" t="s">
        <v>12851</v>
      </c>
      <c r="BF683" t="str">
        <f>HYPERLINK("http://dx.doi.org/10.11646/zootaxa.3368.1.2","http://dx.doi.org/10.11646/zootaxa.3368.1.2")</f>
        <v>http://dx.doi.org/10.11646/zootaxa.3368.1.2</v>
      </c>
      <c r="BG683" t="s">
        <v>74</v>
      </c>
      <c r="BH683" t="s">
        <v>74</v>
      </c>
      <c r="BI683">
        <v>2</v>
      </c>
      <c r="BJ683" t="s">
        <v>675</v>
      </c>
      <c r="BK683" t="s">
        <v>98</v>
      </c>
      <c r="BL683" t="s">
        <v>675</v>
      </c>
      <c r="BM683" t="s">
        <v>12825</v>
      </c>
      <c r="BN683" t="s">
        <v>74</v>
      </c>
      <c r="BO683" t="s">
        <v>607</v>
      </c>
      <c r="BP683" t="s">
        <v>74</v>
      </c>
      <c r="BQ683" t="s">
        <v>74</v>
      </c>
      <c r="BR683" t="s">
        <v>101</v>
      </c>
      <c r="BS683" t="s">
        <v>12852</v>
      </c>
      <c r="BT683" t="str">
        <f>HYPERLINK("https%3A%2F%2Fwww.webofscience.com%2Fwos%2Fwoscc%2Ffull-record%2FWOS:000305937400001","View Full Record in Web of Science")</f>
        <v>View Full Record in Web of Science</v>
      </c>
    </row>
    <row r="684" spans="1:72" x14ac:dyDescent="0.15">
      <c r="A684" t="s">
        <v>72</v>
      </c>
      <c r="B684" t="s">
        <v>12853</v>
      </c>
      <c r="C684" t="s">
        <v>74</v>
      </c>
      <c r="D684" t="s">
        <v>74</v>
      </c>
      <c r="E684" t="s">
        <v>74</v>
      </c>
      <c r="F684" t="s">
        <v>12854</v>
      </c>
      <c r="G684" t="s">
        <v>74</v>
      </c>
      <c r="H684" t="s">
        <v>74</v>
      </c>
      <c r="I684" t="s">
        <v>12855</v>
      </c>
      <c r="J684" t="s">
        <v>12856</v>
      </c>
      <c r="K684" t="s">
        <v>74</v>
      </c>
      <c r="L684" t="s">
        <v>74</v>
      </c>
      <c r="M684" t="s">
        <v>78</v>
      </c>
      <c r="N684" t="s">
        <v>79</v>
      </c>
      <c r="O684" t="s">
        <v>74</v>
      </c>
      <c r="P684" t="s">
        <v>74</v>
      </c>
      <c r="Q684" t="s">
        <v>74</v>
      </c>
      <c r="R684" t="s">
        <v>74</v>
      </c>
      <c r="S684" t="s">
        <v>74</v>
      </c>
      <c r="T684" t="s">
        <v>12857</v>
      </c>
      <c r="U684" t="s">
        <v>12858</v>
      </c>
      <c r="V684" t="s">
        <v>12859</v>
      </c>
      <c r="W684" t="s">
        <v>12860</v>
      </c>
      <c r="X684" t="s">
        <v>12861</v>
      </c>
      <c r="Y684" t="s">
        <v>12862</v>
      </c>
      <c r="Z684" t="s">
        <v>12863</v>
      </c>
      <c r="AA684" t="s">
        <v>12864</v>
      </c>
      <c r="AB684" t="s">
        <v>12865</v>
      </c>
      <c r="AC684" t="s">
        <v>12866</v>
      </c>
      <c r="AD684" t="s">
        <v>12866</v>
      </c>
      <c r="AE684" t="s">
        <v>12867</v>
      </c>
      <c r="AF684" t="s">
        <v>74</v>
      </c>
      <c r="AG684">
        <v>26</v>
      </c>
      <c r="AH684">
        <v>25</v>
      </c>
      <c r="AI684">
        <v>25</v>
      </c>
      <c r="AJ684">
        <v>0</v>
      </c>
      <c r="AK684">
        <v>12</v>
      </c>
      <c r="AL684" t="s">
        <v>12868</v>
      </c>
      <c r="AM684" t="s">
        <v>12869</v>
      </c>
      <c r="AN684" t="s">
        <v>12870</v>
      </c>
      <c r="AO684" t="s">
        <v>12871</v>
      </c>
      <c r="AP684" t="s">
        <v>74</v>
      </c>
      <c r="AQ684" t="s">
        <v>74</v>
      </c>
      <c r="AR684" t="s">
        <v>12872</v>
      </c>
      <c r="AS684" t="s">
        <v>12873</v>
      </c>
      <c r="AT684" t="s">
        <v>12874</v>
      </c>
      <c r="AU684">
        <v>2012</v>
      </c>
      <c r="AV684">
        <v>6</v>
      </c>
      <c r="AW684" t="s">
        <v>74</v>
      </c>
      <c r="AX684" t="s">
        <v>74</v>
      </c>
      <c r="AY684" t="s">
        <v>74</v>
      </c>
      <c r="AZ684" t="s">
        <v>74</v>
      </c>
      <c r="BA684" t="s">
        <v>74</v>
      </c>
      <c r="BB684" t="s">
        <v>74</v>
      </c>
      <c r="BC684" t="s">
        <v>74</v>
      </c>
      <c r="BD684">
        <v>63541</v>
      </c>
      <c r="BE684" t="s">
        <v>12875</v>
      </c>
      <c r="BF684" t="str">
        <f>HYPERLINK("http://dx.doi.org/10.1117/1.JRS.6.063541","http://dx.doi.org/10.1117/1.JRS.6.063541")</f>
        <v>http://dx.doi.org/10.1117/1.JRS.6.063541</v>
      </c>
      <c r="BG684" t="s">
        <v>74</v>
      </c>
      <c r="BH684" t="s">
        <v>74</v>
      </c>
      <c r="BI684">
        <v>15</v>
      </c>
      <c r="BJ684" t="s">
        <v>9165</v>
      </c>
      <c r="BK684" t="s">
        <v>98</v>
      </c>
      <c r="BL684" t="s">
        <v>9166</v>
      </c>
      <c r="BM684" t="s">
        <v>12876</v>
      </c>
      <c r="BN684" t="s">
        <v>74</v>
      </c>
      <c r="BO684" t="s">
        <v>74</v>
      </c>
      <c r="BP684" t="s">
        <v>74</v>
      </c>
      <c r="BQ684" t="s">
        <v>74</v>
      </c>
      <c r="BR684" t="s">
        <v>101</v>
      </c>
      <c r="BS684" t="s">
        <v>12877</v>
      </c>
      <c r="BT684" t="str">
        <f>HYPERLINK("https%3A%2F%2Fwww.webofscience.com%2Fwos%2Fwoscc%2Ffull-record%2FWOS:000306440500002","View Full Record in Web of Science")</f>
        <v>View Full Record in Web of Science</v>
      </c>
    </row>
    <row r="685" spans="1:72" x14ac:dyDescent="0.15">
      <c r="A685" t="s">
        <v>72</v>
      </c>
      <c r="B685" t="s">
        <v>12878</v>
      </c>
      <c r="C685" t="s">
        <v>74</v>
      </c>
      <c r="D685" t="s">
        <v>74</v>
      </c>
      <c r="E685" t="s">
        <v>74</v>
      </c>
      <c r="F685" t="s">
        <v>12879</v>
      </c>
      <c r="G685" t="s">
        <v>74</v>
      </c>
      <c r="H685" t="s">
        <v>74</v>
      </c>
      <c r="I685" t="s">
        <v>12880</v>
      </c>
      <c r="J685" t="s">
        <v>12881</v>
      </c>
      <c r="K685" t="s">
        <v>74</v>
      </c>
      <c r="L685" t="s">
        <v>74</v>
      </c>
      <c r="M685" t="s">
        <v>78</v>
      </c>
      <c r="N685" t="s">
        <v>79</v>
      </c>
      <c r="O685" t="s">
        <v>74</v>
      </c>
      <c r="P685" t="s">
        <v>74</v>
      </c>
      <c r="Q685" t="s">
        <v>74</v>
      </c>
      <c r="R685" t="s">
        <v>74</v>
      </c>
      <c r="S685" t="s">
        <v>74</v>
      </c>
      <c r="T685" t="s">
        <v>12882</v>
      </c>
      <c r="U685" t="s">
        <v>12883</v>
      </c>
      <c r="V685" t="s">
        <v>12884</v>
      </c>
      <c r="W685" t="s">
        <v>12885</v>
      </c>
      <c r="X685" t="s">
        <v>12886</v>
      </c>
      <c r="Y685" t="s">
        <v>12887</v>
      </c>
      <c r="Z685" t="s">
        <v>12888</v>
      </c>
      <c r="AA685" t="s">
        <v>12889</v>
      </c>
      <c r="AB685" t="s">
        <v>3423</v>
      </c>
      <c r="AC685" t="s">
        <v>12890</v>
      </c>
      <c r="AD685" t="s">
        <v>12891</v>
      </c>
      <c r="AE685" t="s">
        <v>12892</v>
      </c>
      <c r="AF685" t="s">
        <v>74</v>
      </c>
      <c r="AG685">
        <v>21</v>
      </c>
      <c r="AH685">
        <v>1</v>
      </c>
      <c r="AI685">
        <v>3</v>
      </c>
      <c r="AJ685">
        <v>0</v>
      </c>
      <c r="AK685">
        <v>4</v>
      </c>
      <c r="AL685" t="s">
        <v>188</v>
      </c>
      <c r="AM685" t="s">
        <v>189</v>
      </c>
      <c r="AN685" t="s">
        <v>190</v>
      </c>
      <c r="AO685" t="s">
        <v>12893</v>
      </c>
      <c r="AP685" t="s">
        <v>12894</v>
      </c>
      <c r="AQ685" t="s">
        <v>74</v>
      </c>
      <c r="AR685" t="s">
        <v>12895</v>
      </c>
      <c r="AS685" t="s">
        <v>12896</v>
      </c>
      <c r="AT685" t="s">
        <v>12897</v>
      </c>
      <c r="AU685">
        <v>2012</v>
      </c>
      <c r="AV685">
        <v>6</v>
      </c>
      <c r="AW685">
        <v>2</v>
      </c>
      <c r="AX685" t="s">
        <v>74</v>
      </c>
      <c r="AY685" t="s">
        <v>74</v>
      </c>
      <c r="AZ685" t="s">
        <v>74</v>
      </c>
      <c r="BA685" t="s">
        <v>74</v>
      </c>
      <c r="BB685">
        <v>155</v>
      </c>
      <c r="BC685">
        <v>164</v>
      </c>
      <c r="BD685" t="s">
        <v>74</v>
      </c>
      <c r="BE685" t="s">
        <v>12898</v>
      </c>
      <c r="BF685" t="str">
        <f>HYPERLINK("http://dx.doi.org/10.1016/j.polar.2012.06.001","http://dx.doi.org/10.1016/j.polar.2012.06.001")</f>
        <v>http://dx.doi.org/10.1016/j.polar.2012.06.001</v>
      </c>
      <c r="BG685" t="s">
        <v>74</v>
      </c>
      <c r="BH685" t="s">
        <v>74</v>
      </c>
      <c r="BI685">
        <v>10</v>
      </c>
      <c r="BJ685" t="s">
        <v>12899</v>
      </c>
      <c r="BK685" t="s">
        <v>98</v>
      </c>
      <c r="BL685" t="s">
        <v>7551</v>
      </c>
      <c r="BM685" t="s">
        <v>12900</v>
      </c>
      <c r="BN685" t="s">
        <v>74</v>
      </c>
      <c r="BO685" t="s">
        <v>74</v>
      </c>
      <c r="BP685" t="s">
        <v>74</v>
      </c>
      <c r="BQ685" t="s">
        <v>74</v>
      </c>
      <c r="BR685" t="s">
        <v>101</v>
      </c>
      <c r="BS685" t="s">
        <v>12901</v>
      </c>
      <c r="BT685" t="str">
        <f>HYPERLINK("https%3A%2F%2Fwww.webofscience.com%2Fwos%2Fwoscc%2Ffull-record%2FWOS:000315303800001","View Full Record in Web of Science")</f>
        <v>View Full Record in Web of Science</v>
      </c>
    </row>
    <row r="686" spans="1:72" x14ac:dyDescent="0.15">
      <c r="A686" t="s">
        <v>72</v>
      </c>
      <c r="B686" t="s">
        <v>12902</v>
      </c>
      <c r="C686" t="s">
        <v>74</v>
      </c>
      <c r="D686" t="s">
        <v>74</v>
      </c>
      <c r="E686" t="s">
        <v>74</v>
      </c>
      <c r="F686" t="s">
        <v>12903</v>
      </c>
      <c r="G686" t="s">
        <v>74</v>
      </c>
      <c r="H686" t="s">
        <v>74</v>
      </c>
      <c r="I686" t="s">
        <v>12904</v>
      </c>
      <c r="J686" t="s">
        <v>12905</v>
      </c>
      <c r="K686" t="s">
        <v>74</v>
      </c>
      <c r="L686" t="s">
        <v>74</v>
      </c>
      <c r="M686" t="s">
        <v>78</v>
      </c>
      <c r="N686" t="s">
        <v>79</v>
      </c>
      <c r="O686" t="s">
        <v>74</v>
      </c>
      <c r="P686" t="s">
        <v>74</v>
      </c>
      <c r="Q686" t="s">
        <v>74</v>
      </c>
      <c r="R686" t="s">
        <v>74</v>
      </c>
      <c r="S686" t="s">
        <v>74</v>
      </c>
      <c r="T686" t="s">
        <v>12906</v>
      </c>
      <c r="U686" t="s">
        <v>12907</v>
      </c>
      <c r="V686" t="s">
        <v>12908</v>
      </c>
      <c r="W686" t="s">
        <v>12909</v>
      </c>
      <c r="X686" t="s">
        <v>2008</v>
      </c>
      <c r="Y686" t="s">
        <v>12910</v>
      </c>
      <c r="Z686" t="s">
        <v>12911</v>
      </c>
      <c r="AA686" t="s">
        <v>12912</v>
      </c>
      <c r="AB686" t="s">
        <v>12913</v>
      </c>
      <c r="AC686" t="s">
        <v>74</v>
      </c>
      <c r="AD686" t="s">
        <v>74</v>
      </c>
      <c r="AE686" t="s">
        <v>74</v>
      </c>
      <c r="AF686" t="s">
        <v>74</v>
      </c>
      <c r="AG686">
        <v>50</v>
      </c>
      <c r="AH686">
        <v>0</v>
      </c>
      <c r="AI686">
        <v>0</v>
      </c>
      <c r="AJ686">
        <v>1</v>
      </c>
      <c r="AK686">
        <v>6</v>
      </c>
      <c r="AL686" t="s">
        <v>1601</v>
      </c>
      <c r="AM686" t="s">
        <v>1602</v>
      </c>
      <c r="AN686" t="s">
        <v>1603</v>
      </c>
      <c r="AO686" t="s">
        <v>12914</v>
      </c>
      <c r="AP686" t="s">
        <v>74</v>
      </c>
      <c r="AQ686" t="s">
        <v>74</v>
      </c>
      <c r="AR686" t="s">
        <v>12915</v>
      </c>
      <c r="AS686" t="s">
        <v>12916</v>
      </c>
      <c r="AT686" t="s">
        <v>12897</v>
      </c>
      <c r="AU686">
        <v>2012</v>
      </c>
      <c r="AV686">
        <v>31</v>
      </c>
      <c r="AW686" t="s">
        <v>74</v>
      </c>
      <c r="AX686">
        <v>2</v>
      </c>
      <c r="AY686" t="s">
        <v>74</v>
      </c>
      <c r="AZ686" t="s">
        <v>74</v>
      </c>
      <c r="BA686" t="s">
        <v>74</v>
      </c>
      <c r="BB686">
        <v>189</v>
      </c>
      <c r="BC686">
        <v>192</v>
      </c>
      <c r="BD686" t="s">
        <v>74</v>
      </c>
      <c r="BE686" t="s">
        <v>12917</v>
      </c>
      <c r="BF686" t="str">
        <f>HYPERLINK("http://dx.doi.org/10.1144/0262-821X12-006","http://dx.doi.org/10.1144/0262-821X12-006")</f>
        <v>http://dx.doi.org/10.1144/0262-821X12-006</v>
      </c>
      <c r="BG686" t="s">
        <v>74</v>
      </c>
      <c r="BH686" t="s">
        <v>74</v>
      </c>
      <c r="BI686">
        <v>4</v>
      </c>
      <c r="BJ686" t="s">
        <v>4200</v>
      </c>
      <c r="BK686" t="s">
        <v>98</v>
      </c>
      <c r="BL686" t="s">
        <v>4200</v>
      </c>
      <c r="BM686" t="s">
        <v>12918</v>
      </c>
      <c r="BN686" t="s">
        <v>74</v>
      </c>
      <c r="BO686" t="s">
        <v>11892</v>
      </c>
      <c r="BP686" t="s">
        <v>74</v>
      </c>
      <c r="BQ686" t="s">
        <v>74</v>
      </c>
      <c r="BR686" t="s">
        <v>101</v>
      </c>
      <c r="BS686" t="s">
        <v>12919</v>
      </c>
      <c r="BT686" t="str">
        <f>HYPERLINK("https%3A%2F%2Fwww.webofscience.com%2Fwos%2Fwoscc%2Ffull-record%2FWOS:000314212500010","View Full Record in Web of Science")</f>
        <v>View Full Record in Web of Science</v>
      </c>
    </row>
    <row r="687" spans="1:72" x14ac:dyDescent="0.15">
      <c r="A687" t="s">
        <v>72</v>
      </c>
      <c r="B687" t="s">
        <v>12920</v>
      </c>
      <c r="C687" t="s">
        <v>74</v>
      </c>
      <c r="D687" t="s">
        <v>74</v>
      </c>
      <c r="E687" t="s">
        <v>74</v>
      </c>
      <c r="F687" t="s">
        <v>12921</v>
      </c>
      <c r="G687" t="s">
        <v>74</v>
      </c>
      <c r="H687" t="s">
        <v>74</v>
      </c>
      <c r="I687" t="s">
        <v>12922</v>
      </c>
      <c r="J687" t="s">
        <v>12923</v>
      </c>
      <c r="K687" t="s">
        <v>74</v>
      </c>
      <c r="L687" t="s">
        <v>74</v>
      </c>
      <c r="M687" t="s">
        <v>78</v>
      </c>
      <c r="N687" t="s">
        <v>79</v>
      </c>
      <c r="O687" t="s">
        <v>74</v>
      </c>
      <c r="P687" t="s">
        <v>74</v>
      </c>
      <c r="Q687" t="s">
        <v>74</v>
      </c>
      <c r="R687" t="s">
        <v>74</v>
      </c>
      <c r="S687" t="s">
        <v>74</v>
      </c>
      <c r="T687" t="s">
        <v>12924</v>
      </c>
      <c r="U687" t="s">
        <v>12925</v>
      </c>
      <c r="V687" t="s">
        <v>12926</v>
      </c>
      <c r="W687" t="s">
        <v>12927</v>
      </c>
      <c r="X687" t="s">
        <v>12928</v>
      </c>
      <c r="Y687" t="s">
        <v>12929</v>
      </c>
      <c r="Z687" t="s">
        <v>12930</v>
      </c>
      <c r="AA687" t="s">
        <v>11880</v>
      </c>
      <c r="AB687" t="s">
        <v>12931</v>
      </c>
      <c r="AC687" t="s">
        <v>12932</v>
      </c>
      <c r="AD687" t="s">
        <v>7239</v>
      </c>
      <c r="AE687" t="s">
        <v>12933</v>
      </c>
      <c r="AF687" t="s">
        <v>74</v>
      </c>
      <c r="AG687">
        <v>31</v>
      </c>
      <c r="AH687">
        <v>17</v>
      </c>
      <c r="AI687">
        <v>19</v>
      </c>
      <c r="AJ687">
        <v>1</v>
      </c>
      <c r="AK687">
        <v>21</v>
      </c>
      <c r="AL687" t="s">
        <v>12934</v>
      </c>
      <c r="AM687" t="s">
        <v>434</v>
      </c>
      <c r="AN687" t="s">
        <v>12935</v>
      </c>
      <c r="AO687" t="s">
        <v>12936</v>
      </c>
      <c r="AP687" t="s">
        <v>74</v>
      </c>
      <c r="AQ687" t="s">
        <v>74</v>
      </c>
      <c r="AR687" t="s">
        <v>12923</v>
      </c>
      <c r="AS687" t="s">
        <v>12937</v>
      </c>
      <c r="AT687" t="s">
        <v>12938</v>
      </c>
      <c r="AU687">
        <v>2012</v>
      </c>
      <c r="AV687">
        <v>33</v>
      </c>
      <c r="AW687">
        <v>4</v>
      </c>
      <c r="AX687" t="s">
        <v>74</v>
      </c>
      <c r="AY687" t="s">
        <v>74</v>
      </c>
      <c r="AZ687" t="s">
        <v>74</v>
      </c>
      <c r="BA687" t="s">
        <v>74</v>
      </c>
      <c r="BB687">
        <v>280</v>
      </c>
      <c r="BC687">
        <v>288</v>
      </c>
      <c r="BD687" t="s">
        <v>74</v>
      </c>
      <c r="BE687" t="s">
        <v>74</v>
      </c>
      <c r="BF687" t="s">
        <v>74</v>
      </c>
      <c r="BG687" t="s">
        <v>74</v>
      </c>
      <c r="BH687" t="s">
        <v>74</v>
      </c>
      <c r="BI687">
        <v>9</v>
      </c>
      <c r="BJ687" t="s">
        <v>12939</v>
      </c>
      <c r="BK687" t="s">
        <v>98</v>
      </c>
      <c r="BL687" t="s">
        <v>12940</v>
      </c>
      <c r="BM687" t="s">
        <v>12941</v>
      </c>
      <c r="BN687">
        <v>22987239</v>
      </c>
      <c r="BO687" t="s">
        <v>74</v>
      </c>
      <c r="BP687" t="s">
        <v>74</v>
      </c>
      <c r="BQ687" t="s">
        <v>74</v>
      </c>
      <c r="BR687" t="s">
        <v>101</v>
      </c>
      <c r="BS687" t="s">
        <v>12942</v>
      </c>
      <c r="BT687" t="str">
        <f>HYPERLINK("https%3A%2F%2Fwww.webofscience.com%2Fwos%2Fwoscc%2Ffull-record%2FWOS:000311463200004","View Full Record in Web of Science")</f>
        <v>View Full Record in Web of Science</v>
      </c>
    </row>
    <row r="688" spans="1:72" x14ac:dyDescent="0.15">
      <c r="A688" t="s">
        <v>72</v>
      </c>
      <c r="B688" t="s">
        <v>12943</v>
      </c>
      <c r="C688" t="s">
        <v>74</v>
      </c>
      <c r="D688" t="s">
        <v>74</v>
      </c>
      <c r="E688" t="s">
        <v>74</v>
      </c>
      <c r="F688" t="s">
        <v>12944</v>
      </c>
      <c r="G688" t="s">
        <v>74</v>
      </c>
      <c r="H688" t="s">
        <v>74</v>
      </c>
      <c r="I688" t="s">
        <v>12945</v>
      </c>
      <c r="J688" t="s">
        <v>12946</v>
      </c>
      <c r="K688" t="s">
        <v>74</v>
      </c>
      <c r="L688" t="s">
        <v>74</v>
      </c>
      <c r="M688" t="s">
        <v>78</v>
      </c>
      <c r="N688" t="s">
        <v>79</v>
      </c>
      <c r="O688" t="s">
        <v>74</v>
      </c>
      <c r="P688" t="s">
        <v>74</v>
      </c>
      <c r="Q688" t="s">
        <v>74</v>
      </c>
      <c r="R688" t="s">
        <v>74</v>
      </c>
      <c r="S688" t="s">
        <v>74</v>
      </c>
      <c r="T688" t="s">
        <v>12947</v>
      </c>
      <c r="U688" t="s">
        <v>12948</v>
      </c>
      <c r="V688" t="s">
        <v>12949</v>
      </c>
      <c r="W688" t="s">
        <v>12950</v>
      </c>
      <c r="X688" t="s">
        <v>12951</v>
      </c>
      <c r="Y688" t="s">
        <v>12952</v>
      </c>
      <c r="Z688" t="s">
        <v>12953</v>
      </c>
      <c r="AA688" t="s">
        <v>74</v>
      </c>
      <c r="AB688" t="s">
        <v>12954</v>
      </c>
      <c r="AC688" t="s">
        <v>12955</v>
      </c>
      <c r="AD688" t="s">
        <v>12956</v>
      </c>
      <c r="AE688" t="s">
        <v>12957</v>
      </c>
      <c r="AF688" t="s">
        <v>74</v>
      </c>
      <c r="AG688">
        <v>51</v>
      </c>
      <c r="AH688">
        <v>6</v>
      </c>
      <c r="AI688">
        <v>6</v>
      </c>
      <c r="AJ688">
        <v>0</v>
      </c>
      <c r="AK688">
        <v>23</v>
      </c>
      <c r="AL688" t="s">
        <v>12958</v>
      </c>
      <c r="AM688" t="s">
        <v>12959</v>
      </c>
      <c r="AN688" t="s">
        <v>12960</v>
      </c>
      <c r="AO688" t="s">
        <v>12961</v>
      </c>
      <c r="AP688" t="s">
        <v>12962</v>
      </c>
      <c r="AQ688" t="s">
        <v>74</v>
      </c>
      <c r="AR688" t="s">
        <v>12963</v>
      </c>
      <c r="AS688" t="s">
        <v>12964</v>
      </c>
      <c r="AT688" t="s">
        <v>12965</v>
      </c>
      <c r="AU688">
        <v>2012</v>
      </c>
      <c r="AV688">
        <v>60</v>
      </c>
      <c r="AW688">
        <v>3</v>
      </c>
      <c r="AX688" t="s">
        <v>74</v>
      </c>
      <c r="AY688" t="s">
        <v>74</v>
      </c>
      <c r="AZ688" t="s">
        <v>74</v>
      </c>
      <c r="BA688" t="s">
        <v>74</v>
      </c>
      <c r="BB688">
        <v>367</v>
      </c>
      <c r="BC688">
        <v>380</v>
      </c>
      <c r="BD688" t="s">
        <v>74</v>
      </c>
      <c r="BE688" t="s">
        <v>12966</v>
      </c>
      <c r="BF688" t="str">
        <f>HYPERLINK("http://dx.doi.org/10.1590/S1679-87592012000300009","http://dx.doi.org/10.1590/S1679-87592012000300009")</f>
        <v>http://dx.doi.org/10.1590/S1679-87592012000300009</v>
      </c>
      <c r="BG688" t="s">
        <v>74</v>
      </c>
      <c r="BH688" t="s">
        <v>74</v>
      </c>
      <c r="BI688">
        <v>14</v>
      </c>
      <c r="BJ688" t="s">
        <v>1161</v>
      </c>
      <c r="BK688" t="s">
        <v>98</v>
      </c>
      <c r="BL688" t="s">
        <v>1161</v>
      </c>
      <c r="BM688" t="s">
        <v>12967</v>
      </c>
      <c r="BN688" t="s">
        <v>74</v>
      </c>
      <c r="BO688" t="s">
        <v>7372</v>
      </c>
      <c r="BP688" t="s">
        <v>74</v>
      </c>
      <c r="BQ688" t="s">
        <v>74</v>
      </c>
      <c r="BR688" t="s">
        <v>101</v>
      </c>
      <c r="BS688" t="s">
        <v>12968</v>
      </c>
      <c r="BT688" t="str">
        <f>HYPERLINK("https%3A%2F%2Fwww.webofscience.com%2Fwos%2Fwoscc%2Ffull-record%2FWOS:000310536600009","View Full Record in Web of Science")</f>
        <v>View Full Record in Web of Science</v>
      </c>
    </row>
    <row r="689" spans="1:72" x14ac:dyDescent="0.15">
      <c r="A689" t="s">
        <v>72</v>
      </c>
      <c r="B689" t="s">
        <v>12969</v>
      </c>
      <c r="C689" t="s">
        <v>74</v>
      </c>
      <c r="D689" t="s">
        <v>74</v>
      </c>
      <c r="E689" t="s">
        <v>74</v>
      </c>
      <c r="F689" t="s">
        <v>12970</v>
      </c>
      <c r="G689" t="s">
        <v>74</v>
      </c>
      <c r="H689" t="s">
        <v>74</v>
      </c>
      <c r="I689" t="s">
        <v>12971</v>
      </c>
      <c r="J689" t="s">
        <v>12972</v>
      </c>
      <c r="K689" t="s">
        <v>74</v>
      </c>
      <c r="L689" t="s">
        <v>74</v>
      </c>
      <c r="M689" t="s">
        <v>78</v>
      </c>
      <c r="N689" t="s">
        <v>79</v>
      </c>
      <c r="O689" t="s">
        <v>74</v>
      </c>
      <c r="P689" t="s">
        <v>74</v>
      </c>
      <c r="Q689" t="s">
        <v>74</v>
      </c>
      <c r="R689" t="s">
        <v>74</v>
      </c>
      <c r="S689" t="s">
        <v>74</v>
      </c>
      <c r="T689" t="s">
        <v>12973</v>
      </c>
      <c r="U689" t="s">
        <v>12974</v>
      </c>
      <c r="V689" t="s">
        <v>12975</v>
      </c>
      <c r="W689" t="s">
        <v>12976</v>
      </c>
      <c r="X689" t="s">
        <v>12977</v>
      </c>
      <c r="Y689" t="s">
        <v>12978</v>
      </c>
      <c r="Z689" t="s">
        <v>12979</v>
      </c>
      <c r="AA689" t="s">
        <v>12980</v>
      </c>
      <c r="AB689" t="s">
        <v>12981</v>
      </c>
      <c r="AC689" t="s">
        <v>12982</v>
      </c>
      <c r="AD689" t="s">
        <v>12982</v>
      </c>
      <c r="AE689" t="s">
        <v>12983</v>
      </c>
      <c r="AF689" t="s">
        <v>74</v>
      </c>
      <c r="AG689">
        <v>21</v>
      </c>
      <c r="AH689">
        <v>4</v>
      </c>
      <c r="AI689">
        <v>4</v>
      </c>
      <c r="AJ689">
        <v>0</v>
      </c>
      <c r="AK689">
        <v>9</v>
      </c>
      <c r="AL689" t="s">
        <v>898</v>
      </c>
      <c r="AM689" t="s">
        <v>899</v>
      </c>
      <c r="AN689" t="s">
        <v>900</v>
      </c>
      <c r="AO689" t="s">
        <v>12984</v>
      </c>
      <c r="AP689" t="s">
        <v>12985</v>
      </c>
      <c r="AQ689" t="s">
        <v>74</v>
      </c>
      <c r="AR689" t="s">
        <v>12972</v>
      </c>
      <c r="AS689" t="s">
        <v>12986</v>
      </c>
      <c r="AT689" t="s">
        <v>12897</v>
      </c>
      <c r="AU689">
        <v>2012</v>
      </c>
      <c r="AV689">
        <v>154</v>
      </c>
      <c r="AW689">
        <v>3</v>
      </c>
      <c r="AX689" t="s">
        <v>74</v>
      </c>
      <c r="AY689" t="s">
        <v>74</v>
      </c>
      <c r="AZ689" t="s">
        <v>74</v>
      </c>
      <c r="BA689" t="s">
        <v>74</v>
      </c>
      <c r="BB689">
        <v>499</v>
      </c>
      <c r="BC689">
        <v>507</v>
      </c>
      <c r="BD689" t="s">
        <v>74</v>
      </c>
      <c r="BE689" t="s">
        <v>12987</v>
      </c>
      <c r="BF689" t="str">
        <f>HYPERLINK("http://dx.doi.org/10.1111/j.1474-919X.2012.01247.x","http://dx.doi.org/10.1111/j.1474-919X.2012.01247.x")</f>
        <v>http://dx.doi.org/10.1111/j.1474-919X.2012.01247.x</v>
      </c>
      <c r="BG689" t="s">
        <v>74</v>
      </c>
      <c r="BH689" t="s">
        <v>74</v>
      </c>
      <c r="BI689">
        <v>9</v>
      </c>
      <c r="BJ689" t="s">
        <v>12988</v>
      </c>
      <c r="BK689" t="s">
        <v>98</v>
      </c>
      <c r="BL689" t="s">
        <v>675</v>
      </c>
      <c r="BM689" t="s">
        <v>12989</v>
      </c>
      <c r="BN689" t="s">
        <v>74</v>
      </c>
      <c r="BO689" t="s">
        <v>74</v>
      </c>
      <c r="BP689" t="s">
        <v>74</v>
      </c>
      <c r="BQ689" t="s">
        <v>74</v>
      </c>
      <c r="BR689" t="s">
        <v>101</v>
      </c>
      <c r="BS689" t="s">
        <v>12990</v>
      </c>
      <c r="BT689" t="str">
        <f>HYPERLINK("https%3A%2F%2Fwww.webofscience.com%2Fwos%2Fwoscc%2Ffull-record%2FWOS:000310738400008","View Full Record in Web of Science")</f>
        <v>View Full Record in Web of Science</v>
      </c>
    </row>
    <row r="690" spans="1:72" x14ac:dyDescent="0.15">
      <c r="A690" t="s">
        <v>72</v>
      </c>
      <c r="B690" t="s">
        <v>12991</v>
      </c>
      <c r="C690" t="s">
        <v>74</v>
      </c>
      <c r="D690" t="s">
        <v>74</v>
      </c>
      <c r="E690" t="s">
        <v>74</v>
      </c>
      <c r="F690" t="s">
        <v>12992</v>
      </c>
      <c r="G690" t="s">
        <v>74</v>
      </c>
      <c r="H690" t="s">
        <v>74</v>
      </c>
      <c r="I690" t="s">
        <v>12993</v>
      </c>
      <c r="J690" t="s">
        <v>12994</v>
      </c>
      <c r="K690" t="s">
        <v>74</v>
      </c>
      <c r="L690" t="s">
        <v>74</v>
      </c>
      <c r="M690" t="s">
        <v>78</v>
      </c>
      <c r="N690" t="s">
        <v>79</v>
      </c>
      <c r="O690" t="s">
        <v>74</v>
      </c>
      <c r="P690" t="s">
        <v>74</v>
      </c>
      <c r="Q690" t="s">
        <v>74</v>
      </c>
      <c r="R690" t="s">
        <v>74</v>
      </c>
      <c r="S690" t="s">
        <v>74</v>
      </c>
      <c r="T690" t="s">
        <v>74</v>
      </c>
      <c r="U690" t="s">
        <v>12995</v>
      </c>
      <c r="V690" t="s">
        <v>12996</v>
      </c>
      <c r="W690" t="s">
        <v>12997</v>
      </c>
      <c r="X690" t="s">
        <v>12998</v>
      </c>
      <c r="Y690" t="s">
        <v>12999</v>
      </c>
      <c r="Z690" t="s">
        <v>13000</v>
      </c>
      <c r="AA690" t="s">
        <v>13001</v>
      </c>
      <c r="AB690" t="s">
        <v>13002</v>
      </c>
      <c r="AC690" t="s">
        <v>13003</v>
      </c>
      <c r="AD690" t="s">
        <v>13004</v>
      </c>
      <c r="AE690" t="s">
        <v>13005</v>
      </c>
      <c r="AF690" t="s">
        <v>74</v>
      </c>
      <c r="AG690">
        <v>85</v>
      </c>
      <c r="AH690">
        <v>3</v>
      </c>
      <c r="AI690">
        <v>3</v>
      </c>
      <c r="AJ690">
        <v>0</v>
      </c>
      <c r="AK690">
        <v>31</v>
      </c>
      <c r="AL690" t="s">
        <v>1429</v>
      </c>
      <c r="AM690" t="s">
        <v>1430</v>
      </c>
      <c r="AN690" t="s">
        <v>3557</v>
      </c>
      <c r="AO690" t="s">
        <v>13006</v>
      </c>
      <c r="AP690" t="s">
        <v>13007</v>
      </c>
      <c r="AQ690" t="s">
        <v>74</v>
      </c>
      <c r="AR690" t="s">
        <v>13008</v>
      </c>
      <c r="AS690" t="s">
        <v>13009</v>
      </c>
      <c r="AT690" t="s">
        <v>12897</v>
      </c>
      <c r="AU690">
        <v>2012</v>
      </c>
      <c r="AV690">
        <v>4</v>
      </c>
      <c r="AW690">
        <v>3</v>
      </c>
      <c r="AX690" t="s">
        <v>74</v>
      </c>
      <c r="AY690" t="s">
        <v>74</v>
      </c>
      <c r="AZ690" t="s">
        <v>74</v>
      </c>
      <c r="BA690" t="s">
        <v>74</v>
      </c>
      <c r="BB690">
        <v>212</v>
      </c>
      <c r="BC690">
        <v>229</v>
      </c>
      <c r="BD690" t="s">
        <v>74</v>
      </c>
      <c r="BE690" t="s">
        <v>13010</v>
      </c>
      <c r="BF690" t="str">
        <f>HYPERLINK("http://dx.doi.org/10.1175/WCAS-D-11-00030.1","http://dx.doi.org/10.1175/WCAS-D-11-00030.1")</f>
        <v>http://dx.doi.org/10.1175/WCAS-D-11-00030.1</v>
      </c>
      <c r="BG690" t="s">
        <v>74</v>
      </c>
      <c r="BH690" t="s">
        <v>74</v>
      </c>
      <c r="BI690">
        <v>18</v>
      </c>
      <c r="BJ690" t="s">
        <v>13011</v>
      </c>
      <c r="BK690" t="s">
        <v>2843</v>
      </c>
      <c r="BL690" t="s">
        <v>2844</v>
      </c>
      <c r="BM690" t="s">
        <v>13012</v>
      </c>
      <c r="BN690" t="s">
        <v>74</v>
      </c>
      <c r="BO690" t="s">
        <v>464</v>
      </c>
      <c r="BP690" t="s">
        <v>74</v>
      </c>
      <c r="BQ690" t="s">
        <v>74</v>
      </c>
      <c r="BR690" t="s">
        <v>101</v>
      </c>
      <c r="BS690" t="s">
        <v>13013</v>
      </c>
      <c r="BT690" t="str">
        <f>HYPERLINK("https%3A%2F%2Fwww.webofscience.com%2Fwos%2Fwoscc%2Ffull-record%2FWOS:000309629800006","View Full Record in Web of Science")</f>
        <v>View Full Record in Web of Science</v>
      </c>
    </row>
    <row r="691" spans="1:72" x14ac:dyDescent="0.15">
      <c r="A691" t="s">
        <v>72</v>
      </c>
      <c r="B691" t="s">
        <v>13014</v>
      </c>
      <c r="C691" t="s">
        <v>74</v>
      </c>
      <c r="D691" t="s">
        <v>74</v>
      </c>
      <c r="E691" t="s">
        <v>74</v>
      </c>
      <c r="F691" t="s">
        <v>13015</v>
      </c>
      <c r="G691" t="s">
        <v>74</v>
      </c>
      <c r="H691" t="s">
        <v>74</v>
      </c>
      <c r="I691" t="s">
        <v>13016</v>
      </c>
      <c r="J691" t="s">
        <v>13017</v>
      </c>
      <c r="K691" t="s">
        <v>74</v>
      </c>
      <c r="L691" t="s">
        <v>74</v>
      </c>
      <c r="M691" t="s">
        <v>78</v>
      </c>
      <c r="N691" t="s">
        <v>79</v>
      </c>
      <c r="O691" t="s">
        <v>74</v>
      </c>
      <c r="P691" t="s">
        <v>74</v>
      </c>
      <c r="Q691" t="s">
        <v>74</v>
      </c>
      <c r="R691" t="s">
        <v>74</v>
      </c>
      <c r="S691" t="s">
        <v>74</v>
      </c>
      <c r="T691" t="s">
        <v>13018</v>
      </c>
      <c r="U691" t="s">
        <v>13019</v>
      </c>
      <c r="V691" t="s">
        <v>13020</v>
      </c>
      <c r="W691" t="s">
        <v>13021</v>
      </c>
      <c r="X691" t="s">
        <v>13022</v>
      </c>
      <c r="Y691" t="s">
        <v>13023</v>
      </c>
      <c r="Z691" t="s">
        <v>13024</v>
      </c>
      <c r="AA691" t="s">
        <v>74</v>
      </c>
      <c r="AB691" t="s">
        <v>13025</v>
      </c>
      <c r="AC691" t="s">
        <v>13026</v>
      </c>
      <c r="AD691" t="s">
        <v>13027</v>
      </c>
      <c r="AE691" t="s">
        <v>13028</v>
      </c>
      <c r="AF691" t="s">
        <v>74</v>
      </c>
      <c r="AG691">
        <v>43</v>
      </c>
      <c r="AH691">
        <v>20</v>
      </c>
      <c r="AI691">
        <v>27</v>
      </c>
      <c r="AJ691">
        <v>0</v>
      </c>
      <c r="AK691">
        <v>21</v>
      </c>
      <c r="AL691" t="s">
        <v>898</v>
      </c>
      <c r="AM691" t="s">
        <v>899</v>
      </c>
      <c r="AN691" t="s">
        <v>900</v>
      </c>
      <c r="AO691" t="s">
        <v>13029</v>
      </c>
      <c r="AP691" t="s">
        <v>13030</v>
      </c>
      <c r="AQ691" t="s">
        <v>74</v>
      </c>
      <c r="AR691" t="s">
        <v>13031</v>
      </c>
      <c r="AS691" t="s">
        <v>13032</v>
      </c>
      <c r="AT691" t="s">
        <v>12897</v>
      </c>
      <c r="AU691">
        <v>2012</v>
      </c>
      <c r="AV691">
        <v>23</v>
      </c>
      <c r="AW691">
        <v>3</v>
      </c>
      <c r="AX691" t="s">
        <v>74</v>
      </c>
      <c r="AY691" t="s">
        <v>74</v>
      </c>
      <c r="AZ691" t="s">
        <v>74</v>
      </c>
      <c r="BA691" t="s">
        <v>74</v>
      </c>
      <c r="BB691">
        <v>178</v>
      </c>
      <c r="BC691">
        <v>186</v>
      </c>
      <c r="BD691" t="s">
        <v>74</v>
      </c>
      <c r="BE691" t="s">
        <v>13033</v>
      </c>
      <c r="BF691" t="str">
        <f>HYPERLINK("http://dx.doi.org/10.1002/ppp.1741","http://dx.doi.org/10.1002/ppp.1741")</f>
        <v>http://dx.doi.org/10.1002/ppp.1741</v>
      </c>
      <c r="BG691" t="s">
        <v>74</v>
      </c>
      <c r="BH691" t="s">
        <v>74</v>
      </c>
      <c r="BI691">
        <v>9</v>
      </c>
      <c r="BJ691" t="s">
        <v>13034</v>
      </c>
      <c r="BK691" t="s">
        <v>98</v>
      </c>
      <c r="BL691" t="s">
        <v>99</v>
      </c>
      <c r="BM691" t="s">
        <v>13035</v>
      </c>
      <c r="BN691" t="s">
        <v>74</v>
      </c>
      <c r="BO691" t="s">
        <v>74</v>
      </c>
      <c r="BP691" t="s">
        <v>74</v>
      </c>
      <c r="BQ691" t="s">
        <v>74</v>
      </c>
      <c r="BR691" t="s">
        <v>101</v>
      </c>
      <c r="BS691" t="s">
        <v>13036</v>
      </c>
      <c r="BT691" t="str">
        <f>HYPERLINK("https%3A%2F%2Fwww.webofscience.com%2Fwos%2Fwoscc%2Ffull-record%2FWOS:000308396400002","View Full Record in Web of Science")</f>
        <v>View Full Record in Web of Science</v>
      </c>
    </row>
    <row r="692" spans="1:72" x14ac:dyDescent="0.15">
      <c r="A692" t="s">
        <v>72</v>
      </c>
      <c r="B692" t="s">
        <v>13037</v>
      </c>
      <c r="C692" t="s">
        <v>74</v>
      </c>
      <c r="D692" t="s">
        <v>74</v>
      </c>
      <c r="E692" t="s">
        <v>74</v>
      </c>
      <c r="F692" t="s">
        <v>13038</v>
      </c>
      <c r="G692" t="s">
        <v>74</v>
      </c>
      <c r="H692" t="s">
        <v>74</v>
      </c>
      <c r="I692" t="s">
        <v>13039</v>
      </c>
      <c r="J692" t="s">
        <v>1121</v>
      </c>
      <c r="K692" t="s">
        <v>74</v>
      </c>
      <c r="L692" t="s">
        <v>74</v>
      </c>
      <c r="M692" t="s">
        <v>78</v>
      </c>
      <c r="N692" t="s">
        <v>79</v>
      </c>
      <c r="O692" t="s">
        <v>74</v>
      </c>
      <c r="P692" t="s">
        <v>74</v>
      </c>
      <c r="Q692" t="s">
        <v>74</v>
      </c>
      <c r="R692" t="s">
        <v>74</v>
      </c>
      <c r="S692" t="s">
        <v>74</v>
      </c>
      <c r="T692" t="s">
        <v>74</v>
      </c>
      <c r="U692" t="s">
        <v>13040</v>
      </c>
      <c r="V692" t="s">
        <v>13041</v>
      </c>
      <c r="W692" t="s">
        <v>13042</v>
      </c>
      <c r="X692" t="s">
        <v>1389</v>
      </c>
      <c r="Y692" t="s">
        <v>13043</v>
      </c>
      <c r="Z692" t="s">
        <v>13044</v>
      </c>
      <c r="AA692" t="s">
        <v>74</v>
      </c>
      <c r="AB692" t="s">
        <v>74</v>
      </c>
      <c r="AC692" t="s">
        <v>74</v>
      </c>
      <c r="AD692" t="s">
        <v>74</v>
      </c>
      <c r="AE692" t="s">
        <v>74</v>
      </c>
      <c r="AF692" t="s">
        <v>74</v>
      </c>
      <c r="AG692">
        <v>26</v>
      </c>
      <c r="AH692">
        <v>1</v>
      </c>
      <c r="AI692">
        <v>1</v>
      </c>
      <c r="AJ692">
        <v>0</v>
      </c>
      <c r="AK692">
        <v>2</v>
      </c>
      <c r="AL692" t="s">
        <v>1130</v>
      </c>
      <c r="AM692" t="s">
        <v>371</v>
      </c>
      <c r="AN692" t="s">
        <v>1131</v>
      </c>
      <c r="AO692" t="s">
        <v>1132</v>
      </c>
      <c r="AP692" t="s">
        <v>7134</v>
      </c>
      <c r="AQ692" t="s">
        <v>74</v>
      </c>
      <c r="AR692" t="s">
        <v>1133</v>
      </c>
      <c r="AS692" t="s">
        <v>1134</v>
      </c>
      <c r="AT692" t="s">
        <v>12897</v>
      </c>
      <c r="AU692">
        <v>2012</v>
      </c>
      <c r="AV692">
        <v>52</v>
      </c>
      <c r="AW692">
        <v>4</v>
      </c>
      <c r="AX692" t="s">
        <v>74</v>
      </c>
      <c r="AY692" t="s">
        <v>74</v>
      </c>
      <c r="AZ692" t="s">
        <v>74</v>
      </c>
      <c r="BA692" t="s">
        <v>74</v>
      </c>
      <c r="BB692">
        <v>467</v>
      </c>
      <c r="BC692">
        <v>477</v>
      </c>
      <c r="BD692" t="s">
        <v>74</v>
      </c>
      <c r="BE692" t="s">
        <v>13045</v>
      </c>
      <c r="BF692" t="str">
        <f>HYPERLINK("http://dx.doi.org/10.1134/S0001437012040066","http://dx.doi.org/10.1134/S0001437012040066")</f>
        <v>http://dx.doi.org/10.1134/S0001437012040066</v>
      </c>
      <c r="BG692" t="s">
        <v>74</v>
      </c>
      <c r="BH692" t="s">
        <v>74</v>
      </c>
      <c r="BI692">
        <v>11</v>
      </c>
      <c r="BJ692" t="s">
        <v>941</v>
      </c>
      <c r="BK692" t="s">
        <v>98</v>
      </c>
      <c r="BL692" t="s">
        <v>941</v>
      </c>
      <c r="BM692" t="s">
        <v>13046</v>
      </c>
      <c r="BN692" t="s">
        <v>74</v>
      </c>
      <c r="BO692" t="s">
        <v>74</v>
      </c>
      <c r="BP692" t="s">
        <v>74</v>
      </c>
      <c r="BQ692" t="s">
        <v>74</v>
      </c>
      <c r="BR692" t="s">
        <v>101</v>
      </c>
      <c r="BS692" t="s">
        <v>13047</v>
      </c>
      <c r="BT692" t="str">
        <f>HYPERLINK("https%3A%2F%2Fwww.webofscience.com%2Fwos%2Fwoscc%2Ffull-record%2FWOS:000308043200003","View Full Record in Web of Science")</f>
        <v>View Full Record in Web of Science</v>
      </c>
    </row>
    <row r="693" spans="1:72" x14ac:dyDescent="0.15">
      <c r="A693" t="s">
        <v>72</v>
      </c>
      <c r="B693" t="s">
        <v>13048</v>
      </c>
      <c r="C693" t="s">
        <v>74</v>
      </c>
      <c r="D693" t="s">
        <v>74</v>
      </c>
      <c r="E693" t="s">
        <v>74</v>
      </c>
      <c r="F693" t="s">
        <v>13049</v>
      </c>
      <c r="G693" t="s">
        <v>74</v>
      </c>
      <c r="H693" t="s">
        <v>74</v>
      </c>
      <c r="I693" t="s">
        <v>13050</v>
      </c>
      <c r="J693" t="s">
        <v>1121</v>
      </c>
      <c r="K693" t="s">
        <v>74</v>
      </c>
      <c r="L693" t="s">
        <v>74</v>
      </c>
      <c r="M693" t="s">
        <v>78</v>
      </c>
      <c r="N693" t="s">
        <v>79</v>
      </c>
      <c r="O693" t="s">
        <v>74</v>
      </c>
      <c r="P693" t="s">
        <v>74</v>
      </c>
      <c r="Q693" t="s">
        <v>74</v>
      </c>
      <c r="R693" t="s">
        <v>74</v>
      </c>
      <c r="S693" t="s">
        <v>74</v>
      </c>
      <c r="T693" t="s">
        <v>74</v>
      </c>
      <c r="U693" t="s">
        <v>13051</v>
      </c>
      <c r="V693" t="s">
        <v>13052</v>
      </c>
      <c r="W693" t="s">
        <v>13053</v>
      </c>
      <c r="X693" t="s">
        <v>13054</v>
      </c>
      <c r="Y693" t="s">
        <v>13055</v>
      </c>
      <c r="Z693" t="s">
        <v>13056</v>
      </c>
      <c r="AA693" t="s">
        <v>13057</v>
      </c>
      <c r="AB693" t="s">
        <v>13058</v>
      </c>
      <c r="AC693" t="s">
        <v>13059</v>
      </c>
      <c r="AD693" t="s">
        <v>4269</v>
      </c>
      <c r="AE693" t="s">
        <v>13060</v>
      </c>
      <c r="AF693" t="s">
        <v>74</v>
      </c>
      <c r="AG693">
        <v>28</v>
      </c>
      <c r="AH693">
        <v>5</v>
      </c>
      <c r="AI693">
        <v>5</v>
      </c>
      <c r="AJ693">
        <v>0</v>
      </c>
      <c r="AK693">
        <v>9</v>
      </c>
      <c r="AL693" t="s">
        <v>1130</v>
      </c>
      <c r="AM693" t="s">
        <v>371</v>
      </c>
      <c r="AN693" t="s">
        <v>1131</v>
      </c>
      <c r="AO693" t="s">
        <v>1132</v>
      </c>
      <c r="AP693" t="s">
        <v>7134</v>
      </c>
      <c r="AQ693" t="s">
        <v>74</v>
      </c>
      <c r="AR693" t="s">
        <v>1133</v>
      </c>
      <c r="AS693" t="s">
        <v>1134</v>
      </c>
      <c r="AT693" t="s">
        <v>12897</v>
      </c>
      <c r="AU693">
        <v>2012</v>
      </c>
      <c r="AV693">
        <v>52</v>
      </c>
      <c r="AW693">
        <v>4</v>
      </c>
      <c r="AX693" t="s">
        <v>74</v>
      </c>
      <c r="AY693" t="s">
        <v>74</v>
      </c>
      <c r="AZ693" t="s">
        <v>74</v>
      </c>
      <c r="BA693" t="s">
        <v>74</v>
      </c>
      <c r="BB693">
        <v>540</v>
      </c>
      <c r="BC693">
        <v>544</v>
      </c>
      <c r="BD693" t="s">
        <v>74</v>
      </c>
      <c r="BE693" t="s">
        <v>13061</v>
      </c>
      <c r="BF693" t="str">
        <f>HYPERLINK("http://dx.doi.org/10.1134/S0001437012040091","http://dx.doi.org/10.1134/S0001437012040091")</f>
        <v>http://dx.doi.org/10.1134/S0001437012040091</v>
      </c>
      <c r="BG693" t="s">
        <v>74</v>
      </c>
      <c r="BH693" t="s">
        <v>74</v>
      </c>
      <c r="BI693">
        <v>5</v>
      </c>
      <c r="BJ693" t="s">
        <v>941</v>
      </c>
      <c r="BK693" t="s">
        <v>98</v>
      </c>
      <c r="BL693" t="s">
        <v>941</v>
      </c>
      <c r="BM693" t="s">
        <v>13046</v>
      </c>
      <c r="BN693" t="s">
        <v>74</v>
      </c>
      <c r="BO693" t="s">
        <v>74</v>
      </c>
      <c r="BP693" t="s">
        <v>74</v>
      </c>
      <c r="BQ693" t="s">
        <v>74</v>
      </c>
      <c r="BR693" t="s">
        <v>101</v>
      </c>
      <c r="BS693" t="s">
        <v>13062</v>
      </c>
      <c r="BT693" t="str">
        <f>HYPERLINK("https%3A%2F%2Fwww.webofscience.com%2Fwos%2Fwoscc%2Ffull-record%2FWOS:000308043200010","View Full Record in Web of Science")</f>
        <v>View Full Record in Web of Science</v>
      </c>
    </row>
    <row r="694" spans="1:72" x14ac:dyDescent="0.15">
      <c r="A694" t="s">
        <v>72</v>
      </c>
      <c r="B694" t="s">
        <v>13063</v>
      </c>
      <c r="C694" t="s">
        <v>74</v>
      </c>
      <c r="D694" t="s">
        <v>74</v>
      </c>
      <c r="E694" t="s">
        <v>74</v>
      </c>
      <c r="F694" t="s">
        <v>13064</v>
      </c>
      <c r="G694" t="s">
        <v>74</v>
      </c>
      <c r="H694" t="s">
        <v>74</v>
      </c>
      <c r="I694" t="s">
        <v>13065</v>
      </c>
      <c r="J694" t="s">
        <v>1121</v>
      </c>
      <c r="K694" t="s">
        <v>74</v>
      </c>
      <c r="L694" t="s">
        <v>74</v>
      </c>
      <c r="M694" t="s">
        <v>78</v>
      </c>
      <c r="N694" t="s">
        <v>79</v>
      </c>
      <c r="O694" t="s">
        <v>74</v>
      </c>
      <c r="P694" t="s">
        <v>74</v>
      </c>
      <c r="Q694" t="s">
        <v>74</v>
      </c>
      <c r="R694" t="s">
        <v>74</v>
      </c>
      <c r="S694" t="s">
        <v>74</v>
      </c>
      <c r="T694" t="s">
        <v>74</v>
      </c>
      <c r="U694" t="s">
        <v>13066</v>
      </c>
      <c r="V694" t="s">
        <v>13067</v>
      </c>
      <c r="W694" t="s">
        <v>13068</v>
      </c>
      <c r="X694" t="s">
        <v>13069</v>
      </c>
      <c r="Y694" t="s">
        <v>13070</v>
      </c>
      <c r="Z694" t="s">
        <v>13071</v>
      </c>
      <c r="AA694" t="s">
        <v>13072</v>
      </c>
      <c r="AB694" t="s">
        <v>74</v>
      </c>
      <c r="AC694" t="s">
        <v>74</v>
      </c>
      <c r="AD694" t="s">
        <v>74</v>
      </c>
      <c r="AE694" t="s">
        <v>74</v>
      </c>
      <c r="AF694" t="s">
        <v>74</v>
      </c>
      <c r="AG694">
        <v>8</v>
      </c>
      <c r="AH694">
        <v>0</v>
      </c>
      <c r="AI694">
        <v>1</v>
      </c>
      <c r="AJ694">
        <v>0</v>
      </c>
      <c r="AK694">
        <v>33</v>
      </c>
      <c r="AL694" t="s">
        <v>1130</v>
      </c>
      <c r="AM694" t="s">
        <v>371</v>
      </c>
      <c r="AN694" t="s">
        <v>1131</v>
      </c>
      <c r="AO694" t="s">
        <v>1132</v>
      </c>
      <c r="AP694" t="s">
        <v>74</v>
      </c>
      <c r="AQ694" t="s">
        <v>74</v>
      </c>
      <c r="AR694" t="s">
        <v>1133</v>
      </c>
      <c r="AS694" t="s">
        <v>1134</v>
      </c>
      <c r="AT694" t="s">
        <v>12897</v>
      </c>
      <c r="AU694">
        <v>2012</v>
      </c>
      <c r="AV694">
        <v>52</v>
      </c>
      <c r="AW694">
        <v>4</v>
      </c>
      <c r="AX694" t="s">
        <v>74</v>
      </c>
      <c r="AY694" t="s">
        <v>74</v>
      </c>
      <c r="AZ694" t="s">
        <v>74</v>
      </c>
      <c r="BA694" t="s">
        <v>74</v>
      </c>
      <c r="BB694">
        <v>561</v>
      </c>
      <c r="BC694">
        <v>565</v>
      </c>
      <c r="BD694" t="s">
        <v>74</v>
      </c>
      <c r="BE694" t="s">
        <v>13073</v>
      </c>
      <c r="BF694" t="str">
        <f>HYPERLINK("http://dx.doi.org/10.1134/S0001437012040078","http://dx.doi.org/10.1134/S0001437012040078")</f>
        <v>http://dx.doi.org/10.1134/S0001437012040078</v>
      </c>
      <c r="BG694" t="s">
        <v>74</v>
      </c>
      <c r="BH694" t="s">
        <v>74</v>
      </c>
      <c r="BI694">
        <v>5</v>
      </c>
      <c r="BJ694" t="s">
        <v>941</v>
      </c>
      <c r="BK694" t="s">
        <v>98</v>
      </c>
      <c r="BL694" t="s">
        <v>941</v>
      </c>
      <c r="BM694" t="s">
        <v>13046</v>
      </c>
      <c r="BN694" t="s">
        <v>74</v>
      </c>
      <c r="BO694" t="s">
        <v>74</v>
      </c>
      <c r="BP694" t="s">
        <v>74</v>
      </c>
      <c r="BQ694" t="s">
        <v>74</v>
      </c>
      <c r="BR694" t="s">
        <v>101</v>
      </c>
      <c r="BS694" t="s">
        <v>13074</v>
      </c>
      <c r="BT694" t="str">
        <f>HYPERLINK("https%3A%2F%2Fwww.webofscience.com%2Fwos%2Fwoscc%2Ffull-record%2FWOS:000308043200013","View Full Record in Web of Science")</f>
        <v>View Full Record in Web of Science</v>
      </c>
    </row>
    <row r="695" spans="1:72" x14ac:dyDescent="0.15">
      <c r="A695" t="s">
        <v>72</v>
      </c>
      <c r="B695" t="s">
        <v>13075</v>
      </c>
      <c r="C695" t="s">
        <v>74</v>
      </c>
      <c r="D695" t="s">
        <v>74</v>
      </c>
      <c r="E695" t="s">
        <v>74</v>
      </c>
      <c r="F695" t="s">
        <v>13076</v>
      </c>
      <c r="G695" t="s">
        <v>74</v>
      </c>
      <c r="H695" t="s">
        <v>74</v>
      </c>
      <c r="I695" t="s">
        <v>13077</v>
      </c>
      <c r="J695" t="s">
        <v>13078</v>
      </c>
      <c r="K695" t="s">
        <v>74</v>
      </c>
      <c r="L695" t="s">
        <v>74</v>
      </c>
      <c r="M695" t="s">
        <v>78</v>
      </c>
      <c r="N695" t="s">
        <v>79</v>
      </c>
      <c r="O695" t="s">
        <v>74</v>
      </c>
      <c r="P695" t="s">
        <v>74</v>
      </c>
      <c r="Q695" t="s">
        <v>74</v>
      </c>
      <c r="R695" t="s">
        <v>74</v>
      </c>
      <c r="S695" t="s">
        <v>74</v>
      </c>
      <c r="T695" t="s">
        <v>13079</v>
      </c>
      <c r="U695" t="s">
        <v>13080</v>
      </c>
      <c r="V695" t="s">
        <v>13081</v>
      </c>
      <c r="W695" t="s">
        <v>13082</v>
      </c>
      <c r="X695" t="s">
        <v>13083</v>
      </c>
      <c r="Y695" t="s">
        <v>13084</v>
      </c>
      <c r="Z695" t="s">
        <v>13085</v>
      </c>
      <c r="AA695" t="s">
        <v>13086</v>
      </c>
      <c r="AB695" t="s">
        <v>13087</v>
      </c>
      <c r="AC695" t="s">
        <v>13088</v>
      </c>
      <c r="AD695" t="s">
        <v>13089</v>
      </c>
      <c r="AE695" t="s">
        <v>13090</v>
      </c>
      <c r="AF695" t="s">
        <v>74</v>
      </c>
      <c r="AG695">
        <v>29</v>
      </c>
      <c r="AH695">
        <v>5</v>
      </c>
      <c r="AI695">
        <v>5</v>
      </c>
      <c r="AJ695">
        <v>1</v>
      </c>
      <c r="AK695">
        <v>17</v>
      </c>
      <c r="AL695" t="s">
        <v>13091</v>
      </c>
      <c r="AM695" t="s">
        <v>12959</v>
      </c>
      <c r="AN695" t="s">
        <v>13092</v>
      </c>
      <c r="AO695" t="s">
        <v>13093</v>
      </c>
      <c r="AP695" t="s">
        <v>74</v>
      </c>
      <c r="AQ695" t="s">
        <v>74</v>
      </c>
      <c r="AR695" t="s">
        <v>13094</v>
      </c>
      <c r="AS695" t="s">
        <v>13095</v>
      </c>
      <c r="AT695" t="s">
        <v>12897</v>
      </c>
      <c r="AU695">
        <v>2012</v>
      </c>
      <c r="AV695">
        <v>23</v>
      </c>
      <c r="AW695">
        <v>7</v>
      </c>
      <c r="AX695" t="s">
        <v>74</v>
      </c>
      <c r="AY695" t="s">
        <v>74</v>
      </c>
      <c r="AZ695" t="s">
        <v>74</v>
      </c>
      <c r="BA695" t="s">
        <v>74</v>
      </c>
      <c r="BB695">
        <v>1388</v>
      </c>
      <c r="BC695" t="s">
        <v>4531</v>
      </c>
      <c r="BD695" t="s">
        <v>74</v>
      </c>
      <c r="BE695" t="s">
        <v>13096</v>
      </c>
      <c r="BF695" t="str">
        <f>HYPERLINK("http://dx.doi.org/10.1590/S0103-50532012000700024","http://dx.doi.org/10.1590/S0103-50532012000700024")</f>
        <v>http://dx.doi.org/10.1590/S0103-50532012000700024</v>
      </c>
      <c r="BG695" t="s">
        <v>74</v>
      </c>
      <c r="BH695" t="s">
        <v>74</v>
      </c>
      <c r="BI695">
        <v>8</v>
      </c>
      <c r="BJ695" t="s">
        <v>5514</v>
      </c>
      <c r="BK695" t="s">
        <v>98</v>
      </c>
      <c r="BL695" t="s">
        <v>801</v>
      </c>
      <c r="BM695" t="s">
        <v>13097</v>
      </c>
      <c r="BN695" t="s">
        <v>74</v>
      </c>
      <c r="BO695" t="s">
        <v>998</v>
      </c>
      <c r="BP695" t="s">
        <v>74</v>
      </c>
      <c r="BQ695" t="s">
        <v>74</v>
      </c>
      <c r="BR695" t="s">
        <v>101</v>
      </c>
      <c r="BS695" t="s">
        <v>13098</v>
      </c>
      <c r="BT695" t="str">
        <f>HYPERLINK("https%3A%2F%2Fwww.webofscience.com%2Fwos%2Fwoscc%2Ffull-record%2FWOS:000307437800024","View Full Record in Web of Science")</f>
        <v>View Full Record in Web of Science</v>
      </c>
    </row>
    <row r="696" spans="1:72" x14ac:dyDescent="0.15">
      <c r="A696" t="s">
        <v>72</v>
      </c>
      <c r="B696" t="s">
        <v>13099</v>
      </c>
      <c r="C696" t="s">
        <v>74</v>
      </c>
      <c r="D696" t="s">
        <v>74</v>
      </c>
      <c r="E696" t="s">
        <v>74</v>
      </c>
      <c r="F696" t="s">
        <v>13100</v>
      </c>
      <c r="G696" t="s">
        <v>74</v>
      </c>
      <c r="H696" t="s">
        <v>74</v>
      </c>
      <c r="I696" t="s">
        <v>13101</v>
      </c>
      <c r="J696" t="s">
        <v>886</v>
      </c>
      <c r="K696" t="s">
        <v>74</v>
      </c>
      <c r="L696" t="s">
        <v>74</v>
      </c>
      <c r="M696" t="s">
        <v>78</v>
      </c>
      <c r="N696" t="s">
        <v>52</v>
      </c>
      <c r="O696" t="s">
        <v>13102</v>
      </c>
      <c r="P696" t="s">
        <v>13103</v>
      </c>
      <c r="Q696" t="s">
        <v>13104</v>
      </c>
      <c r="R696" t="s">
        <v>74</v>
      </c>
      <c r="S696" t="s">
        <v>74</v>
      </c>
      <c r="T696" t="s">
        <v>74</v>
      </c>
      <c r="U696" t="s">
        <v>13105</v>
      </c>
      <c r="V696" t="s">
        <v>74</v>
      </c>
      <c r="W696" t="s">
        <v>13106</v>
      </c>
      <c r="X696" t="s">
        <v>13107</v>
      </c>
      <c r="Y696" t="s">
        <v>74</v>
      </c>
      <c r="Z696" t="s">
        <v>13108</v>
      </c>
      <c r="AA696" t="s">
        <v>13109</v>
      </c>
      <c r="AB696" t="s">
        <v>74</v>
      </c>
      <c r="AC696" t="s">
        <v>13110</v>
      </c>
      <c r="AD696" t="s">
        <v>13111</v>
      </c>
      <c r="AE696" t="s">
        <v>74</v>
      </c>
      <c r="AF696" t="s">
        <v>74</v>
      </c>
      <c r="AG696">
        <v>6</v>
      </c>
      <c r="AH696">
        <v>0</v>
      </c>
      <c r="AI696">
        <v>0</v>
      </c>
      <c r="AJ696">
        <v>0</v>
      </c>
      <c r="AK696">
        <v>4</v>
      </c>
      <c r="AL696" t="s">
        <v>916</v>
      </c>
      <c r="AM696" t="s">
        <v>899</v>
      </c>
      <c r="AN696" t="s">
        <v>900</v>
      </c>
      <c r="AO696" t="s">
        <v>901</v>
      </c>
      <c r="AP696" t="s">
        <v>74</v>
      </c>
      <c r="AQ696" t="s">
        <v>74</v>
      </c>
      <c r="AR696" t="s">
        <v>903</v>
      </c>
      <c r="AS696" t="s">
        <v>904</v>
      </c>
      <c r="AT696" t="s">
        <v>12897</v>
      </c>
      <c r="AU696">
        <v>2012</v>
      </c>
      <c r="AV696">
        <v>47</v>
      </c>
      <c r="AW696" t="s">
        <v>74</v>
      </c>
      <c r="AX696" t="s">
        <v>74</v>
      </c>
      <c r="AY696">
        <v>1</v>
      </c>
      <c r="AZ696" t="s">
        <v>1019</v>
      </c>
      <c r="BA696" t="s">
        <v>74</v>
      </c>
      <c r="BB696" t="s">
        <v>13112</v>
      </c>
      <c r="BC696" t="s">
        <v>13112</v>
      </c>
      <c r="BD696" t="s">
        <v>74</v>
      </c>
      <c r="BE696" t="s">
        <v>74</v>
      </c>
      <c r="BF696" t="s">
        <v>74</v>
      </c>
      <c r="BG696" t="s">
        <v>74</v>
      </c>
      <c r="BH696" t="s">
        <v>74</v>
      </c>
      <c r="BI696">
        <v>1</v>
      </c>
      <c r="BJ696" t="s">
        <v>241</v>
      </c>
      <c r="BK696" t="s">
        <v>491</v>
      </c>
      <c r="BL696" t="s">
        <v>241</v>
      </c>
      <c r="BM696" t="s">
        <v>13113</v>
      </c>
      <c r="BN696" t="s">
        <v>74</v>
      </c>
      <c r="BO696" t="s">
        <v>74</v>
      </c>
      <c r="BP696" t="s">
        <v>74</v>
      </c>
      <c r="BQ696" t="s">
        <v>74</v>
      </c>
      <c r="BR696" t="s">
        <v>101</v>
      </c>
      <c r="BS696" t="s">
        <v>13114</v>
      </c>
      <c r="BT696" t="str">
        <f>HYPERLINK("https%3A%2F%2Fwww.webofscience.com%2Fwos%2Fwoscc%2Ffull-record%2FWOS:000307389700017","View Full Record in Web of Science")</f>
        <v>View Full Record in Web of Science</v>
      </c>
    </row>
    <row r="697" spans="1:72" x14ac:dyDescent="0.15">
      <c r="A697" t="s">
        <v>72</v>
      </c>
      <c r="B697" t="s">
        <v>13115</v>
      </c>
      <c r="C697" t="s">
        <v>74</v>
      </c>
      <c r="D697" t="s">
        <v>74</v>
      </c>
      <c r="E697" t="s">
        <v>74</v>
      </c>
      <c r="F697" t="s">
        <v>13116</v>
      </c>
      <c r="G697" t="s">
        <v>74</v>
      </c>
      <c r="H697" t="s">
        <v>74</v>
      </c>
      <c r="I697" t="s">
        <v>13117</v>
      </c>
      <c r="J697" t="s">
        <v>886</v>
      </c>
      <c r="K697" t="s">
        <v>74</v>
      </c>
      <c r="L697" t="s">
        <v>74</v>
      </c>
      <c r="M697" t="s">
        <v>78</v>
      </c>
      <c r="N697" t="s">
        <v>52</v>
      </c>
      <c r="O697" t="s">
        <v>13102</v>
      </c>
      <c r="P697" t="s">
        <v>13103</v>
      </c>
      <c r="Q697" t="s">
        <v>13104</v>
      </c>
      <c r="R697" t="s">
        <v>74</v>
      </c>
      <c r="S697" t="s">
        <v>74</v>
      </c>
      <c r="T697" t="s">
        <v>74</v>
      </c>
      <c r="U697" t="s">
        <v>74</v>
      </c>
      <c r="V697" t="s">
        <v>74</v>
      </c>
      <c r="W697" t="s">
        <v>13118</v>
      </c>
      <c r="X697" t="s">
        <v>13119</v>
      </c>
      <c r="Y697" t="s">
        <v>74</v>
      </c>
      <c r="Z697" t="s">
        <v>13120</v>
      </c>
      <c r="AA697" t="s">
        <v>74</v>
      </c>
      <c r="AB697" t="s">
        <v>74</v>
      </c>
      <c r="AC697" t="s">
        <v>74</v>
      </c>
      <c r="AD697" t="s">
        <v>74</v>
      </c>
      <c r="AE697" t="s">
        <v>74</v>
      </c>
      <c r="AF697" t="s">
        <v>74</v>
      </c>
      <c r="AG697">
        <v>4</v>
      </c>
      <c r="AH697">
        <v>0</v>
      </c>
      <c r="AI697">
        <v>0</v>
      </c>
      <c r="AJ697">
        <v>0</v>
      </c>
      <c r="AK697">
        <v>0</v>
      </c>
      <c r="AL697" t="s">
        <v>898</v>
      </c>
      <c r="AM697" t="s">
        <v>899</v>
      </c>
      <c r="AN697" t="s">
        <v>900</v>
      </c>
      <c r="AO697" t="s">
        <v>901</v>
      </c>
      <c r="AP697" t="s">
        <v>902</v>
      </c>
      <c r="AQ697" t="s">
        <v>74</v>
      </c>
      <c r="AR697" t="s">
        <v>903</v>
      </c>
      <c r="AS697" t="s">
        <v>904</v>
      </c>
      <c r="AT697" t="s">
        <v>12897</v>
      </c>
      <c r="AU697">
        <v>2012</v>
      </c>
      <c r="AV697">
        <v>47</v>
      </c>
      <c r="AW697" t="s">
        <v>74</v>
      </c>
      <c r="AX697" t="s">
        <v>74</v>
      </c>
      <c r="AY697">
        <v>1</v>
      </c>
      <c r="AZ697" t="s">
        <v>1019</v>
      </c>
      <c r="BA697" t="s">
        <v>74</v>
      </c>
      <c r="BB697" t="s">
        <v>13121</v>
      </c>
      <c r="BC697" t="s">
        <v>13121</v>
      </c>
      <c r="BD697" t="s">
        <v>74</v>
      </c>
      <c r="BE697" t="s">
        <v>74</v>
      </c>
      <c r="BF697" t="s">
        <v>74</v>
      </c>
      <c r="BG697" t="s">
        <v>74</v>
      </c>
      <c r="BH697" t="s">
        <v>74</v>
      </c>
      <c r="BI697">
        <v>1</v>
      </c>
      <c r="BJ697" t="s">
        <v>241</v>
      </c>
      <c r="BK697" t="s">
        <v>491</v>
      </c>
      <c r="BL697" t="s">
        <v>241</v>
      </c>
      <c r="BM697" t="s">
        <v>13113</v>
      </c>
      <c r="BN697" t="s">
        <v>74</v>
      </c>
      <c r="BO697" t="s">
        <v>74</v>
      </c>
      <c r="BP697" t="s">
        <v>74</v>
      </c>
      <c r="BQ697" t="s">
        <v>74</v>
      </c>
      <c r="BR697" t="s">
        <v>101</v>
      </c>
      <c r="BS697" t="s">
        <v>13122</v>
      </c>
      <c r="BT697" t="str">
        <f>HYPERLINK("https%3A%2F%2Fwww.webofscience.com%2Fwos%2Fwoscc%2Ffull-record%2FWOS:000307389700044","View Full Record in Web of Science")</f>
        <v>View Full Record in Web of Science</v>
      </c>
    </row>
    <row r="698" spans="1:72" x14ac:dyDescent="0.15">
      <c r="A698" t="s">
        <v>72</v>
      </c>
      <c r="B698" t="s">
        <v>13123</v>
      </c>
      <c r="C698" t="s">
        <v>74</v>
      </c>
      <c r="D698" t="s">
        <v>74</v>
      </c>
      <c r="E698" t="s">
        <v>74</v>
      </c>
      <c r="F698" t="s">
        <v>13124</v>
      </c>
      <c r="G698" t="s">
        <v>74</v>
      </c>
      <c r="H698" t="s">
        <v>74</v>
      </c>
      <c r="I698" t="s">
        <v>13125</v>
      </c>
      <c r="J698" t="s">
        <v>886</v>
      </c>
      <c r="K698" t="s">
        <v>74</v>
      </c>
      <c r="L698" t="s">
        <v>74</v>
      </c>
      <c r="M698" t="s">
        <v>78</v>
      </c>
      <c r="N698" t="s">
        <v>52</v>
      </c>
      <c r="O698" t="s">
        <v>13102</v>
      </c>
      <c r="P698" t="s">
        <v>13103</v>
      </c>
      <c r="Q698" t="s">
        <v>13104</v>
      </c>
      <c r="R698" t="s">
        <v>74</v>
      </c>
      <c r="S698" t="s">
        <v>74</v>
      </c>
      <c r="T698" t="s">
        <v>74</v>
      </c>
      <c r="U698" t="s">
        <v>74</v>
      </c>
      <c r="V698" t="s">
        <v>74</v>
      </c>
      <c r="W698" t="s">
        <v>13126</v>
      </c>
      <c r="X698" t="s">
        <v>13127</v>
      </c>
      <c r="Y698" t="s">
        <v>74</v>
      </c>
      <c r="Z698" t="s">
        <v>13128</v>
      </c>
      <c r="AA698" t="s">
        <v>74</v>
      </c>
      <c r="AB698" t="s">
        <v>74</v>
      </c>
      <c r="AC698" t="s">
        <v>74</v>
      </c>
      <c r="AD698" t="s">
        <v>74</v>
      </c>
      <c r="AE698" t="s">
        <v>74</v>
      </c>
      <c r="AF698" t="s">
        <v>74</v>
      </c>
      <c r="AG698">
        <v>0</v>
      </c>
      <c r="AH698">
        <v>0</v>
      </c>
      <c r="AI698">
        <v>0</v>
      </c>
      <c r="AJ698">
        <v>0</v>
      </c>
      <c r="AK698">
        <v>0</v>
      </c>
      <c r="AL698" t="s">
        <v>916</v>
      </c>
      <c r="AM698" t="s">
        <v>899</v>
      </c>
      <c r="AN698" t="s">
        <v>900</v>
      </c>
      <c r="AO698" t="s">
        <v>901</v>
      </c>
      <c r="AP698" t="s">
        <v>74</v>
      </c>
      <c r="AQ698" t="s">
        <v>74</v>
      </c>
      <c r="AR698" t="s">
        <v>903</v>
      </c>
      <c r="AS698" t="s">
        <v>904</v>
      </c>
      <c r="AT698" t="s">
        <v>12897</v>
      </c>
      <c r="AU698">
        <v>2012</v>
      </c>
      <c r="AV698">
        <v>47</v>
      </c>
      <c r="AW698" t="s">
        <v>74</v>
      </c>
      <c r="AX698" t="s">
        <v>74</v>
      </c>
      <c r="AY698">
        <v>1</v>
      </c>
      <c r="AZ698" t="s">
        <v>1019</v>
      </c>
      <c r="BA698" t="s">
        <v>74</v>
      </c>
      <c r="BB698" t="s">
        <v>13129</v>
      </c>
      <c r="BC698" t="s">
        <v>13129</v>
      </c>
      <c r="BD698" t="s">
        <v>74</v>
      </c>
      <c r="BE698" t="s">
        <v>74</v>
      </c>
      <c r="BF698" t="s">
        <v>74</v>
      </c>
      <c r="BG698" t="s">
        <v>74</v>
      </c>
      <c r="BH698" t="s">
        <v>74</v>
      </c>
      <c r="BI698">
        <v>1</v>
      </c>
      <c r="BJ698" t="s">
        <v>241</v>
      </c>
      <c r="BK698" t="s">
        <v>491</v>
      </c>
      <c r="BL698" t="s">
        <v>241</v>
      </c>
      <c r="BM698" t="s">
        <v>13113</v>
      </c>
      <c r="BN698" t="s">
        <v>74</v>
      </c>
      <c r="BO698" t="s">
        <v>74</v>
      </c>
      <c r="BP698" t="s">
        <v>74</v>
      </c>
      <c r="BQ698" t="s">
        <v>74</v>
      </c>
      <c r="BR698" t="s">
        <v>101</v>
      </c>
      <c r="BS698" t="s">
        <v>13130</v>
      </c>
      <c r="BT698" t="str">
        <f>HYPERLINK("https%3A%2F%2Fwww.webofscience.com%2Fwos%2Fwoscc%2Ffull-record%2FWOS:000307389700374","View Full Record in Web of Science")</f>
        <v>View Full Record in Web of Science</v>
      </c>
    </row>
    <row r="699" spans="1:72" x14ac:dyDescent="0.15">
      <c r="A699" t="s">
        <v>72</v>
      </c>
      <c r="B699" t="s">
        <v>13131</v>
      </c>
      <c r="C699" t="s">
        <v>74</v>
      </c>
      <c r="D699" t="s">
        <v>74</v>
      </c>
      <c r="E699" t="s">
        <v>74</v>
      </c>
      <c r="F699" t="s">
        <v>13132</v>
      </c>
      <c r="G699" t="s">
        <v>74</v>
      </c>
      <c r="H699" t="s">
        <v>74</v>
      </c>
      <c r="I699" t="s">
        <v>13133</v>
      </c>
      <c r="J699" t="s">
        <v>886</v>
      </c>
      <c r="K699" t="s">
        <v>74</v>
      </c>
      <c r="L699" t="s">
        <v>74</v>
      </c>
      <c r="M699" t="s">
        <v>78</v>
      </c>
      <c r="N699" t="s">
        <v>52</v>
      </c>
      <c r="O699" t="s">
        <v>13102</v>
      </c>
      <c r="P699" t="s">
        <v>13103</v>
      </c>
      <c r="Q699" t="s">
        <v>13104</v>
      </c>
      <c r="R699" t="s">
        <v>74</v>
      </c>
      <c r="S699" t="s">
        <v>74</v>
      </c>
      <c r="T699" t="s">
        <v>74</v>
      </c>
      <c r="U699" t="s">
        <v>74</v>
      </c>
      <c r="V699" t="s">
        <v>74</v>
      </c>
      <c r="W699" t="s">
        <v>13134</v>
      </c>
      <c r="X699" t="s">
        <v>13135</v>
      </c>
      <c r="Y699" t="s">
        <v>74</v>
      </c>
      <c r="Z699" t="s">
        <v>13136</v>
      </c>
      <c r="AA699" t="s">
        <v>13137</v>
      </c>
      <c r="AB699" t="s">
        <v>13138</v>
      </c>
      <c r="AC699" t="s">
        <v>74</v>
      </c>
      <c r="AD699" t="s">
        <v>74</v>
      </c>
      <c r="AE699" t="s">
        <v>74</v>
      </c>
      <c r="AF699" t="s">
        <v>74</v>
      </c>
      <c r="AG699">
        <v>6</v>
      </c>
      <c r="AH699">
        <v>0</v>
      </c>
      <c r="AI699">
        <v>0</v>
      </c>
      <c r="AJ699">
        <v>0</v>
      </c>
      <c r="AK699">
        <v>4</v>
      </c>
      <c r="AL699" t="s">
        <v>898</v>
      </c>
      <c r="AM699" t="s">
        <v>899</v>
      </c>
      <c r="AN699" t="s">
        <v>900</v>
      </c>
      <c r="AO699" t="s">
        <v>901</v>
      </c>
      <c r="AP699" t="s">
        <v>902</v>
      </c>
      <c r="AQ699" t="s">
        <v>74</v>
      </c>
      <c r="AR699" t="s">
        <v>903</v>
      </c>
      <c r="AS699" t="s">
        <v>904</v>
      </c>
      <c r="AT699" t="s">
        <v>12897</v>
      </c>
      <c r="AU699">
        <v>2012</v>
      </c>
      <c r="AV699">
        <v>47</v>
      </c>
      <c r="AW699" t="s">
        <v>74</v>
      </c>
      <c r="AX699" t="s">
        <v>74</v>
      </c>
      <c r="AY699">
        <v>1</v>
      </c>
      <c r="AZ699" t="s">
        <v>1019</v>
      </c>
      <c r="BA699" t="s">
        <v>74</v>
      </c>
      <c r="BB699" t="s">
        <v>13139</v>
      </c>
      <c r="BC699" t="s">
        <v>13139</v>
      </c>
      <c r="BD699" t="s">
        <v>74</v>
      </c>
      <c r="BE699" t="s">
        <v>74</v>
      </c>
      <c r="BF699" t="s">
        <v>74</v>
      </c>
      <c r="BG699" t="s">
        <v>74</v>
      </c>
      <c r="BH699" t="s">
        <v>74</v>
      </c>
      <c r="BI699">
        <v>1</v>
      </c>
      <c r="BJ699" t="s">
        <v>241</v>
      </c>
      <c r="BK699" t="s">
        <v>491</v>
      </c>
      <c r="BL699" t="s">
        <v>241</v>
      </c>
      <c r="BM699" t="s">
        <v>13113</v>
      </c>
      <c r="BN699" t="s">
        <v>74</v>
      </c>
      <c r="BO699" t="s">
        <v>74</v>
      </c>
      <c r="BP699" t="s">
        <v>74</v>
      </c>
      <c r="BQ699" t="s">
        <v>74</v>
      </c>
      <c r="BR699" t="s">
        <v>101</v>
      </c>
      <c r="BS699" t="s">
        <v>13140</v>
      </c>
      <c r="BT699" t="str">
        <f>HYPERLINK("https%3A%2F%2Fwww.webofscience.com%2Fwos%2Fwoscc%2Ffull-record%2FWOS:000307389700387","View Full Record in Web of Science")</f>
        <v>View Full Record in Web of Science</v>
      </c>
    </row>
    <row r="700" spans="1:72" x14ac:dyDescent="0.15">
      <c r="A700" t="s">
        <v>72</v>
      </c>
      <c r="B700" t="s">
        <v>13141</v>
      </c>
      <c r="C700" t="s">
        <v>74</v>
      </c>
      <c r="D700" t="s">
        <v>74</v>
      </c>
      <c r="E700" t="s">
        <v>74</v>
      </c>
      <c r="F700" t="s">
        <v>13142</v>
      </c>
      <c r="G700" t="s">
        <v>74</v>
      </c>
      <c r="H700" t="s">
        <v>74</v>
      </c>
      <c r="I700" t="s">
        <v>13143</v>
      </c>
      <c r="J700" t="s">
        <v>13144</v>
      </c>
      <c r="K700" t="s">
        <v>74</v>
      </c>
      <c r="L700" t="s">
        <v>74</v>
      </c>
      <c r="M700" t="s">
        <v>78</v>
      </c>
      <c r="N700" t="s">
        <v>79</v>
      </c>
      <c r="O700" t="s">
        <v>74</v>
      </c>
      <c r="P700" t="s">
        <v>74</v>
      </c>
      <c r="Q700" t="s">
        <v>74</v>
      </c>
      <c r="R700" t="s">
        <v>74</v>
      </c>
      <c r="S700" t="s">
        <v>74</v>
      </c>
      <c r="T700" t="s">
        <v>13145</v>
      </c>
      <c r="U700" t="s">
        <v>74</v>
      </c>
      <c r="V700" t="s">
        <v>13146</v>
      </c>
      <c r="W700" t="s">
        <v>13147</v>
      </c>
      <c r="X700" t="s">
        <v>13148</v>
      </c>
      <c r="Y700" t="s">
        <v>13149</v>
      </c>
      <c r="Z700" t="s">
        <v>13150</v>
      </c>
      <c r="AA700" t="s">
        <v>13151</v>
      </c>
      <c r="AB700" t="s">
        <v>13152</v>
      </c>
      <c r="AC700" t="s">
        <v>13153</v>
      </c>
      <c r="AD700" t="s">
        <v>13154</v>
      </c>
      <c r="AE700" t="s">
        <v>13155</v>
      </c>
      <c r="AF700" t="s">
        <v>74</v>
      </c>
      <c r="AG700">
        <v>9</v>
      </c>
      <c r="AH700">
        <v>9</v>
      </c>
      <c r="AI700">
        <v>9</v>
      </c>
      <c r="AJ700">
        <v>0</v>
      </c>
      <c r="AK700">
        <v>4</v>
      </c>
      <c r="AL700" t="s">
        <v>1130</v>
      </c>
      <c r="AM700" t="s">
        <v>371</v>
      </c>
      <c r="AN700" t="s">
        <v>1131</v>
      </c>
      <c r="AO700" t="s">
        <v>13156</v>
      </c>
      <c r="AP700" t="s">
        <v>74</v>
      </c>
      <c r="AQ700" t="s">
        <v>74</v>
      </c>
      <c r="AR700" t="s">
        <v>13157</v>
      </c>
      <c r="AS700" t="s">
        <v>13158</v>
      </c>
      <c r="AT700" t="s">
        <v>12897</v>
      </c>
      <c r="AU700">
        <v>2012</v>
      </c>
      <c r="AV700">
        <v>48</v>
      </c>
      <c r="AW700">
        <v>4</v>
      </c>
      <c r="AX700" t="s">
        <v>74</v>
      </c>
      <c r="AY700" t="s">
        <v>74</v>
      </c>
      <c r="AZ700" t="s">
        <v>74</v>
      </c>
      <c r="BA700" t="s">
        <v>74</v>
      </c>
      <c r="BB700">
        <v>384</v>
      </c>
      <c r="BC700">
        <v>390</v>
      </c>
      <c r="BD700" t="s">
        <v>74</v>
      </c>
      <c r="BE700" t="s">
        <v>13159</v>
      </c>
      <c r="BF700" t="str">
        <f>HYPERLINK("http://dx.doi.org/10.1134/S0001433812040147","http://dx.doi.org/10.1134/S0001433812040147")</f>
        <v>http://dx.doi.org/10.1134/S0001433812040147</v>
      </c>
      <c r="BG700" t="s">
        <v>74</v>
      </c>
      <c r="BH700" t="s">
        <v>74</v>
      </c>
      <c r="BI700">
        <v>7</v>
      </c>
      <c r="BJ700" t="s">
        <v>12034</v>
      </c>
      <c r="BK700" t="s">
        <v>98</v>
      </c>
      <c r="BL700" t="s">
        <v>12034</v>
      </c>
      <c r="BM700" t="s">
        <v>13160</v>
      </c>
      <c r="BN700" t="s">
        <v>74</v>
      </c>
      <c r="BO700" t="s">
        <v>74</v>
      </c>
      <c r="BP700" t="s">
        <v>74</v>
      </c>
      <c r="BQ700" t="s">
        <v>74</v>
      </c>
      <c r="BR700" t="s">
        <v>101</v>
      </c>
      <c r="BS700" t="s">
        <v>13161</v>
      </c>
      <c r="BT700" t="str">
        <f>HYPERLINK("https%3A%2F%2Fwww.webofscience.com%2Fwos%2Fwoscc%2Ffull-record%2FWOS:000307711200003","View Full Record in Web of Science")</f>
        <v>View Full Record in Web of Science</v>
      </c>
    </row>
    <row r="701" spans="1:72" x14ac:dyDescent="0.15">
      <c r="A701" t="s">
        <v>72</v>
      </c>
      <c r="B701" t="s">
        <v>13162</v>
      </c>
      <c r="C701" t="s">
        <v>74</v>
      </c>
      <c r="D701" t="s">
        <v>74</v>
      </c>
      <c r="E701" t="s">
        <v>74</v>
      </c>
      <c r="F701" t="s">
        <v>13163</v>
      </c>
      <c r="G701" t="s">
        <v>74</v>
      </c>
      <c r="H701" t="s">
        <v>74</v>
      </c>
      <c r="I701" t="s">
        <v>13164</v>
      </c>
      <c r="J701" t="s">
        <v>13165</v>
      </c>
      <c r="K701" t="s">
        <v>74</v>
      </c>
      <c r="L701" t="s">
        <v>74</v>
      </c>
      <c r="M701" t="s">
        <v>6082</v>
      </c>
      <c r="N701" t="s">
        <v>79</v>
      </c>
      <c r="O701" t="s">
        <v>74</v>
      </c>
      <c r="P701" t="s">
        <v>74</v>
      </c>
      <c r="Q701" t="s">
        <v>74</v>
      </c>
      <c r="R701" t="s">
        <v>74</v>
      </c>
      <c r="S701" t="s">
        <v>74</v>
      </c>
      <c r="T701" t="s">
        <v>74</v>
      </c>
      <c r="U701" t="s">
        <v>74</v>
      </c>
      <c r="V701" t="s">
        <v>13166</v>
      </c>
      <c r="W701" t="s">
        <v>13167</v>
      </c>
      <c r="X701" t="s">
        <v>13168</v>
      </c>
      <c r="Y701" t="s">
        <v>13169</v>
      </c>
      <c r="Z701" t="s">
        <v>13170</v>
      </c>
      <c r="AA701" t="s">
        <v>13171</v>
      </c>
      <c r="AB701" t="s">
        <v>13172</v>
      </c>
      <c r="AC701" t="s">
        <v>74</v>
      </c>
      <c r="AD701" t="s">
        <v>74</v>
      </c>
      <c r="AE701" t="s">
        <v>74</v>
      </c>
      <c r="AF701" t="s">
        <v>74</v>
      </c>
      <c r="AG701">
        <v>8</v>
      </c>
      <c r="AH701">
        <v>0</v>
      </c>
      <c r="AI701">
        <v>0</v>
      </c>
      <c r="AJ701">
        <v>0</v>
      </c>
      <c r="AK701">
        <v>0</v>
      </c>
      <c r="AL701" t="s">
        <v>13165</v>
      </c>
      <c r="AM701" t="s">
        <v>13173</v>
      </c>
      <c r="AN701" t="s">
        <v>13174</v>
      </c>
      <c r="AO701" t="s">
        <v>13175</v>
      </c>
      <c r="AP701" t="s">
        <v>74</v>
      </c>
      <c r="AQ701" t="s">
        <v>74</v>
      </c>
      <c r="AR701" t="s">
        <v>13165</v>
      </c>
      <c r="AS701" t="s">
        <v>13176</v>
      </c>
      <c r="AT701" t="s">
        <v>12897</v>
      </c>
      <c r="AU701">
        <v>2012</v>
      </c>
      <c r="AV701">
        <v>37</v>
      </c>
      <c r="AW701">
        <v>7</v>
      </c>
      <c r="AX701" t="s">
        <v>74</v>
      </c>
      <c r="AY701" t="s">
        <v>74</v>
      </c>
      <c r="AZ701" t="s">
        <v>74</v>
      </c>
      <c r="BA701" t="s">
        <v>74</v>
      </c>
      <c r="BB701">
        <v>492</v>
      </c>
      <c r="BC701">
        <v>497</v>
      </c>
      <c r="BD701" t="s">
        <v>74</v>
      </c>
      <c r="BE701" t="s">
        <v>74</v>
      </c>
      <c r="BF701" t="s">
        <v>74</v>
      </c>
      <c r="BG701" t="s">
        <v>74</v>
      </c>
      <c r="BH701" t="s">
        <v>74</v>
      </c>
      <c r="BI701">
        <v>6</v>
      </c>
      <c r="BJ701" t="s">
        <v>515</v>
      </c>
      <c r="BK701" t="s">
        <v>98</v>
      </c>
      <c r="BL701" t="s">
        <v>333</v>
      </c>
      <c r="BM701" t="s">
        <v>13177</v>
      </c>
      <c r="BN701" t="s">
        <v>74</v>
      </c>
      <c r="BO701" t="s">
        <v>74</v>
      </c>
      <c r="BP701" t="s">
        <v>74</v>
      </c>
      <c r="BQ701" t="s">
        <v>74</v>
      </c>
      <c r="BR701" t="s">
        <v>101</v>
      </c>
      <c r="BS701" t="s">
        <v>13178</v>
      </c>
      <c r="BT701" t="str">
        <f>HYPERLINK("https%3A%2F%2Fwww.webofscience.com%2Fwos%2Fwoscc%2Ffull-record%2FWOS:000307043500002","View Full Record in Web of Science")</f>
        <v>View Full Record in Web of Science</v>
      </c>
    </row>
    <row r="702" spans="1:72" x14ac:dyDescent="0.15">
      <c r="A702" t="s">
        <v>72</v>
      </c>
      <c r="B702" t="s">
        <v>13179</v>
      </c>
      <c r="C702" t="s">
        <v>74</v>
      </c>
      <c r="D702" t="s">
        <v>74</v>
      </c>
      <c r="E702" t="s">
        <v>74</v>
      </c>
      <c r="F702" t="s">
        <v>13180</v>
      </c>
      <c r="G702" t="s">
        <v>74</v>
      </c>
      <c r="H702" t="s">
        <v>74</v>
      </c>
      <c r="I702" t="s">
        <v>13181</v>
      </c>
      <c r="J702" t="s">
        <v>2232</v>
      </c>
      <c r="K702" t="s">
        <v>74</v>
      </c>
      <c r="L702" t="s">
        <v>74</v>
      </c>
      <c r="M702" t="s">
        <v>2233</v>
      </c>
      <c r="N702" t="s">
        <v>79</v>
      </c>
      <c r="O702" t="s">
        <v>74</v>
      </c>
      <c r="P702" t="s">
        <v>74</v>
      </c>
      <c r="Q702" t="s">
        <v>74</v>
      </c>
      <c r="R702" t="s">
        <v>74</v>
      </c>
      <c r="S702" t="s">
        <v>74</v>
      </c>
      <c r="T702" t="s">
        <v>13182</v>
      </c>
      <c r="U702" t="s">
        <v>13183</v>
      </c>
      <c r="V702" t="s">
        <v>13184</v>
      </c>
      <c r="W702" t="s">
        <v>13185</v>
      </c>
      <c r="X702" t="s">
        <v>13186</v>
      </c>
      <c r="Y702" t="s">
        <v>13187</v>
      </c>
      <c r="Z702" t="s">
        <v>13188</v>
      </c>
      <c r="AA702" t="s">
        <v>74</v>
      </c>
      <c r="AB702" t="s">
        <v>74</v>
      </c>
      <c r="AC702" t="s">
        <v>74</v>
      </c>
      <c r="AD702" t="s">
        <v>74</v>
      </c>
      <c r="AE702" t="s">
        <v>74</v>
      </c>
      <c r="AF702" t="s">
        <v>74</v>
      </c>
      <c r="AG702">
        <v>35</v>
      </c>
      <c r="AH702">
        <v>2</v>
      </c>
      <c r="AI702">
        <v>3</v>
      </c>
      <c r="AJ702">
        <v>0</v>
      </c>
      <c r="AK702">
        <v>18</v>
      </c>
      <c r="AL702" t="s">
        <v>1932</v>
      </c>
      <c r="AM702" t="s">
        <v>1933</v>
      </c>
      <c r="AN702" t="s">
        <v>1934</v>
      </c>
      <c r="AO702" t="s">
        <v>2243</v>
      </c>
      <c r="AP702" t="s">
        <v>74</v>
      </c>
      <c r="AQ702" t="s">
        <v>74</v>
      </c>
      <c r="AR702" t="s">
        <v>2244</v>
      </c>
      <c r="AS702" t="s">
        <v>2245</v>
      </c>
      <c r="AT702" t="s">
        <v>12897</v>
      </c>
      <c r="AU702">
        <v>2012</v>
      </c>
      <c r="AV702">
        <v>55</v>
      </c>
      <c r="AW702">
        <v>7</v>
      </c>
      <c r="AX702" t="s">
        <v>74</v>
      </c>
      <c r="AY702" t="s">
        <v>74</v>
      </c>
      <c r="AZ702" t="s">
        <v>74</v>
      </c>
      <c r="BA702" t="s">
        <v>74</v>
      </c>
      <c r="BB702">
        <v>2227</v>
      </c>
      <c r="BC702">
        <v>2238</v>
      </c>
      <c r="BD702" t="s">
        <v>74</v>
      </c>
      <c r="BE702" t="s">
        <v>13189</v>
      </c>
      <c r="BF702" t="str">
        <f>HYPERLINK("http://dx.doi.org/10.6038/j.issn.0001-5733.2012.07.009","http://dx.doi.org/10.6038/j.issn.0001-5733.2012.07.009")</f>
        <v>http://dx.doi.org/10.6038/j.issn.0001-5733.2012.07.009</v>
      </c>
      <c r="BG702" t="s">
        <v>74</v>
      </c>
      <c r="BH702" t="s">
        <v>74</v>
      </c>
      <c r="BI702">
        <v>12</v>
      </c>
      <c r="BJ702" t="s">
        <v>241</v>
      </c>
      <c r="BK702" t="s">
        <v>98</v>
      </c>
      <c r="BL702" t="s">
        <v>241</v>
      </c>
      <c r="BM702" t="s">
        <v>13190</v>
      </c>
      <c r="BN702" t="s">
        <v>74</v>
      </c>
      <c r="BO702" t="s">
        <v>74</v>
      </c>
      <c r="BP702" t="s">
        <v>74</v>
      </c>
      <c r="BQ702" t="s">
        <v>74</v>
      </c>
      <c r="BR702" t="s">
        <v>101</v>
      </c>
      <c r="BS702" t="s">
        <v>13191</v>
      </c>
      <c r="BT702" t="str">
        <f>HYPERLINK("https%3A%2F%2Fwww.webofscience.com%2Fwos%2Fwoscc%2Ffull-record%2FWOS:000307155400009","View Full Record in Web of Science")</f>
        <v>View Full Record in Web of Science</v>
      </c>
    </row>
    <row r="703" spans="1:72" x14ac:dyDescent="0.15">
      <c r="A703" t="s">
        <v>72</v>
      </c>
      <c r="B703" t="s">
        <v>13192</v>
      </c>
      <c r="C703" t="s">
        <v>74</v>
      </c>
      <c r="D703" t="s">
        <v>74</v>
      </c>
      <c r="E703" t="s">
        <v>74</v>
      </c>
      <c r="F703" t="s">
        <v>13193</v>
      </c>
      <c r="G703" t="s">
        <v>74</v>
      </c>
      <c r="H703" t="s">
        <v>74</v>
      </c>
      <c r="I703" t="s">
        <v>13194</v>
      </c>
      <c r="J703" t="s">
        <v>2232</v>
      </c>
      <c r="K703" t="s">
        <v>74</v>
      </c>
      <c r="L703" t="s">
        <v>74</v>
      </c>
      <c r="M703" t="s">
        <v>2233</v>
      </c>
      <c r="N703" t="s">
        <v>79</v>
      </c>
      <c r="O703" t="s">
        <v>74</v>
      </c>
      <c r="P703" t="s">
        <v>74</v>
      </c>
      <c r="Q703" t="s">
        <v>74</v>
      </c>
      <c r="R703" t="s">
        <v>74</v>
      </c>
      <c r="S703" t="s">
        <v>74</v>
      </c>
      <c r="T703" t="s">
        <v>13195</v>
      </c>
      <c r="U703" t="s">
        <v>13196</v>
      </c>
      <c r="V703" t="s">
        <v>13197</v>
      </c>
      <c r="W703" t="s">
        <v>13198</v>
      </c>
      <c r="X703" t="s">
        <v>13199</v>
      </c>
      <c r="Y703" t="s">
        <v>13200</v>
      </c>
      <c r="Z703" t="s">
        <v>13201</v>
      </c>
      <c r="AA703" t="s">
        <v>13202</v>
      </c>
      <c r="AB703" t="s">
        <v>13203</v>
      </c>
      <c r="AC703" t="s">
        <v>74</v>
      </c>
      <c r="AD703" t="s">
        <v>74</v>
      </c>
      <c r="AE703" t="s">
        <v>74</v>
      </c>
      <c r="AF703" t="s">
        <v>74</v>
      </c>
      <c r="AG703">
        <v>22</v>
      </c>
      <c r="AH703">
        <v>9</v>
      </c>
      <c r="AI703">
        <v>21</v>
      </c>
      <c r="AJ703">
        <v>2</v>
      </c>
      <c r="AK703">
        <v>27</v>
      </c>
      <c r="AL703" t="s">
        <v>1932</v>
      </c>
      <c r="AM703" t="s">
        <v>1933</v>
      </c>
      <c r="AN703" t="s">
        <v>1934</v>
      </c>
      <c r="AO703" t="s">
        <v>2243</v>
      </c>
      <c r="AP703" t="s">
        <v>74</v>
      </c>
      <c r="AQ703" t="s">
        <v>74</v>
      </c>
      <c r="AR703" t="s">
        <v>2244</v>
      </c>
      <c r="AS703" t="s">
        <v>2245</v>
      </c>
      <c r="AT703" t="s">
        <v>12897</v>
      </c>
      <c r="AU703">
        <v>2012</v>
      </c>
      <c r="AV703">
        <v>55</v>
      </c>
      <c r="AW703">
        <v>7</v>
      </c>
      <c r="AX703" t="s">
        <v>74</v>
      </c>
      <c r="AY703" t="s">
        <v>74</v>
      </c>
      <c r="AZ703" t="s">
        <v>74</v>
      </c>
      <c r="BA703" t="s">
        <v>74</v>
      </c>
      <c r="BB703">
        <v>2249</v>
      </c>
      <c r="BC703">
        <v>2258</v>
      </c>
      <c r="BD703" t="s">
        <v>74</v>
      </c>
      <c r="BE703" t="s">
        <v>13204</v>
      </c>
      <c r="BF703" t="str">
        <f>HYPERLINK("http://dx.doi.org/10.6038/j.issn.0001-5733.2012.07.011","http://dx.doi.org/10.6038/j.issn.0001-5733.2012.07.011")</f>
        <v>http://dx.doi.org/10.6038/j.issn.0001-5733.2012.07.011</v>
      </c>
      <c r="BG703" t="s">
        <v>74</v>
      </c>
      <c r="BH703" t="s">
        <v>74</v>
      </c>
      <c r="BI703">
        <v>10</v>
      </c>
      <c r="BJ703" t="s">
        <v>241</v>
      </c>
      <c r="BK703" t="s">
        <v>98</v>
      </c>
      <c r="BL703" t="s">
        <v>241</v>
      </c>
      <c r="BM703" t="s">
        <v>13190</v>
      </c>
      <c r="BN703" t="s">
        <v>74</v>
      </c>
      <c r="BO703" t="s">
        <v>74</v>
      </c>
      <c r="BP703" t="s">
        <v>74</v>
      </c>
      <c r="BQ703" t="s">
        <v>74</v>
      </c>
      <c r="BR703" t="s">
        <v>101</v>
      </c>
      <c r="BS703" t="s">
        <v>13205</v>
      </c>
      <c r="BT703" t="str">
        <f>HYPERLINK("https%3A%2F%2Fwww.webofscience.com%2Fwos%2Fwoscc%2Ffull-record%2FWOS:000307155400011","View Full Record in Web of Science")</f>
        <v>View Full Record in Web of Science</v>
      </c>
    </row>
    <row r="704" spans="1:72" x14ac:dyDescent="0.15">
      <c r="A704" t="s">
        <v>72</v>
      </c>
      <c r="B704" t="s">
        <v>13206</v>
      </c>
      <c r="C704" t="s">
        <v>74</v>
      </c>
      <c r="D704" t="s">
        <v>74</v>
      </c>
      <c r="E704" t="s">
        <v>74</v>
      </c>
      <c r="F704" t="s">
        <v>13207</v>
      </c>
      <c r="G704" t="s">
        <v>74</v>
      </c>
      <c r="H704" t="s">
        <v>74</v>
      </c>
      <c r="I704" t="s">
        <v>13208</v>
      </c>
      <c r="J704" t="s">
        <v>13209</v>
      </c>
      <c r="K704" t="s">
        <v>74</v>
      </c>
      <c r="L704" t="s">
        <v>74</v>
      </c>
      <c r="M704" t="s">
        <v>78</v>
      </c>
      <c r="N704" t="s">
        <v>79</v>
      </c>
      <c r="O704" t="s">
        <v>74</v>
      </c>
      <c r="P704" t="s">
        <v>74</v>
      </c>
      <c r="Q704" t="s">
        <v>74</v>
      </c>
      <c r="R704" t="s">
        <v>74</v>
      </c>
      <c r="S704" t="s">
        <v>74</v>
      </c>
      <c r="T704" t="s">
        <v>13210</v>
      </c>
      <c r="U704" t="s">
        <v>13211</v>
      </c>
      <c r="V704" t="s">
        <v>13212</v>
      </c>
      <c r="W704" t="s">
        <v>13213</v>
      </c>
      <c r="X704" t="s">
        <v>13214</v>
      </c>
      <c r="Y704" t="s">
        <v>13215</v>
      </c>
      <c r="Z704" t="s">
        <v>13216</v>
      </c>
      <c r="AA704" t="s">
        <v>13217</v>
      </c>
      <c r="AB704" t="s">
        <v>13218</v>
      </c>
      <c r="AC704" t="s">
        <v>13219</v>
      </c>
      <c r="AD704" t="s">
        <v>13220</v>
      </c>
      <c r="AE704" t="s">
        <v>13221</v>
      </c>
      <c r="AF704" t="s">
        <v>74</v>
      </c>
      <c r="AG704">
        <v>23</v>
      </c>
      <c r="AH704">
        <v>2</v>
      </c>
      <c r="AI704">
        <v>3</v>
      </c>
      <c r="AJ704">
        <v>0</v>
      </c>
      <c r="AK704">
        <v>15</v>
      </c>
      <c r="AL704" t="s">
        <v>13222</v>
      </c>
      <c r="AM704" t="s">
        <v>6457</v>
      </c>
      <c r="AN704" t="s">
        <v>13223</v>
      </c>
      <c r="AO704" t="s">
        <v>13224</v>
      </c>
      <c r="AP704" t="s">
        <v>13225</v>
      </c>
      <c r="AQ704" t="s">
        <v>74</v>
      </c>
      <c r="AR704" t="s">
        <v>13226</v>
      </c>
      <c r="AS704" t="s">
        <v>13227</v>
      </c>
      <c r="AT704" t="s">
        <v>12897</v>
      </c>
      <c r="AU704">
        <v>2012</v>
      </c>
      <c r="AV704">
        <v>22</v>
      </c>
      <c r="AW704">
        <v>7</v>
      </c>
      <c r="AX704" t="s">
        <v>74</v>
      </c>
      <c r="AY704" t="s">
        <v>74</v>
      </c>
      <c r="AZ704" t="s">
        <v>74</v>
      </c>
      <c r="BA704" t="s">
        <v>74</v>
      </c>
      <c r="BB704">
        <v>902</v>
      </c>
      <c r="BC704">
        <v>906</v>
      </c>
      <c r="BD704" t="s">
        <v>74</v>
      </c>
      <c r="BE704" t="s">
        <v>13228</v>
      </c>
      <c r="BF704" t="str">
        <f>HYPERLINK("http://dx.doi.org/10.4014/jmb.1201.01002","http://dx.doi.org/10.4014/jmb.1201.01002")</f>
        <v>http://dx.doi.org/10.4014/jmb.1201.01002</v>
      </c>
      <c r="BG704" t="s">
        <v>74</v>
      </c>
      <c r="BH704" t="s">
        <v>74</v>
      </c>
      <c r="BI704">
        <v>5</v>
      </c>
      <c r="BJ704" t="s">
        <v>7806</v>
      </c>
      <c r="BK704" t="s">
        <v>98</v>
      </c>
      <c r="BL704" t="s">
        <v>7806</v>
      </c>
      <c r="BM704" t="s">
        <v>13229</v>
      </c>
      <c r="BN704">
        <v>22580308</v>
      </c>
      <c r="BO704" t="s">
        <v>74</v>
      </c>
      <c r="BP704" t="s">
        <v>74</v>
      </c>
      <c r="BQ704" t="s">
        <v>74</v>
      </c>
      <c r="BR704" t="s">
        <v>101</v>
      </c>
      <c r="BS704" t="s">
        <v>13230</v>
      </c>
      <c r="BT704" t="str">
        <f>HYPERLINK("https%3A%2F%2Fwww.webofscience.com%2Fwos%2Fwoscc%2Ffull-record%2FWOS:000306941700004","View Full Record in Web of Science")</f>
        <v>View Full Record in Web of Science</v>
      </c>
    </row>
    <row r="705" spans="1:72" x14ac:dyDescent="0.15">
      <c r="A705" t="s">
        <v>72</v>
      </c>
      <c r="B705" t="s">
        <v>13231</v>
      </c>
      <c r="C705" t="s">
        <v>74</v>
      </c>
      <c r="D705" t="s">
        <v>74</v>
      </c>
      <c r="E705" t="s">
        <v>74</v>
      </c>
      <c r="F705" t="s">
        <v>13232</v>
      </c>
      <c r="G705" t="s">
        <v>74</v>
      </c>
      <c r="H705" t="s">
        <v>74</v>
      </c>
      <c r="I705" t="s">
        <v>13233</v>
      </c>
      <c r="J705" t="s">
        <v>1567</v>
      </c>
      <c r="K705" t="s">
        <v>74</v>
      </c>
      <c r="L705" t="s">
        <v>74</v>
      </c>
      <c r="M705" t="s">
        <v>78</v>
      </c>
      <c r="N705" t="s">
        <v>79</v>
      </c>
      <c r="O705" t="s">
        <v>74</v>
      </c>
      <c r="P705" t="s">
        <v>74</v>
      </c>
      <c r="Q705" t="s">
        <v>74</v>
      </c>
      <c r="R705" t="s">
        <v>74</v>
      </c>
      <c r="S705" t="s">
        <v>74</v>
      </c>
      <c r="T705" t="s">
        <v>74</v>
      </c>
      <c r="U705" t="s">
        <v>13234</v>
      </c>
      <c r="V705" t="s">
        <v>13235</v>
      </c>
      <c r="W705" t="s">
        <v>13236</v>
      </c>
      <c r="X705" t="s">
        <v>13237</v>
      </c>
      <c r="Y705" t="s">
        <v>13238</v>
      </c>
      <c r="Z705" t="s">
        <v>13239</v>
      </c>
      <c r="AA705" t="s">
        <v>13240</v>
      </c>
      <c r="AB705" t="s">
        <v>13241</v>
      </c>
      <c r="AC705" t="s">
        <v>13242</v>
      </c>
      <c r="AD705" t="s">
        <v>13243</v>
      </c>
      <c r="AE705" t="s">
        <v>13244</v>
      </c>
      <c r="AF705" t="s">
        <v>74</v>
      </c>
      <c r="AG705">
        <v>28</v>
      </c>
      <c r="AH705">
        <v>15</v>
      </c>
      <c r="AI705">
        <v>16</v>
      </c>
      <c r="AJ705">
        <v>1</v>
      </c>
      <c r="AK705">
        <v>13</v>
      </c>
      <c r="AL705" t="s">
        <v>1429</v>
      </c>
      <c r="AM705" t="s">
        <v>1430</v>
      </c>
      <c r="AN705" t="s">
        <v>1431</v>
      </c>
      <c r="AO705" t="s">
        <v>1579</v>
      </c>
      <c r="AP705" t="s">
        <v>74</v>
      </c>
      <c r="AQ705" t="s">
        <v>74</v>
      </c>
      <c r="AR705" t="s">
        <v>1581</v>
      </c>
      <c r="AS705" t="s">
        <v>1582</v>
      </c>
      <c r="AT705" t="s">
        <v>12897</v>
      </c>
      <c r="AU705">
        <v>2012</v>
      </c>
      <c r="AV705">
        <v>42</v>
      </c>
      <c r="AW705">
        <v>7</v>
      </c>
      <c r="AX705" t="s">
        <v>74</v>
      </c>
      <c r="AY705" t="s">
        <v>74</v>
      </c>
      <c r="AZ705" t="s">
        <v>74</v>
      </c>
      <c r="BA705" t="s">
        <v>74</v>
      </c>
      <c r="BB705">
        <v>1158</v>
      </c>
      <c r="BC705">
        <v>1172</v>
      </c>
      <c r="BD705" t="s">
        <v>74</v>
      </c>
      <c r="BE705" t="s">
        <v>13245</v>
      </c>
      <c r="BF705" t="str">
        <f>HYPERLINK("http://dx.doi.org/10.1175/JPO-D-11-0119.1","http://dx.doi.org/10.1175/JPO-D-11-0119.1")</f>
        <v>http://dx.doi.org/10.1175/JPO-D-11-0119.1</v>
      </c>
      <c r="BG705" t="s">
        <v>74</v>
      </c>
      <c r="BH705" t="s">
        <v>74</v>
      </c>
      <c r="BI705">
        <v>15</v>
      </c>
      <c r="BJ705" t="s">
        <v>941</v>
      </c>
      <c r="BK705" t="s">
        <v>98</v>
      </c>
      <c r="BL705" t="s">
        <v>941</v>
      </c>
      <c r="BM705" t="s">
        <v>13246</v>
      </c>
      <c r="BN705" t="s">
        <v>74</v>
      </c>
      <c r="BO705" t="s">
        <v>2939</v>
      </c>
      <c r="BP705" t="s">
        <v>74</v>
      </c>
      <c r="BQ705" t="s">
        <v>74</v>
      </c>
      <c r="BR705" t="s">
        <v>101</v>
      </c>
      <c r="BS705" t="s">
        <v>13247</v>
      </c>
      <c r="BT705" t="str">
        <f>HYPERLINK("https%3A%2F%2Fwww.webofscience.com%2Fwos%2Fwoscc%2Ffull-record%2FWOS:000306879600008","View Full Record in Web of Science")</f>
        <v>View Full Record in Web of Science</v>
      </c>
    </row>
    <row r="706" spans="1:72" x14ac:dyDescent="0.15">
      <c r="A706" t="s">
        <v>72</v>
      </c>
      <c r="B706" t="s">
        <v>13248</v>
      </c>
      <c r="C706" t="s">
        <v>74</v>
      </c>
      <c r="D706" t="s">
        <v>74</v>
      </c>
      <c r="E706" t="s">
        <v>74</v>
      </c>
      <c r="F706" t="s">
        <v>13249</v>
      </c>
      <c r="G706" t="s">
        <v>74</v>
      </c>
      <c r="H706" t="s">
        <v>74</v>
      </c>
      <c r="I706" t="s">
        <v>13250</v>
      </c>
      <c r="J706" t="s">
        <v>13251</v>
      </c>
      <c r="K706" t="s">
        <v>74</v>
      </c>
      <c r="L706" t="s">
        <v>74</v>
      </c>
      <c r="M706" t="s">
        <v>78</v>
      </c>
      <c r="N706" t="s">
        <v>79</v>
      </c>
      <c r="O706" t="s">
        <v>74</v>
      </c>
      <c r="P706" t="s">
        <v>74</v>
      </c>
      <c r="Q706" t="s">
        <v>74</v>
      </c>
      <c r="R706" t="s">
        <v>74</v>
      </c>
      <c r="S706" t="s">
        <v>74</v>
      </c>
      <c r="T706" t="s">
        <v>13252</v>
      </c>
      <c r="U706" t="s">
        <v>13253</v>
      </c>
      <c r="V706" t="s">
        <v>13254</v>
      </c>
      <c r="W706" t="s">
        <v>13255</v>
      </c>
      <c r="X706" t="s">
        <v>13256</v>
      </c>
      <c r="Y706" t="s">
        <v>13257</v>
      </c>
      <c r="Z706" t="s">
        <v>13258</v>
      </c>
      <c r="AA706" t="s">
        <v>13259</v>
      </c>
      <c r="AB706" t="s">
        <v>13260</v>
      </c>
      <c r="AC706" t="s">
        <v>13261</v>
      </c>
      <c r="AD706" t="s">
        <v>13262</v>
      </c>
      <c r="AE706" t="s">
        <v>13263</v>
      </c>
      <c r="AF706" t="s">
        <v>74</v>
      </c>
      <c r="AG706">
        <v>20</v>
      </c>
      <c r="AH706">
        <v>12</v>
      </c>
      <c r="AI706">
        <v>14</v>
      </c>
      <c r="AJ706">
        <v>0</v>
      </c>
      <c r="AK706">
        <v>19</v>
      </c>
      <c r="AL706" t="s">
        <v>916</v>
      </c>
      <c r="AM706" t="s">
        <v>899</v>
      </c>
      <c r="AN706" t="s">
        <v>900</v>
      </c>
      <c r="AO706" t="s">
        <v>13264</v>
      </c>
      <c r="AP706" t="s">
        <v>74</v>
      </c>
      <c r="AQ706" t="s">
        <v>74</v>
      </c>
      <c r="AR706" t="s">
        <v>13265</v>
      </c>
      <c r="AS706" t="s">
        <v>13266</v>
      </c>
      <c r="AT706" t="s">
        <v>12965</v>
      </c>
      <c r="AU706">
        <v>2012</v>
      </c>
      <c r="AV706">
        <v>13</v>
      </c>
      <c r="AW706">
        <v>3</v>
      </c>
      <c r="AX706" t="s">
        <v>74</v>
      </c>
      <c r="AY706" t="s">
        <v>74</v>
      </c>
      <c r="AZ706" t="s">
        <v>74</v>
      </c>
      <c r="BA706" t="s">
        <v>74</v>
      </c>
      <c r="BB706">
        <v>164</v>
      </c>
      <c r="BC706">
        <v>168</v>
      </c>
      <c r="BD706" t="s">
        <v>74</v>
      </c>
      <c r="BE706" t="s">
        <v>13267</v>
      </c>
      <c r="BF706" t="str">
        <f>HYPERLINK("http://dx.doi.org/10.1002/asl.384","http://dx.doi.org/10.1002/asl.384")</f>
        <v>http://dx.doi.org/10.1002/asl.384</v>
      </c>
      <c r="BG706" t="s">
        <v>74</v>
      </c>
      <c r="BH706" t="s">
        <v>74</v>
      </c>
      <c r="BI706">
        <v>5</v>
      </c>
      <c r="BJ706" t="s">
        <v>1411</v>
      </c>
      <c r="BK706" t="s">
        <v>98</v>
      </c>
      <c r="BL706" t="s">
        <v>1411</v>
      </c>
      <c r="BM706" t="s">
        <v>13268</v>
      </c>
      <c r="BN706" t="s">
        <v>74</v>
      </c>
      <c r="BO706" t="s">
        <v>11892</v>
      </c>
      <c r="BP706" t="s">
        <v>74</v>
      </c>
      <c r="BQ706" t="s">
        <v>74</v>
      </c>
      <c r="BR706" t="s">
        <v>101</v>
      </c>
      <c r="BS706" t="s">
        <v>13269</v>
      </c>
      <c r="BT706" t="str">
        <f>HYPERLINK("https%3A%2F%2Fwww.webofscience.com%2Fwos%2Fwoscc%2Ffull-record%2FWOS:000306649400003","View Full Record in Web of Science")</f>
        <v>View Full Record in Web of Science</v>
      </c>
    </row>
    <row r="707" spans="1:72" x14ac:dyDescent="0.15">
      <c r="A707" t="s">
        <v>72</v>
      </c>
      <c r="B707" t="s">
        <v>13270</v>
      </c>
      <c r="C707" t="s">
        <v>74</v>
      </c>
      <c r="D707" t="s">
        <v>74</v>
      </c>
      <c r="E707" t="s">
        <v>74</v>
      </c>
      <c r="F707" t="s">
        <v>13271</v>
      </c>
      <c r="G707" t="s">
        <v>74</v>
      </c>
      <c r="H707" t="s">
        <v>74</v>
      </c>
      <c r="I707" t="s">
        <v>13272</v>
      </c>
      <c r="J707" t="s">
        <v>13273</v>
      </c>
      <c r="K707" t="s">
        <v>74</v>
      </c>
      <c r="L707" t="s">
        <v>74</v>
      </c>
      <c r="M707" t="s">
        <v>78</v>
      </c>
      <c r="N707" t="s">
        <v>79</v>
      </c>
      <c r="O707" t="s">
        <v>74</v>
      </c>
      <c r="P707" t="s">
        <v>74</v>
      </c>
      <c r="Q707" t="s">
        <v>74</v>
      </c>
      <c r="R707" t="s">
        <v>74</v>
      </c>
      <c r="S707" t="s">
        <v>74</v>
      </c>
      <c r="T707" t="s">
        <v>13274</v>
      </c>
      <c r="U707" t="s">
        <v>13275</v>
      </c>
      <c r="V707" t="s">
        <v>13276</v>
      </c>
      <c r="W707" t="s">
        <v>13277</v>
      </c>
      <c r="X707" t="s">
        <v>13278</v>
      </c>
      <c r="Y707" t="s">
        <v>13279</v>
      </c>
      <c r="Z707" t="s">
        <v>13280</v>
      </c>
      <c r="AA707" t="s">
        <v>74</v>
      </c>
      <c r="AB707" t="s">
        <v>74</v>
      </c>
      <c r="AC707" t="s">
        <v>13281</v>
      </c>
      <c r="AD707" t="s">
        <v>13282</v>
      </c>
      <c r="AE707" t="s">
        <v>13283</v>
      </c>
      <c r="AF707" t="s">
        <v>74</v>
      </c>
      <c r="AG707">
        <v>27</v>
      </c>
      <c r="AH707">
        <v>0</v>
      </c>
      <c r="AI707">
        <v>0</v>
      </c>
      <c r="AJ707">
        <v>0</v>
      </c>
      <c r="AK707">
        <v>13</v>
      </c>
      <c r="AL707" t="s">
        <v>13284</v>
      </c>
      <c r="AM707" t="s">
        <v>13285</v>
      </c>
      <c r="AN707" t="s">
        <v>13286</v>
      </c>
      <c r="AO707" t="s">
        <v>13287</v>
      </c>
      <c r="AP707" t="s">
        <v>13288</v>
      </c>
      <c r="AQ707" t="s">
        <v>74</v>
      </c>
      <c r="AR707" t="s">
        <v>13289</v>
      </c>
      <c r="AS707" t="s">
        <v>13290</v>
      </c>
      <c r="AT707" t="s">
        <v>12897</v>
      </c>
      <c r="AU707">
        <v>2012</v>
      </c>
      <c r="AV707">
        <v>28</v>
      </c>
      <c r="AW707">
        <v>4</v>
      </c>
      <c r="AX707" t="s">
        <v>74</v>
      </c>
      <c r="AY707" t="s">
        <v>74</v>
      </c>
      <c r="AZ707" t="s">
        <v>74</v>
      </c>
      <c r="BA707" t="s">
        <v>74</v>
      </c>
      <c r="BB707">
        <v>774</v>
      </c>
      <c r="BC707">
        <v>779</v>
      </c>
      <c r="BD707" t="s">
        <v>74</v>
      </c>
      <c r="BE707" t="s">
        <v>13291</v>
      </c>
      <c r="BF707" t="str">
        <f>HYPERLINK("http://dx.doi.org/10.2112/JCOASTRES-D-10-00127.1","http://dx.doi.org/10.2112/JCOASTRES-D-10-00127.1")</f>
        <v>http://dx.doi.org/10.2112/JCOASTRES-D-10-00127.1</v>
      </c>
      <c r="BG707" t="s">
        <v>74</v>
      </c>
      <c r="BH707" t="s">
        <v>74</v>
      </c>
      <c r="BI707">
        <v>6</v>
      </c>
      <c r="BJ707" t="s">
        <v>5113</v>
      </c>
      <c r="BK707" t="s">
        <v>98</v>
      </c>
      <c r="BL707" t="s">
        <v>5114</v>
      </c>
      <c r="BM707" t="s">
        <v>13292</v>
      </c>
      <c r="BN707" t="s">
        <v>74</v>
      </c>
      <c r="BO707" t="s">
        <v>74</v>
      </c>
      <c r="BP707" t="s">
        <v>74</v>
      </c>
      <c r="BQ707" t="s">
        <v>74</v>
      </c>
      <c r="BR707" t="s">
        <v>101</v>
      </c>
      <c r="BS707" t="s">
        <v>13293</v>
      </c>
      <c r="BT707" t="str">
        <f>HYPERLINK("https%3A%2F%2Fwww.webofscience.com%2Fwos%2Fwoscc%2Ffull-record%2FWOS:000306450700005","View Full Record in Web of Science")</f>
        <v>View Full Record in Web of Science</v>
      </c>
    </row>
    <row r="708" spans="1:72" x14ac:dyDescent="0.15">
      <c r="A708" t="s">
        <v>72</v>
      </c>
      <c r="B708" t="s">
        <v>13294</v>
      </c>
      <c r="C708" t="s">
        <v>74</v>
      </c>
      <c r="D708" t="s">
        <v>74</v>
      </c>
      <c r="E708" t="s">
        <v>74</v>
      </c>
      <c r="F708" t="s">
        <v>13295</v>
      </c>
      <c r="G708" t="s">
        <v>74</v>
      </c>
      <c r="H708" t="s">
        <v>74</v>
      </c>
      <c r="I708" t="s">
        <v>13296</v>
      </c>
      <c r="J708" t="s">
        <v>13297</v>
      </c>
      <c r="K708" t="s">
        <v>74</v>
      </c>
      <c r="L708" t="s">
        <v>74</v>
      </c>
      <c r="M708" t="s">
        <v>78</v>
      </c>
      <c r="N708" t="s">
        <v>79</v>
      </c>
      <c r="O708" t="s">
        <v>74</v>
      </c>
      <c r="P708" t="s">
        <v>74</v>
      </c>
      <c r="Q708" t="s">
        <v>74</v>
      </c>
      <c r="R708" t="s">
        <v>74</v>
      </c>
      <c r="S708" t="s">
        <v>74</v>
      </c>
      <c r="T708" t="s">
        <v>13298</v>
      </c>
      <c r="U708" t="s">
        <v>13299</v>
      </c>
      <c r="V708" t="s">
        <v>13300</v>
      </c>
      <c r="W708" t="s">
        <v>74</v>
      </c>
      <c r="X708" t="s">
        <v>74</v>
      </c>
      <c r="Y708" t="s">
        <v>74</v>
      </c>
      <c r="Z708" t="s">
        <v>13301</v>
      </c>
      <c r="AA708" t="s">
        <v>74</v>
      </c>
      <c r="AB708" t="s">
        <v>13302</v>
      </c>
      <c r="AC708" t="s">
        <v>74</v>
      </c>
      <c r="AD708" t="s">
        <v>74</v>
      </c>
      <c r="AE708" t="s">
        <v>74</v>
      </c>
      <c r="AF708" t="s">
        <v>74</v>
      </c>
      <c r="AG708">
        <v>53</v>
      </c>
      <c r="AH708">
        <v>28</v>
      </c>
      <c r="AI708">
        <v>30</v>
      </c>
      <c r="AJ708">
        <v>0</v>
      </c>
      <c r="AK708">
        <v>33</v>
      </c>
      <c r="AL708" t="s">
        <v>898</v>
      </c>
      <c r="AM708" t="s">
        <v>899</v>
      </c>
      <c r="AN708" t="s">
        <v>900</v>
      </c>
      <c r="AO708" t="s">
        <v>13303</v>
      </c>
      <c r="AP708" t="s">
        <v>13304</v>
      </c>
      <c r="AQ708" t="s">
        <v>74</v>
      </c>
      <c r="AR708" t="s">
        <v>13305</v>
      </c>
      <c r="AS708" t="s">
        <v>13306</v>
      </c>
      <c r="AT708" t="s">
        <v>12897</v>
      </c>
      <c r="AU708">
        <v>2012</v>
      </c>
      <c r="AV708">
        <v>81</v>
      </c>
      <c r="AW708">
        <v>2</v>
      </c>
      <c r="AX708" t="s">
        <v>74</v>
      </c>
      <c r="AY708" t="s">
        <v>74</v>
      </c>
      <c r="AZ708" t="s">
        <v>1019</v>
      </c>
      <c r="BA708" t="s">
        <v>74</v>
      </c>
      <c r="BB708">
        <v>882</v>
      </c>
      <c r="BC708">
        <v>902</v>
      </c>
      <c r="BD708" t="s">
        <v>74</v>
      </c>
      <c r="BE708" t="s">
        <v>13307</v>
      </c>
      <c r="BF708" t="str">
        <f>HYPERLINK("http://dx.doi.org/10.1111/j.1095-8649.2012.03359.x","http://dx.doi.org/10.1111/j.1095-8649.2012.03359.x")</f>
        <v>http://dx.doi.org/10.1111/j.1095-8649.2012.03359.x</v>
      </c>
      <c r="BG708" t="s">
        <v>74</v>
      </c>
      <c r="BH708" t="s">
        <v>74</v>
      </c>
      <c r="BI708">
        <v>21</v>
      </c>
      <c r="BJ708" t="s">
        <v>4156</v>
      </c>
      <c r="BK708" t="s">
        <v>98</v>
      </c>
      <c r="BL708" t="s">
        <v>4156</v>
      </c>
      <c r="BM708" t="s">
        <v>13308</v>
      </c>
      <c r="BN708">
        <v>22803740</v>
      </c>
      <c r="BO708" t="s">
        <v>74</v>
      </c>
      <c r="BP708" t="s">
        <v>74</v>
      </c>
      <c r="BQ708" t="s">
        <v>74</v>
      </c>
      <c r="BR708" t="s">
        <v>101</v>
      </c>
      <c r="BS708" t="s">
        <v>13309</v>
      </c>
      <c r="BT708" t="str">
        <f>HYPERLINK("https%3A%2F%2Fwww.webofscience.com%2Fwos%2Fwoscc%2Ffull-record%2FWOS:000306473000027","View Full Record in Web of Science")</f>
        <v>View Full Record in Web of Science</v>
      </c>
    </row>
    <row r="709" spans="1:72" x14ac:dyDescent="0.15">
      <c r="A709" t="s">
        <v>72</v>
      </c>
      <c r="B709" t="s">
        <v>13310</v>
      </c>
      <c r="C709" t="s">
        <v>74</v>
      </c>
      <c r="D709" t="s">
        <v>74</v>
      </c>
      <c r="E709" t="s">
        <v>74</v>
      </c>
      <c r="F709" t="s">
        <v>13311</v>
      </c>
      <c r="G709" t="s">
        <v>74</v>
      </c>
      <c r="H709" t="s">
        <v>74</v>
      </c>
      <c r="I709" t="s">
        <v>13312</v>
      </c>
      <c r="J709" t="s">
        <v>7921</v>
      </c>
      <c r="K709" t="s">
        <v>74</v>
      </c>
      <c r="L709" t="s">
        <v>74</v>
      </c>
      <c r="M709" t="s">
        <v>78</v>
      </c>
      <c r="N709" t="s">
        <v>79</v>
      </c>
      <c r="O709" t="s">
        <v>74</v>
      </c>
      <c r="P709" t="s">
        <v>74</v>
      </c>
      <c r="Q709" t="s">
        <v>74</v>
      </c>
      <c r="R709" t="s">
        <v>74</v>
      </c>
      <c r="S709" t="s">
        <v>74</v>
      </c>
      <c r="T709" t="s">
        <v>13313</v>
      </c>
      <c r="U709" t="s">
        <v>13314</v>
      </c>
      <c r="V709" t="s">
        <v>13315</v>
      </c>
      <c r="W709" t="s">
        <v>13316</v>
      </c>
      <c r="X709" t="s">
        <v>13317</v>
      </c>
      <c r="Y709" t="s">
        <v>13318</v>
      </c>
      <c r="Z709" t="s">
        <v>13319</v>
      </c>
      <c r="AA709" t="s">
        <v>74</v>
      </c>
      <c r="AB709" t="s">
        <v>74</v>
      </c>
      <c r="AC709" t="s">
        <v>13320</v>
      </c>
      <c r="AD709" t="s">
        <v>13321</v>
      </c>
      <c r="AE709" t="s">
        <v>13322</v>
      </c>
      <c r="AF709" t="s">
        <v>74</v>
      </c>
      <c r="AG709">
        <v>18</v>
      </c>
      <c r="AH709">
        <v>31</v>
      </c>
      <c r="AI709">
        <v>34</v>
      </c>
      <c r="AJ709">
        <v>1</v>
      </c>
      <c r="AK709">
        <v>4</v>
      </c>
      <c r="AL709" t="s">
        <v>916</v>
      </c>
      <c r="AM709" t="s">
        <v>899</v>
      </c>
      <c r="AN709" t="s">
        <v>900</v>
      </c>
      <c r="AO709" t="s">
        <v>7934</v>
      </c>
      <c r="AP709" t="s">
        <v>74</v>
      </c>
      <c r="AQ709" t="s">
        <v>74</v>
      </c>
      <c r="AR709" t="s">
        <v>7935</v>
      </c>
      <c r="AS709" t="s">
        <v>7936</v>
      </c>
      <c r="AT709" t="s">
        <v>12897</v>
      </c>
      <c r="AU709">
        <v>2012</v>
      </c>
      <c r="AV709">
        <v>424</v>
      </c>
      <c r="AW709">
        <v>1</v>
      </c>
      <c r="AX709" t="s">
        <v>74</v>
      </c>
      <c r="AY709" t="s">
        <v>74</v>
      </c>
      <c r="AZ709" t="s">
        <v>74</v>
      </c>
      <c r="BA709" t="s">
        <v>74</v>
      </c>
      <c r="BB709">
        <v>23</v>
      </c>
      <c r="BC709">
        <v>30</v>
      </c>
      <c r="BD709" t="s">
        <v>74</v>
      </c>
      <c r="BE709" t="s">
        <v>13323</v>
      </c>
      <c r="BF709" t="str">
        <f>HYPERLINK("http://dx.doi.org/10.1111/j.1365-2966.2012.20874.x","http://dx.doi.org/10.1111/j.1365-2966.2012.20874.x")</f>
        <v>http://dx.doi.org/10.1111/j.1365-2966.2012.20874.x</v>
      </c>
      <c r="BG709" t="s">
        <v>74</v>
      </c>
      <c r="BH709" t="s">
        <v>74</v>
      </c>
      <c r="BI709">
        <v>8</v>
      </c>
      <c r="BJ709" t="s">
        <v>127</v>
      </c>
      <c r="BK709" t="s">
        <v>98</v>
      </c>
      <c r="BL709" t="s">
        <v>127</v>
      </c>
      <c r="BM709" t="s">
        <v>13324</v>
      </c>
      <c r="BN709" t="s">
        <v>74</v>
      </c>
      <c r="BO709" t="s">
        <v>1287</v>
      </c>
      <c r="BP709" t="s">
        <v>74</v>
      </c>
      <c r="BQ709" t="s">
        <v>74</v>
      </c>
      <c r="BR709" t="s">
        <v>101</v>
      </c>
      <c r="BS709" t="s">
        <v>13325</v>
      </c>
      <c r="BT709" t="str">
        <f>HYPERLINK("https%3A%2F%2Fwww.webofscience.com%2Fwos%2Fwoscc%2Ffull-record%2FWOS:000306140600003","View Full Record in Web of Science")</f>
        <v>View Full Record in Web of Science</v>
      </c>
    </row>
    <row r="710" spans="1:72" x14ac:dyDescent="0.15">
      <c r="A710" t="s">
        <v>72</v>
      </c>
      <c r="B710" t="s">
        <v>13326</v>
      </c>
      <c r="C710" t="s">
        <v>74</v>
      </c>
      <c r="D710" t="s">
        <v>74</v>
      </c>
      <c r="E710" t="s">
        <v>74</v>
      </c>
      <c r="F710" t="s">
        <v>13327</v>
      </c>
      <c r="G710" t="s">
        <v>74</v>
      </c>
      <c r="H710" t="s">
        <v>74</v>
      </c>
      <c r="I710" t="s">
        <v>13328</v>
      </c>
      <c r="J710" t="s">
        <v>13329</v>
      </c>
      <c r="K710" t="s">
        <v>74</v>
      </c>
      <c r="L710" t="s">
        <v>74</v>
      </c>
      <c r="M710" t="s">
        <v>78</v>
      </c>
      <c r="N710" t="s">
        <v>79</v>
      </c>
      <c r="O710" t="s">
        <v>74</v>
      </c>
      <c r="P710" t="s">
        <v>74</v>
      </c>
      <c r="Q710" t="s">
        <v>74</v>
      </c>
      <c r="R710" t="s">
        <v>74</v>
      </c>
      <c r="S710" t="s">
        <v>74</v>
      </c>
      <c r="T710" t="s">
        <v>74</v>
      </c>
      <c r="U710" t="s">
        <v>74</v>
      </c>
      <c r="V710" t="s">
        <v>74</v>
      </c>
      <c r="W710" t="s">
        <v>13330</v>
      </c>
      <c r="X710" t="s">
        <v>13331</v>
      </c>
      <c r="Y710" t="s">
        <v>13332</v>
      </c>
      <c r="Z710" t="s">
        <v>74</v>
      </c>
      <c r="AA710" t="s">
        <v>13333</v>
      </c>
      <c r="AB710" t="s">
        <v>13334</v>
      </c>
      <c r="AC710" t="s">
        <v>74</v>
      </c>
      <c r="AD710" t="s">
        <v>74</v>
      </c>
      <c r="AE710" t="s">
        <v>74</v>
      </c>
      <c r="AF710" t="s">
        <v>74</v>
      </c>
      <c r="AG710">
        <v>0</v>
      </c>
      <c r="AH710">
        <v>1</v>
      </c>
      <c r="AI710">
        <v>1</v>
      </c>
      <c r="AJ710">
        <v>0</v>
      </c>
      <c r="AK710">
        <v>4</v>
      </c>
      <c r="AL710" t="s">
        <v>13335</v>
      </c>
      <c r="AM710" t="s">
        <v>13336</v>
      </c>
      <c r="AN710" t="s">
        <v>13337</v>
      </c>
      <c r="AO710" t="s">
        <v>13338</v>
      </c>
      <c r="AP710" t="s">
        <v>74</v>
      </c>
      <c r="AQ710" t="s">
        <v>74</v>
      </c>
      <c r="AR710" t="s">
        <v>13339</v>
      </c>
      <c r="AS710" t="s">
        <v>13340</v>
      </c>
      <c r="AT710" t="s">
        <v>12897</v>
      </c>
      <c r="AU710">
        <v>2012</v>
      </c>
      <c r="AV710">
        <v>53</v>
      </c>
      <c r="AW710">
        <v>7</v>
      </c>
      <c r="AX710" t="s">
        <v>74</v>
      </c>
      <c r="AY710" t="s">
        <v>74</v>
      </c>
      <c r="AZ710" t="s">
        <v>74</v>
      </c>
      <c r="BA710" t="s">
        <v>74</v>
      </c>
      <c r="BB710">
        <v>10</v>
      </c>
      <c r="BC710">
        <v>13</v>
      </c>
      <c r="BD710" t="s">
        <v>74</v>
      </c>
      <c r="BE710" t="s">
        <v>74</v>
      </c>
      <c r="BF710" t="s">
        <v>74</v>
      </c>
      <c r="BG710" t="s">
        <v>74</v>
      </c>
      <c r="BH710" t="s">
        <v>74</v>
      </c>
      <c r="BI710">
        <v>4</v>
      </c>
      <c r="BJ710" t="s">
        <v>13341</v>
      </c>
      <c r="BK710" t="s">
        <v>98</v>
      </c>
      <c r="BL710" t="s">
        <v>13342</v>
      </c>
      <c r="BM710" t="s">
        <v>13343</v>
      </c>
      <c r="BN710" t="s">
        <v>74</v>
      </c>
      <c r="BO710" t="s">
        <v>74</v>
      </c>
      <c r="BP710" t="s">
        <v>74</v>
      </c>
      <c r="BQ710" t="s">
        <v>74</v>
      </c>
      <c r="BR710" t="s">
        <v>101</v>
      </c>
      <c r="BS710" t="s">
        <v>13344</v>
      </c>
      <c r="BT710" t="str">
        <f>HYPERLINK("https%3A%2F%2Fwww.webofscience.com%2Fwos%2Fwoscc%2Ffull-record%2FWOS:000306824300002","View Full Record in Web of Science")</f>
        <v>View Full Record in Web of Science</v>
      </c>
    </row>
    <row r="711" spans="1:72" x14ac:dyDescent="0.15">
      <c r="A711" t="s">
        <v>72</v>
      </c>
      <c r="B711" t="s">
        <v>13345</v>
      </c>
      <c r="C711" t="s">
        <v>74</v>
      </c>
      <c r="D711" t="s">
        <v>74</v>
      </c>
      <c r="E711" t="s">
        <v>74</v>
      </c>
      <c r="F711" t="s">
        <v>13346</v>
      </c>
      <c r="G711" t="s">
        <v>74</v>
      </c>
      <c r="H711" t="s">
        <v>74</v>
      </c>
      <c r="I711" t="s">
        <v>13347</v>
      </c>
      <c r="J711" t="s">
        <v>13348</v>
      </c>
      <c r="K711" t="s">
        <v>74</v>
      </c>
      <c r="L711" t="s">
        <v>74</v>
      </c>
      <c r="M711" t="s">
        <v>78</v>
      </c>
      <c r="N711" t="s">
        <v>79</v>
      </c>
      <c r="O711" t="s">
        <v>74</v>
      </c>
      <c r="P711" t="s">
        <v>74</v>
      </c>
      <c r="Q711" t="s">
        <v>74</v>
      </c>
      <c r="R711" t="s">
        <v>74</v>
      </c>
      <c r="S711" t="s">
        <v>74</v>
      </c>
      <c r="T711" t="s">
        <v>13349</v>
      </c>
      <c r="U711" t="s">
        <v>13350</v>
      </c>
      <c r="V711" t="s">
        <v>13351</v>
      </c>
      <c r="W711" t="s">
        <v>13352</v>
      </c>
      <c r="X711" t="s">
        <v>13353</v>
      </c>
      <c r="Y711" t="s">
        <v>13354</v>
      </c>
      <c r="Z711" t="s">
        <v>13355</v>
      </c>
      <c r="AA711" t="s">
        <v>13356</v>
      </c>
      <c r="AB711" t="s">
        <v>13357</v>
      </c>
      <c r="AC711" t="s">
        <v>13358</v>
      </c>
      <c r="AD711" t="s">
        <v>13359</v>
      </c>
      <c r="AE711" t="s">
        <v>13360</v>
      </c>
      <c r="AF711" t="s">
        <v>74</v>
      </c>
      <c r="AG711">
        <v>74</v>
      </c>
      <c r="AH711">
        <v>20</v>
      </c>
      <c r="AI711">
        <v>20</v>
      </c>
      <c r="AJ711">
        <v>2</v>
      </c>
      <c r="AK711">
        <v>50</v>
      </c>
      <c r="AL711" t="s">
        <v>13361</v>
      </c>
      <c r="AM711" t="s">
        <v>4194</v>
      </c>
      <c r="AN711" t="s">
        <v>13362</v>
      </c>
      <c r="AO711" t="s">
        <v>13363</v>
      </c>
      <c r="AP711" t="s">
        <v>13364</v>
      </c>
      <c r="AQ711" t="s">
        <v>74</v>
      </c>
      <c r="AR711" t="s">
        <v>13365</v>
      </c>
      <c r="AS711" t="s">
        <v>13366</v>
      </c>
      <c r="AT711" t="s">
        <v>12897</v>
      </c>
      <c r="AU711">
        <v>2012</v>
      </c>
      <c r="AV711">
        <v>48</v>
      </c>
      <c r="AW711">
        <v>3</v>
      </c>
      <c r="AX711" t="s">
        <v>74</v>
      </c>
      <c r="AY711" t="s">
        <v>74</v>
      </c>
      <c r="AZ711" t="s">
        <v>74</v>
      </c>
      <c r="BA711" t="s">
        <v>74</v>
      </c>
      <c r="BB711">
        <v>632</v>
      </c>
      <c r="BC711">
        <v>645</v>
      </c>
      <c r="BD711" t="s">
        <v>74</v>
      </c>
      <c r="BE711" t="s">
        <v>13367</v>
      </c>
      <c r="BF711" t="str">
        <f>HYPERLINK("http://dx.doi.org/10.7589/0090-3558-48.3.632","http://dx.doi.org/10.7589/0090-3558-48.3.632")</f>
        <v>http://dx.doi.org/10.7589/0090-3558-48.3.632</v>
      </c>
      <c r="BG711" t="s">
        <v>74</v>
      </c>
      <c r="BH711" t="s">
        <v>74</v>
      </c>
      <c r="BI711">
        <v>14</v>
      </c>
      <c r="BJ711" t="s">
        <v>6409</v>
      </c>
      <c r="BK711" t="s">
        <v>98</v>
      </c>
      <c r="BL711" t="s">
        <v>6409</v>
      </c>
      <c r="BM711" t="s">
        <v>13368</v>
      </c>
      <c r="BN711">
        <v>22740529</v>
      </c>
      <c r="BO711" t="s">
        <v>607</v>
      </c>
      <c r="BP711" t="s">
        <v>74</v>
      </c>
      <c r="BQ711" t="s">
        <v>74</v>
      </c>
      <c r="BR711" t="s">
        <v>101</v>
      </c>
      <c r="BS711" t="s">
        <v>13369</v>
      </c>
      <c r="BT711" t="str">
        <f>HYPERLINK("https%3A%2F%2Fwww.webofscience.com%2Fwos%2Fwoscc%2Ffull-record%2FWOS:000306264600012","View Full Record in Web of Science")</f>
        <v>View Full Record in Web of Science</v>
      </c>
    </row>
    <row r="712" spans="1:72" x14ac:dyDescent="0.15">
      <c r="A712" t="s">
        <v>72</v>
      </c>
      <c r="B712" t="s">
        <v>13370</v>
      </c>
      <c r="C712" t="s">
        <v>74</v>
      </c>
      <c r="D712" t="s">
        <v>74</v>
      </c>
      <c r="E712" t="s">
        <v>74</v>
      </c>
      <c r="F712" t="s">
        <v>13371</v>
      </c>
      <c r="G712" t="s">
        <v>74</v>
      </c>
      <c r="H712" t="s">
        <v>74</v>
      </c>
      <c r="I712" t="s">
        <v>13372</v>
      </c>
      <c r="J712" t="s">
        <v>13373</v>
      </c>
      <c r="K712" t="s">
        <v>74</v>
      </c>
      <c r="L712" t="s">
        <v>74</v>
      </c>
      <c r="M712" t="s">
        <v>78</v>
      </c>
      <c r="N712" t="s">
        <v>79</v>
      </c>
      <c r="O712" t="s">
        <v>74</v>
      </c>
      <c r="P712" t="s">
        <v>74</v>
      </c>
      <c r="Q712" t="s">
        <v>74</v>
      </c>
      <c r="R712" t="s">
        <v>74</v>
      </c>
      <c r="S712" t="s">
        <v>74</v>
      </c>
      <c r="T712" t="s">
        <v>74</v>
      </c>
      <c r="U712" t="s">
        <v>13374</v>
      </c>
      <c r="V712" t="s">
        <v>13375</v>
      </c>
      <c r="W712" t="s">
        <v>13376</v>
      </c>
      <c r="X712" t="s">
        <v>13377</v>
      </c>
      <c r="Y712" t="s">
        <v>13378</v>
      </c>
      <c r="Z712" t="s">
        <v>13379</v>
      </c>
      <c r="AA712" t="s">
        <v>4527</v>
      </c>
      <c r="AB712" t="s">
        <v>13380</v>
      </c>
      <c r="AC712" t="s">
        <v>13381</v>
      </c>
      <c r="AD712" t="s">
        <v>4529</v>
      </c>
      <c r="AE712" t="s">
        <v>13382</v>
      </c>
      <c r="AF712" t="s">
        <v>74</v>
      </c>
      <c r="AG712">
        <v>30</v>
      </c>
      <c r="AH712">
        <v>26</v>
      </c>
      <c r="AI712">
        <v>31</v>
      </c>
      <c r="AJ712">
        <v>0</v>
      </c>
      <c r="AK712">
        <v>16</v>
      </c>
      <c r="AL712" t="s">
        <v>1429</v>
      </c>
      <c r="AM712" t="s">
        <v>1430</v>
      </c>
      <c r="AN712" t="s">
        <v>1431</v>
      </c>
      <c r="AO712" t="s">
        <v>13383</v>
      </c>
      <c r="AP712" t="s">
        <v>13384</v>
      </c>
      <c r="AQ712" t="s">
        <v>74</v>
      </c>
      <c r="AR712" t="s">
        <v>13385</v>
      </c>
      <c r="AS712" t="s">
        <v>13386</v>
      </c>
      <c r="AT712" t="s">
        <v>12897</v>
      </c>
      <c r="AU712">
        <v>2012</v>
      </c>
      <c r="AV712">
        <v>140</v>
      </c>
      <c r="AW712">
        <v>7</v>
      </c>
      <c r="AX712" t="s">
        <v>74</v>
      </c>
      <c r="AY712" t="s">
        <v>74</v>
      </c>
      <c r="AZ712" t="s">
        <v>74</v>
      </c>
      <c r="BA712" t="s">
        <v>74</v>
      </c>
      <c r="BB712">
        <v>2044</v>
      </c>
      <c r="BC712">
        <v>2063</v>
      </c>
      <c r="BD712" t="s">
        <v>74</v>
      </c>
      <c r="BE712" t="s">
        <v>13387</v>
      </c>
      <c r="BF712" t="str">
        <f>HYPERLINK("http://dx.doi.org/10.1175/MWR-D-11-00261.1","http://dx.doi.org/10.1175/MWR-D-11-00261.1")</f>
        <v>http://dx.doi.org/10.1175/MWR-D-11-00261.1</v>
      </c>
      <c r="BG712" t="s">
        <v>74</v>
      </c>
      <c r="BH712" t="s">
        <v>74</v>
      </c>
      <c r="BI712">
        <v>20</v>
      </c>
      <c r="BJ712" t="s">
        <v>378</v>
      </c>
      <c r="BK712" t="s">
        <v>98</v>
      </c>
      <c r="BL712" t="s">
        <v>378</v>
      </c>
      <c r="BM712" t="s">
        <v>13388</v>
      </c>
      <c r="BN712" t="s">
        <v>74</v>
      </c>
      <c r="BO712" t="s">
        <v>380</v>
      </c>
      <c r="BP712" t="s">
        <v>74</v>
      </c>
      <c r="BQ712" t="s">
        <v>74</v>
      </c>
      <c r="BR712" t="s">
        <v>101</v>
      </c>
      <c r="BS712" t="s">
        <v>13389</v>
      </c>
      <c r="BT712" t="str">
        <f>HYPERLINK("https%3A%2F%2Fwww.webofscience.com%2Fwos%2Fwoscc%2Ffull-record%2FWOS:000306159700002","View Full Record in Web of Science")</f>
        <v>View Full Record in Web of Science</v>
      </c>
    </row>
    <row r="713" spans="1:72" x14ac:dyDescent="0.15">
      <c r="A713" t="s">
        <v>72</v>
      </c>
      <c r="B713" t="s">
        <v>13390</v>
      </c>
      <c r="C713" t="s">
        <v>74</v>
      </c>
      <c r="D713" t="s">
        <v>74</v>
      </c>
      <c r="E713" t="s">
        <v>74</v>
      </c>
      <c r="F713" t="s">
        <v>13391</v>
      </c>
      <c r="G713" t="s">
        <v>74</v>
      </c>
      <c r="H713" t="s">
        <v>74</v>
      </c>
      <c r="I713" t="s">
        <v>13392</v>
      </c>
      <c r="J713" t="s">
        <v>13393</v>
      </c>
      <c r="K713" t="s">
        <v>74</v>
      </c>
      <c r="L713" t="s">
        <v>74</v>
      </c>
      <c r="M713" t="s">
        <v>78</v>
      </c>
      <c r="N713" t="s">
        <v>79</v>
      </c>
      <c r="O713" t="s">
        <v>74</v>
      </c>
      <c r="P713" t="s">
        <v>74</v>
      </c>
      <c r="Q713" t="s">
        <v>74</v>
      </c>
      <c r="R713" t="s">
        <v>74</v>
      </c>
      <c r="S713" t="s">
        <v>74</v>
      </c>
      <c r="T713" t="s">
        <v>74</v>
      </c>
      <c r="U713" t="s">
        <v>13394</v>
      </c>
      <c r="V713" t="s">
        <v>13395</v>
      </c>
      <c r="W713" t="s">
        <v>13396</v>
      </c>
      <c r="X713" t="s">
        <v>13397</v>
      </c>
      <c r="Y713" t="s">
        <v>12396</v>
      </c>
      <c r="Z713" t="s">
        <v>13398</v>
      </c>
      <c r="AA713" t="s">
        <v>74</v>
      </c>
      <c r="AB713" t="s">
        <v>13399</v>
      </c>
      <c r="AC713" t="s">
        <v>13400</v>
      </c>
      <c r="AD713" t="s">
        <v>13401</v>
      </c>
      <c r="AE713" t="s">
        <v>13402</v>
      </c>
      <c r="AF713" t="s">
        <v>74</v>
      </c>
      <c r="AG713">
        <v>21</v>
      </c>
      <c r="AH713">
        <v>21</v>
      </c>
      <c r="AI713">
        <v>24</v>
      </c>
      <c r="AJ713">
        <v>2</v>
      </c>
      <c r="AK713">
        <v>18</v>
      </c>
      <c r="AL713" t="s">
        <v>1989</v>
      </c>
      <c r="AM713" t="s">
        <v>1990</v>
      </c>
      <c r="AN713" t="s">
        <v>1991</v>
      </c>
      <c r="AO713" t="s">
        <v>74</v>
      </c>
      <c r="AP713" t="s">
        <v>13403</v>
      </c>
      <c r="AQ713" t="s">
        <v>74</v>
      </c>
      <c r="AR713" t="s">
        <v>13404</v>
      </c>
      <c r="AS713" t="s">
        <v>13405</v>
      </c>
      <c r="AT713" t="s">
        <v>12897</v>
      </c>
      <c r="AU713">
        <v>2012</v>
      </c>
      <c r="AV713">
        <v>68</v>
      </c>
      <c r="AW713" t="s">
        <v>74</v>
      </c>
      <c r="AX713">
        <v>7</v>
      </c>
      <c r="AY713" t="s">
        <v>74</v>
      </c>
      <c r="AZ713" t="s">
        <v>74</v>
      </c>
      <c r="BA713" t="s">
        <v>74</v>
      </c>
      <c r="BB713">
        <v>806</v>
      </c>
      <c r="BC713">
        <v>809</v>
      </c>
      <c r="BD713" t="s">
        <v>74</v>
      </c>
      <c r="BE713" t="s">
        <v>13406</v>
      </c>
      <c r="BF713" t="str">
        <f>HYPERLINK("http://dx.doi.org/10.1107/S1744309112020465","http://dx.doi.org/10.1107/S1744309112020465")</f>
        <v>http://dx.doi.org/10.1107/S1744309112020465</v>
      </c>
      <c r="BG713" t="s">
        <v>74</v>
      </c>
      <c r="BH713" t="s">
        <v>74</v>
      </c>
      <c r="BI713">
        <v>4</v>
      </c>
      <c r="BJ713" t="s">
        <v>13407</v>
      </c>
      <c r="BK713" t="s">
        <v>98</v>
      </c>
      <c r="BL713" t="s">
        <v>13408</v>
      </c>
      <c r="BM713" t="s">
        <v>13409</v>
      </c>
      <c r="BN713">
        <v>22750870</v>
      </c>
      <c r="BO713" t="s">
        <v>1499</v>
      </c>
      <c r="BP713" t="s">
        <v>74</v>
      </c>
      <c r="BQ713" t="s">
        <v>74</v>
      </c>
      <c r="BR713" t="s">
        <v>101</v>
      </c>
      <c r="BS713" t="s">
        <v>13410</v>
      </c>
      <c r="BT713" t="str">
        <f>HYPERLINK("https%3A%2F%2Fwww.webofscience.com%2Fwos%2Fwoscc%2Ffull-record%2FWOS:000305967100018","View Full Record in Web of Science")</f>
        <v>View Full Record in Web of Science</v>
      </c>
    </row>
    <row r="714" spans="1:72" x14ac:dyDescent="0.15">
      <c r="A714" t="s">
        <v>72</v>
      </c>
      <c r="B714" t="s">
        <v>13411</v>
      </c>
      <c r="C714" t="s">
        <v>74</v>
      </c>
      <c r="D714" t="s">
        <v>74</v>
      </c>
      <c r="E714" t="s">
        <v>74</v>
      </c>
      <c r="F714" t="s">
        <v>13412</v>
      </c>
      <c r="G714" t="s">
        <v>74</v>
      </c>
      <c r="H714" t="s">
        <v>74</v>
      </c>
      <c r="I714" t="s">
        <v>13413</v>
      </c>
      <c r="J714" t="s">
        <v>13414</v>
      </c>
      <c r="K714" t="s">
        <v>74</v>
      </c>
      <c r="L714" t="s">
        <v>74</v>
      </c>
      <c r="M714" t="s">
        <v>78</v>
      </c>
      <c r="N714" t="s">
        <v>79</v>
      </c>
      <c r="O714" t="s">
        <v>74</v>
      </c>
      <c r="P714" t="s">
        <v>74</v>
      </c>
      <c r="Q714" t="s">
        <v>74</v>
      </c>
      <c r="R714" t="s">
        <v>74</v>
      </c>
      <c r="S714" t="s">
        <v>74</v>
      </c>
      <c r="T714" t="s">
        <v>13415</v>
      </c>
      <c r="U714" t="s">
        <v>13416</v>
      </c>
      <c r="V714" t="s">
        <v>13417</v>
      </c>
      <c r="W714" t="s">
        <v>13418</v>
      </c>
      <c r="X714" t="s">
        <v>13419</v>
      </c>
      <c r="Y714" t="s">
        <v>13420</v>
      </c>
      <c r="Z714" t="s">
        <v>13421</v>
      </c>
      <c r="AA714" t="s">
        <v>13422</v>
      </c>
      <c r="AB714" t="s">
        <v>13423</v>
      </c>
      <c r="AC714" t="s">
        <v>13424</v>
      </c>
      <c r="AD714" t="s">
        <v>13425</v>
      </c>
      <c r="AE714" t="s">
        <v>13426</v>
      </c>
      <c r="AF714" t="s">
        <v>74</v>
      </c>
      <c r="AG714">
        <v>54</v>
      </c>
      <c r="AH714">
        <v>20</v>
      </c>
      <c r="AI714">
        <v>27</v>
      </c>
      <c r="AJ714">
        <v>1</v>
      </c>
      <c r="AK714">
        <v>49</v>
      </c>
      <c r="AL714" t="s">
        <v>935</v>
      </c>
      <c r="AM714" t="s">
        <v>2382</v>
      </c>
      <c r="AN714" t="s">
        <v>2383</v>
      </c>
      <c r="AO714" t="s">
        <v>13427</v>
      </c>
      <c r="AP714" t="s">
        <v>13428</v>
      </c>
      <c r="AQ714" t="s">
        <v>74</v>
      </c>
      <c r="AR714" t="s">
        <v>13429</v>
      </c>
      <c r="AS714" t="s">
        <v>13430</v>
      </c>
      <c r="AT714" t="s">
        <v>12897</v>
      </c>
      <c r="AU714">
        <v>2012</v>
      </c>
      <c r="AV714">
        <v>21</v>
      </c>
      <c r="AW714">
        <v>8</v>
      </c>
      <c r="AX714" t="s">
        <v>74</v>
      </c>
      <c r="AY714" t="s">
        <v>74</v>
      </c>
      <c r="AZ714" t="s">
        <v>74</v>
      </c>
      <c r="BA714" t="s">
        <v>74</v>
      </c>
      <c r="BB714">
        <v>2095</v>
      </c>
      <c r="BC714">
        <v>2107</v>
      </c>
      <c r="BD714" t="s">
        <v>74</v>
      </c>
      <c r="BE714" t="s">
        <v>13431</v>
      </c>
      <c r="BF714" t="str">
        <f>HYPERLINK("http://dx.doi.org/10.1007/s10531-012-0299-x","http://dx.doi.org/10.1007/s10531-012-0299-x")</f>
        <v>http://dx.doi.org/10.1007/s10531-012-0299-x</v>
      </c>
      <c r="BG714" t="s">
        <v>74</v>
      </c>
      <c r="BH714" t="s">
        <v>74</v>
      </c>
      <c r="BI714">
        <v>13</v>
      </c>
      <c r="BJ714" t="s">
        <v>2203</v>
      </c>
      <c r="BK714" t="s">
        <v>98</v>
      </c>
      <c r="BL714" t="s">
        <v>1880</v>
      </c>
      <c r="BM714" t="s">
        <v>13432</v>
      </c>
      <c r="BN714" t="s">
        <v>74</v>
      </c>
      <c r="BO714" t="s">
        <v>74</v>
      </c>
      <c r="BP714" t="s">
        <v>74</v>
      </c>
      <c r="BQ714" t="s">
        <v>74</v>
      </c>
      <c r="BR714" t="s">
        <v>101</v>
      </c>
      <c r="BS714" t="s">
        <v>13433</v>
      </c>
      <c r="BT714" t="str">
        <f>HYPERLINK("https%3A%2F%2Fwww.webofscience.com%2Fwos%2Fwoscc%2Ffull-record%2FWOS:000305228400013","View Full Record in Web of Science")</f>
        <v>View Full Record in Web of Science</v>
      </c>
    </row>
    <row r="715" spans="1:72" x14ac:dyDescent="0.15">
      <c r="A715" t="s">
        <v>72</v>
      </c>
      <c r="B715" t="s">
        <v>13434</v>
      </c>
      <c r="C715" t="s">
        <v>74</v>
      </c>
      <c r="D715" t="s">
        <v>74</v>
      </c>
      <c r="E715" t="s">
        <v>74</v>
      </c>
      <c r="F715" t="s">
        <v>13435</v>
      </c>
      <c r="G715" t="s">
        <v>74</v>
      </c>
      <c r="H715" t="s">
        <v>74</v>
      </c>
      <c r="I715" t="s">
        <v>13436</v>
      </c>
      <c r="J715" t="s">
        <v>11602</v>
      </c>
      <c r="K715" t="s">
        <v>74</v>
      </c>
      <c r="L715" t="s">
        <v>74</v>
      </c>
      <c r="M715" t="s">
        <v>78</v>
      </c>
      <c r="N715" t="s">
        <v>79</v>
      </c>
      <c r="O715" t="s">
        <v>74</v>
      </c>
      <c r="P715" t="s">
        <v>74</v>
      </c>
      <c r="Q715" t="s">
        <v>74</v>
      </c>
      <c r="R715" t="s">
        <v>74</v>
      </c>
      <c r="S715" t="s">
        <v>74</v>
      </c>
      <c r="T715" t="s">
        <v>13437</v>
      </c>
      <c r="U715" t="s">
        <v>13438</v>
      </c>
      <c r="V715" t="s">
        <v>13439</v>
      </c>
      <c r="W715" t="s">
        <v>13440</v>
      </c>
      <c r="X715" t="s">
        <v>13441</v>
      </c>
      <c r="Y715" t="s">
        <v>13442</v>
      </c>
      <c r="Z715" t="s">
        <v>13443</v>
      </c>
      <c r="AA715" t="s">
        <v>13444</v>
      </c>
      <c r="AB715" t="s">
        <v>74</v>
      </c>
      <c r="AC715" t="s">
        <v>13445</v>
      </c>
      <c r="AD715" t="s">
        <v>5322</v>
      </c>
      <c r="AE715" t="s">
        <v>13446</v>
      </c>
      <c r="AF715" t="s">
        <v>74</v>
      </c>
      <c r="AG715">
        <v>21</v>
      </c>
      <c r="AH715">
        <v>8</v>
      </c>
      <c r="AI715">
        <v>8</v>
      </c>
      <c r="AJ715">
        <v>2</v>
      </c>
      <c r="AK715">
        <v>10</v>
      </c>
      <c r="AL715" t="s">
        <v>1932</v>
      </c>
      <c r="AM715" t="s">
        <v>1933</v>
      </c>
      <c r="AN715" t="s">
        <v>1934</v>
      </c>
      <c r="AO715" t="s">
        <v>11613</v>
      </c>
      <c r="AP715" t="s">
        <v>74</v>
      </c>
      <c r="AQ715" t="s">
        <v>74</v>
      </c>
      <c r="AR715" t="s">
        <v>11615</v>
      </c>
      <c r="AS715" t="s">
        <v>11616</v>
      </c>
      <c r="AT715" t="s">
        <v>12897</v>
      </c>
      <c r="AU715">
        <v>2012</v>
      </c>
      <c r="AV715">
        <v>57</v>
      </c>
      <c r="AW715">
        <v>20</v>
      </c>
      <c r="AX715" t="s">
        <v>74</v>
      </c>
      <c r="AY715" t="s">
        <v>74</v>
      </c>
      <c r="AZ715" t="s">
        <v>74</v>
      </c>
      <c r="BA715" t="s">
        <v>74</v>
      </c>
      <c r="BB715">
        <v>2606</v>
      </c>
      <c r="BC715">
        <v>2614</v>
      </c>
      <c r="BD715" t="s">
        <v>74</v>
      </c>
      <c r="BE715" t="s">
        <v>13447</v>
      </c>
      <c r="BF715" t="str">
        <f>HYPERLINK("http://dx.doi.org/10.1007/s11434-012-5168-1","http://dx.doi.org/10.1007/s11434-012-5168-1")</f>
        <v>http://dx.doi.org/10.1007/s11434-012-5168-1</v>
      </c>
      <c r="BG715" t="s">
        <v>74</v>
      </c>
      <c r="BH715" t="s">
        <v>74</v>
      </c>
      <c r="BI715">
        <v>9</v>
      </c>
      <c r="BJ715" t="s">
        <v>153</v>
      </c>
      <c r="BK715" t="s">
        <v>98</v>
      </c>
      <c r="BL715" t="s">
        <v>154</v>
      </c>
      <c r="BM715" t="s">
        <v>13448</v>
      </c>
      <c r="BN715" t="s">
        <v>74</v>
      </c>
      <c r="BO715" t="s">
        <v>607</v>
      </c>
      <c r="BP715" t="s">
        <v>74</v>
      </c>
      <c r="BQ715" t="s">
        <v>74</v>
      </c>
      <c r="BR715" t="s">
        <v>101</v>
      </c>
      <c r="BS715" t="s">
        <v>13449</v>
      </c>
      <c r="BT715" t="str">
        <f>HYPERLINK("https%3A%2F%2Fwww.webofscience.com%2Fwos%2Fwoscc%2Ffull-record%2FWOS:000305916000015","View Full Record in Web of Science")</f>
        <v>View Full Record in Web of Science</v>
      </c>
    </row>
    <row r="716" spans="1:72" x14ac:dyDescent="0.15">
      <c r="A716" t="s">
        <v>72</v>
      </c>
      <c r="B716" t="s">
        <v>13450</v>
      </c>
      <c r="C716" t="s">
        <v>74</v>
      </c>
      <c r="D716" t="s">
        <v>74</v>
      </c>
      <c r="E716" t="s">
        <v>74</v>
      </c>
      <c r="F716" t="s">
        <v>13451</v>
      </c>
      <c r="G716" t="s">
        <v>74</v>
      </c>
      <c r="H716" t="s">
        <v>74</v>
      </c>
      <c r="I716" t="s">
        <v>13452</v>
      </c>
      <c r="J716" t="s">
        <v>7974</v>
      </c>
      <c r="K716" t="s">
        <v>74</v>
      </c>
      <c r="L716" t="s">
        <v>74</v>
      </c>
      <c r="M716" t="s">
        <v>78</v>
      </c>
      <c r="N716" t="s">
        <v>79</v>
      </c>
      <c r="O716" t="s">
        <v>74</v>
      </c>
      <c r="P716" t="s">
        <v>74</v>
      </c>
      <c r="Q716" t="s">
        <v>74</v>
      </c>
      <c r="R716" t="s">
        <v>74</v>
      </c>
      <c r="S716" t="s">
        <v>74</v>
      </c>
      <c r="T716" t="s">
        <v>13453</v>
      </c>
      <c r="U716" t="s">
        <v>13454</v>
      </c>
      <c r="V716" t="s">
        <v>13455</v>
      </c>
      <c r="W716" t="s">
        <v>13456</v>
      </c>
      <c r="X716" t="s">
        <v>13457</v>
      </c>
      <c r="Y716" t="s">
        <v>13458</v>
      </c>
      <c r="Z716" t="s">
        <v>8297</v>
      </c>
      <c r="AA716" t="s">
        <v>74</v>
      </c>
      <c r="AB716" t="s">
        <v>13459</v>
      </c>
      <c r="AC716" t="s">
        <v>13460</v>
      </c>
      <c r="AD716" t="s">
        <v>13461</v>
      </c>
      <c r="AE716" t="s">
        <v>13462</v>
      </c>
      <c r="AF716" t="s">
        <v>74</v>
      </c>
      <c r="AG716">
        <v>14</v>
      </c>
      <c r="AH716">
        <v>17</v>
      </c>
      <c r="AI716">
        <v>17</v>
      </c>
      <c r="AJ716">
        <v>1</v>
      </c>
      <c r="AK716">
        <v>24</v>
      </c>
      <c r="AL716" t="s">
        <v>13463</v>
      </c>
      <c r="AM716" t="s">
        <v>7988</v>
      </c>
      <c r="AN716" t="s">
        <v>13464</v>
      </c>
      <c r="AO716" t="s">
        <v>7990</v>
      </c>
      <c r="AP716" t="s">
        <v>74</v>
      </c>
      <c r="AQ716" t="s">
        <v>74</v>
      </c>
      <c r="AR716" t="s">
        <v>7974</v>
      </c>
      <c r="AS716" t="s">
        <v>7992</v>
      </c>
      <c r="AT716" t="s">
        <v>12897</v>
      </c>
      <c r="AU716">
        <v>2012</v>
      </c>
      <c r="AV716">
        <v>16</v>
      </c>
      <c r="AW716">
        <v>4</v>
      </c>
      <c r="AX716" t="s">
        <v>74</v>
      </c>
      <c r="AY716" t="s">
        <v>74</v>
      </c>
      <c r="AZ716" t="s">
        <v>74</v>
      </c>
      <c r="BA716" t="s">
        <v>74</v>
      </c>
      <c r="BB716">
        <v>681</v>
      </c>
      <c r="BC716">
        <v>683</v>
      </c>
      <c r="BD716" t="s">
        <v>74</v>
      </c>
      <c r="BE716" t="s">
        <v>13465</v>
      </c>
      <c r="BF716" t="str">
        <f>HYPERLINK("http://dx.doi.org/10.1007/s00792-012-0456-x","http://dx.doi.org/10.1007/s00792-012-0456-x")</f>
        <v>http://dx.doi.org/10.1007/s00792-012-0456-x</v>
      </c>
      <c r="BG716" t="s">
        <v>74</v>
      </c>
      <c r="BH716" t="s">
        <v>74</v>
      </c>
      <c r="BI716">
        <v>3</v>
      </c>
      <c r="BJ716" t="s">
        <v>7994</v>
      </c>
      <c r="BK716" t="s">
        <v>98</v>
      </c>
      <c r="BL716" t="s">
        <v>7994</v>
      </c>
      <c r="BM716" t="s">
        <v>13466</v>
      </c>
      <c r="BN716">
        <v>22552624</v>
      </c>
      <c r="BO716" t="s">
        <v>74</v>
      </c>
      <c r="BP716" t="s">
        <v>74</v>
      </c>
      <c r="BQ716" t="s">
        <v>74</v>
      </c>
      <c r="BR716" t="s">
        <v>101</v>
      </c>
      <c r="BS716" t="s">
        <v>13467</v>
      </c>
      <c r="BT716" t="str">
        <f>HYPERLINK("https%3A%2F%2Fwww.webofscience.com%2Fwos%2Fwoscc%2Ffull-record%2FWOS:000305886500011","View Full Record in Web of Science")</f>
        <v>View Full Record in Web of Science</v>
      </c>
    </row>
    <row r="717" spans="1:72" x14ac:dyDescent="0.15">
      <c r="A717" t="s">
        <v>72</v>
      </c>
      <c r="B717" t="s">
        <v>13468</v>
      </c>
      <c r="C717" t="s">
        <v>74</v>
      </c>
      <c r="D717" t="s">
        <v>74</v>
      </c>
      <c r="E717" t="s">
        <v>74</v>
      </c>
      <c r="F717" t="s">
        <v>13469</v>
      </c>
      <c r="G717" t="s">
        <v>74</v>
      </c>
      <c r="H717" t="s">
        <v>74</v>
      </c>
      <c r="I717" t="s">
        <v>13470</v>
      </c>
      <c r="J717" t="s">
        <v>1836</v>
      </c>
      <c r="K717" t="s">
        <v>74</v>
      </c>
      <c r="L717" t="s">
        <v>74</v>
      </c>
      <c r="M717" t="s">
        <v>78</v>
      </c>
      <c r="N717" t="s">
        <v>79</v>
      </c>
      <c r="O717" t="s">
        <v>74</v>
      </c>
      <c r="P717" t="s">
        <v>74</v>
      </c>
      <c r="Q717" t="s">
        <v>74</v>
      </c>
      <c r="R717" t="s">
        <v>74</v>
      </c>
      <c r="S717" t="s">
        <v>74</v>
      </c>
      <c r="T717" t="s">
        <v>13471</v>
      </c>
      <c r="U717" t="s">
        <v>13472</v>
      </c>
      <c r="V717" t="s">
        <v>13473</v>
      </c>
      <c r="W717" t="s">
        <v>13474</v>
      </c>
      <c r="X717" t="s">
        <v>13475</v>
      </c>
      <c r="Y717" t="s">
        <v>13476</v>
      </c>
      <c r="Z717" t="s">
        <v>13477</v>
      </c>
      <c r="AA717" t="s">
        <v>74</v>
      </c>
      <c r="AB717" t="s">
        <v>13478</v>
      </c>
      <c r="AC717" t="s">
        <v>13479</v>
      </c>
      <c r="AD717" t="s">
        <v>13480</v>
      </c>
      <c r="AE717" t="s">
        <v>13481</v>
      </c>
      <c r="AF717" t="s">
        <v>74</v>
      </c>
      <c r="AG717">
        <v>49</v>
      </c>
      <c r="AH717">
        <v>7</v>
      </c>
      <c r="AI717">
        <v>7</v>
      </c>
      <c r="AJ717">
        <v>0</v>
      </c>
      <c r="AK717">
        <v>8</v>
      </c>
      <c r="AL717" t="s">
        <v>1771</v>
      </c>
      <c r="AM717" t="s">
        <v>90</v>
      </c>
      <c r="AN717" t="s">
        <v>1772</v>
      </c>
      <c r="AO717" t="s">
        <v>1849</v>
      </c>
      <c r="AP717" t="s">
        <v>1850</v>
      </c>
      <c r="AQ717" t="s">
        <v>74</v>
      </c>
      <c r="AR717" t="s">
        <v>1851</v>
      </c>
      <c r="AS717" t="s">
        <v>1852</v>
      </c>
      <c r="AT717" t="s">
        <v>12897</v>
      </c>
      <c r="AU717">
        <v>2012</v>
      </c>
      <c r="AV717">
        <v>32</v>
      </c>
      <c r="AW717">
        <v>4</v>
      </c>
      <c r="AX717" t="s">
        <v>74</v>
      </c>
      <c r="AY717" t="s">
        <v>74</v>
      </c>
      <c r="AZ717" t="s">
        <v>74</v>
      </c>
      <c r="BA717" t="s">
        <v>74</v>
      </c>
      <c r="BB717">
        <v>575</v>
      </c>
      <c r="BC717">
        <v>581</v>
      </c>
      <c r="BD717" t="s">
        <v>74</v>
      </c>
      <c r="BE717" t="s">
        <v>13482</v>
      </c>
      <c r="BF717" t="str">
        <f>HYPERLINK("http://dx.doi.org/10.1163/193724012X635926","http://dx.doi.org/10.1163/193724012X635926")</f>
        <v>http://dx.doi.org/10.1163/193724012X635926</v>
      </c>
      <c r="BG717" t="s">
        <v>74</v>
      </c>
      <c r="BH717" t="s">
        <v>74</v>
      </c>
      <c r="BI717">
        <v>7</v>
      </c>
      <c r="BJ717" t="s">
        <v>1854</v>
      </c>
      <c r="BK717" t="s">
        <v>98</v>
      </c>
      <c r="BL717" t="s">
        <v>1854</v>
      </c>
      <c r="BM717" t="s">
        <v>13483</v>
      </c>
      <c r="BN717" t="s">
        <v>74</v>
      </c>
      <c r="BO717" t="s">
        <v>607</v>
      </c>
      <c r="BP717" t="s">
        <v>74</v>
      </c>
      <c r="BQ717" t="s">
        <v>74</v>
      </c>
      <c r="BR717" t="s">
        <v>101</v>
      </c>
      <c r="BS717" t="s">
        <v>13484</v>
      </c>
      <c r="BT717" t="str">
        <f>HYPERLINK("https%3A%2F%2Fwww.webofscience.com%2Fwos%2Fwoscc%2Ffull-record%2FWOS:000305670500008","View Full Record in Web of Science")</f>
        <v>View Full Record in Web of Science</v>
      </c>
    </row>
    <row r="718" spans="1:72" x14ac:dyDescent="0.15">
      <c r="A718" t="s">
        <v>72</v>
      </c>
      <c r="B718" t="s">
        <v>13485</v>
      </c>
      <c r="C718" t="s">
        <v>74</v>
      </c>
      <c r="D718" t="s">
        <v>74</v>
      </c>
      <c r="E718" t="s">
        <v>74</v>
      </c>
      <c r="F718" t="s">
        <v>13486</v>
      </c>
      <c r="G718" t="s">
        <v>74</v>
      </c>
      <c r="H718" t="s">
        <v>74</v>
      </c>
      <c r="I718" t="s">
        <v>13487</v>
      </c>
      <c r="J718" t="s">
        <v>4570</v>
      </c>
      <c r="K718" t="s">
        <v>74</v>
      </c>
      <c r="L718" t="s">
        <v>74</v>
      </c>
      <c r="M718" t="s">
        <v>78</v>
      </c>
      <c r="N718" t="s">
        <v>79</v>
      </c>
      <c r="O718" t="s">
        <v>74</v>
      </c>
      <c r="P718" t="s">
        <v>74</v>
      </c>
      <c r="Q718" t="s">
        <v>74</v>
      </c>
      <c r="R718" t="s">
        <v>74</v>
      </c>
      <c r="S718" t="s">
        <v>74</v>
      </c>
      <c r="T718" t="s">
        <v>13488</v>
      </c>
      <c r="U718" t="s">
        <v>13489</v>
      </c>
      <c r="V718" t="s">
        <v>13490</v>
      </c>
      <c r="W718" t="s">
        <v>13491</v>
      </c>
      <c r="X718" t="s">
        <v>13492</v>
      </c>
      <c r="Y718" t="s">
        <v>13493</v>
      </c>
      <c r="Z718" t="s">
        <v>13494</v>
      </c>
      <c r="AA718" t="s">
        <v>13495</v>
      </c>
      <c r="AB718" t="s">
        <v>13496</v>
      </c>
      <c r="AC718" t="s">
        <v>13497</v>
      </c>
      <c r="AD718" t="s">
        <v>13497</v>
      </c>
      <c r="AE718" t="s">
        <v>13498</v>
      </c>
      <c r="AF718" t="s">
        <v>74</v>
      </c>
      <c r="AG718">
        <v>88</v>
      </c>
      <c r="AH718">
        <v>7</v>
      </c>
      <c r="AI718">
        <v>7</v>
      </c>
      <c r="AJ718">
        <v>0</v>
      </c>
      <c r="AK718">
        <v>16</v>
      </c>
      <c r="AL718" t="s">
        <v>898</v>
      </c>
      <c r="AM718" t="s">
        <v>899</v>
      </c>
      <c r="AN718" t="s">
        <v>900</v>
      </c>
      <c r="AO718" t="s">
        <v>4583</v>
      </c>
      <c r="AP718" t="s">
        <v>4584</v>
      </c>
      <c r="AQ718" t="s">
        <v>74</v>
      </c>
      <c r="AR718" t="s">
        <v>4585</v>
      </c>
      <c r="AS718" t="s">
        <v>4586</v>
      </c>
      <c r="AT718" t="s">
        <v>12897</v>
      </c>
      <c r="AU718">
        <v>2012</v>
      </c>
      <c r="AV718">
        <v>27</v>
      </c>
      <c r="AW718">
        <v>5</v>
      </c>
      <c r="AX718" t="s">
        <v>74</v>
      </c>
      <c r="AY718" t="s">
        <v>74</v>
      </c>
      <c r="AZ718" t="s">
        <v>74</v>
      </c>
      <c r="BA718" t="s">
        <v>74</v>
      </c>
      <c r="BB718">
        <v>519</v>
      </c>
      <c r="BC718">
        <v>530</v>
      </c>
      <c r="BD718" t="s">
        <v>74</v>
      </c>
      <c r="BE718" t="s">
        <v>13499</v>
      </c>
      <c r="BF718" t="str">
        <f>HYPERLINK("http://dx.doi.org/10.1002/jqs.2542","http://dx.doi.org/10.1002/jqs.2542")</f>
        <v>http://dx.doi.org/10.1002/jqs.2542</v>
      </c>
      <c r="BG718" t="s">
        <v>74</v>
      </c>
      <c r="BH718" t="s">
        <v>74</v>
      </c>
      <c r="BI718">
        <v>12</v>
      </c>
      <c r="BJ718" t="s">
        <v>97</v>
      </c>
      <c r="BK718" t="s">
        <v>98</v>
      </c>
      <c r="BL718" t="s">
        <v>99</v>
      </c>
      <c r="BM718" t="s">
        <v>13500</v>
      </c>
      <c r="BN718" t="s">
        <v>74</v>
      </c>
      <c r="BO718" t="s">
        <v>74</v>
      </c>
      <c r="BP718" t="s">
        <v>74</v>
      </c>
      <c r="BQ718" t="s">
        <v>74</v>
      </c>
      <c r="BR718" t="s">
        <v>101</v>
      </c>
      <c r="BS718" t="s">
        <v>13501</v>
      </c>
      <c r="BT718" t="str">
        <f>HYPERLINK("https%3A%2F%2Fwww.webofscience.com%2Fwos%2Fwoscc%2Ffull-record%2FWOS:000305967000009","View Full Record in Web of Science")</f>
        <v>View Full Record in Web of Science</v>
      </c>
    </row>
    <row r="719" spans="1:72" x14ac:dyDescent="0.15">
      <c r="A719" t="s">
        <v>72</v>
      </c>
      <c r="B719" t="s">
        <v>13502</v>
      </c>
      <c r="C719" t="s">
        <v>74</v>
      </c>
      <c r="D719" t="s">
        <v>74</v>
      </c>
      <c r="E719" t="s">
        <v>74</v>
      </c>
      <c r="F719" t="s">
        <v>13503</v>
      </c>
      <c r="G719" t="s">
        <v>74</v>
      </c>
      <c r="H719" t="s">
        <v>74</v>
      </c>
      <c r="I719" t="s">
        <v>13504</v>
      </c>
      <c r="J719" t="s">
        <v>13505</v>
      </c>
      <c r="K719" t="s">
        <v>74</v>
      </c>
      <c r="L719" t="s">
        <v>74</v>
      </c>
      <c r="M719" t="s">
        <v>78</v>
      </c>
      <c r="N719" t="s">
        <v>79</v>
      </c>
      <c r="O719" t="s">
        <v>74</v>
      </c>
      <c r="P719" t="s">
        <v>74</v>
      </c>
      <c r="Q719" t="s">
        <v>74</v>
      </c>
      <c r="R719" t="s">
        <v>74</v>
      </c>
      <c r="S719" t="s">
        <v>74</v>
      </c>
      <c r="T719" t="s">
        <v>13506</v>
      </c>
      <c r="U719" t="s">
        <v>13507</v>
      </c>
      <c r="V719" t="s">
        <v>13508</v>
      </c>
      <c r="W719" t="s">
        <v>13509</v>
      </c>
      <c r="X719" t="s">
        <v>13510</v>
      </c>
      <c r="Y719" t="s">
        <v>13511</v>
      </c>
      <c r="Z719" t="s">
        <v>13512</v>
      </c>
      <c r="AA719" t="s">
        <v>13513</v>
      </c>
      <c r="AB719" t="s">
        <v>13514</v>
      </c>
      <c r="AC719" t="s">
        <v>13515</v>
      </c>
      <c r="AD719" t="s">
        <v>13516</v>
      </c>
      <c r="AE719" t="s">
        <v>13517</v>
      </c>
      <c r="AF719" t="s">
        <v>74</v>
      </c>
      <c r="AG719">
        <v>38</v>
      </c>
      <c r="AH719">
        <v>21</v>
      </c>
      <c r="AI719">
        <v>31</v>
      </c>
      <c r="AJ719">
        <v>2</v>
      </c>
      <c r="AK719">
        <v>61</v>
      </c>
      <c r="AL719" t="s">
        <v>13518</v>
      </c>
      <c r="AM719" t="s">
        <v>6457</v>
      </c>
      <c r="AN719" t="s">
        <v>13519</v>
      </c>
      <c r="AO719" t="s">
        <v>13520</v>
      </c>
      <c r="AP719" t="s">
        <v>13521</v>
      </c>
      <c r="AQ719" t="s">
        <v>74</v>
      </c>
      <c r="AR719" t="s">
        <v>13522</v>
      </c>
      <c r="AS719" t="s">
        <v>13523</v>
      </c>
      <c r="AT719" t="s">
        <v>12897</v>
      </c>
      <c r="AU719">
        <v>2012</v>
      </c>
      <c r="AV719">
        <v>29</v>
      </c>
      <c r="AW719">
        <v>7</v>
      </c>
      <c r="AX719" t="s">
        <v>74</v>
      </c>
      <c r="AY719" t="s">
        <v>74</v>
      </c>
      <c r="AZ719" t="s">
        <v>74</v>
      </c>
      <c r="BA719" t="s">
        <v>74</v>
      </c>
      <c r="BB719">
        <v>918</v>
      </c>
      <c r="BC719">
        <v>924</v>
      </c>
      <c r="BD719" t="s">
        <v>74</v>
      </c>
      <c r="BE719" t="s">
        <v>13524</v>
      </c>
      <c r="BF719" t="str">
        <f>HYPERLINK("http://dx.doi.org/10.1007/s11814-011-0273-4","http://dx.doi.org/10.1007/s11814-011-0273-4")</f>
        <v>http://dx.doi.org/10.1007/s11814-011-0273-4</v>
      </c>
      <c r="BG719" t="s">
        <v>74</v>
      </c>
      <c r="BH719" t="s">
        <v>74</v>
      </c>
      <c r="BI719">
        <v>7</v>
      </c>
      <c r="BJ719" t="s">
        <v>13525</v>
      </c>
      <c r="BK719" t="s">
        <v>98</v>
      </c>
      <c r="BL719" t="s">
        <v>13526</v>
      </c>
      <c r="BM719" t="s">
        <v>13527</v>
      </c>
      <c r="BN719" t="s">
        <v>74</v>
      </c>
      <c r="BO719" t="s">
        <v>74</v>
      </c>
      <c r="BP719" t="s">
        <v>74</v>
      </c>
      <c r="BQ719" t="s">
        <v>74</v>
      </c>
      <c r="BR719" t="s">
        <v>101</v>
      </c>
      <c r="BS719" t="s">
        <v>13528</v>
      </c>
      <c r="BT719" t="str">
        <f>HYPERLINK("https%3A%2F%2Fwww.webofscience.com%2Fwos%2Fwoscc%2Ffull-record%2FWOS:000305959300012","View Full Record in Web of Science")</f>
        <v>View Full Record in Web of Science</v>
      </c>
    </row>
    <row r="720" spans="1:72" x14ac:dyDescent="0.15">
      <c r="A720" t="s">
        <v>72</v>
      </c>
      <c r="B720" t="s">
        <v>13529</v>
      </c>
      <c r="C720" t="s">
        <v>74</v>
      </c>
      <c r="D720" t="s">
        <v>74</v>
      </c>
      <c r="E720" t="s">
        <v>74</v>
      </c>
      <c r="F720" t="s">
        <v>13530</v>
      </c>
      <c r="G720" t="s">
        <v>74</v>
      </c>
      <c r="H720" t="s">
        <v>74</v>
      </c>
      <c r="I720" t="s">
        <v>13531</v>
      </c>
      <c r="J720" t="s">
        <v>178</v>
      </c>
      <c r="K720" t="s">
        <v>74</v>
      </c>
      <c r="L720" t="s">
        <v>74</v>
      </c>
      <c r="M720" t="s">
        <v>78</v>
      </c>
      <c r="N720" t="s">
        <v>79</v>
      </c>
      <c r="O720" t="s">
        <v>74</v>
      </c>
      <c r="P720" t="s">
        <v>74</v>
      </c>
      <c r="Q720" t="s">
        <v>74</v>
      </c>
      <c r="R720" t="s">
        <v>74</v>
      </c>
      <c r="S720" t="s">
        <v>74</v>
      </c>
      <c r="T720" t="s">
        <v>13532</v>
      </c>
      <c r="U720" t="s">
        <v>13533</v>
      </c>
      <c r="V720" t="s">
        <v>13534</v>
      </c>
      <c r="W720" t="s">
        <v>13535</v>
      </c>
      <c r="X720" t="s">
        <v>12356</v>
      </c>
      <c r="Y720" t="s">
        <v>13536</v>
      </c>
      <c r="Z720" t="s">
        <v>13537</v>
      </c>
      <c r="AA720" t="s">
        <v>13538</v>
      </c>
      <c r="AB720" t="s">
        <v>13539</v>
      </c>
      <c r="AC720" t="s">
        <v>13540</v>
      </c>
      <c r="AD720" t="s">
        <v>4332</v>
      </c>
      <c r="AE720" t="s">
        <v>13541</v>
      </c>
      <c r="AF720" t="s">
        <v>74</v>
      </c>
      <c r="AG720">
        <v>30</v>
      </c>
      <c r="AH720">
        <v>28</v>
      </c>
      <c r="AI720">
        <v>32</v>
      </c>
      <c r="AJ720">
        <v>1</v>
      </c>
      <c r="AK720">
        <v>51</v>
      </c>
      <c r="AL720" t="s">
        <v>259</v>
      </c>
      <c r="AM720" t="s">
        <v>189</v>
      </c>
      <c r="AN720" t="s">
        <v>260</v>
      </c>
      <c r="AO720" t="s">
        <v>191</v>
      </c>
      <c r="AP720" t="s">
        <v>192</v>
      </c>
      <c r="AQ720" t="s">
        <v>74</v>
      </c>
      <c r="AR720" t="s">
        <v>193</v>
      </c>
      <c r="AS720" t="s">
        <v>194</v>
      </c>
      <c r="AT720" t="s">
        <v>13542</v>
      </c>
      <c r="AU720">
        <v>2012</v>
      </c>
      <c r="AV720">
        <v>339</v>
      </c>
      <c r="AW720" t="s">
        <v>74</v>
      </c>
      <c r="AX720" t="s">
        <v>74</v>
      </c>
      <c r="AY720" t="s">
        <v>74</v>
      </c>
      <c r="AZ720" t="s">
        <v>74</v>
      </c>
      <c r="BA720" t="s">
        <v>74</v>
      </c>
      <c r="BB720">
        <v>66</v>
      </c>
      <c r="BC720">
        <v>73</v>
      </c>
      <c r="BD720" t="s">
        <v>74</v>
      </c>
      <c r="BE720" t="s">
        <v>13543</v>
      </c>
      <c r="BF720" t="str">
        <f>HYPERLINK("http://dx.doi.org/10.1016/j.palaeo.2012.04.023","http://dx.doi.org/10.1016/j.palaeo.2012.04.023")</f>
        <v>http://dx.doi.org/10.1016/j.palaeo.2012.04.023</v>
      </c>
      <c r="BG720" t="s">
        <v>74</v>
      </c>
      <c r="BH720" t="s">
        <v>74</v>
      </c>
      <c r="BI720">
        <v>8</v>
      </c>
      <c r="BJ720" t="s">
        <v>197</v>
      </c>
      <c r="BK720" t="s">
        <v>98</v>
      </c>
      <c r="BL720" t="s">
        <v>198</v>
      </c>
      <c r="BM720" t="s">
        <v>13544</v>
      </c>
      <c r="BN720" t="s">
        <v>74</v>
      </c>
      <c r="BO720" t="s">
        <v>74</v>
      </c>
      <c r="BP720" t="s">
        <v>74</v>
      </c>
      <c r="BQ720" t="s">
        <v>74</v>
      </c>
      <c r="BR720" t="s">
        <v>101</v>
      </c>
      <c r="BS720" t="s">
        <v>13545</v>
      </c>
      <c r="BT720" t="str">
        <f>HYPERLINK("https%3A%2F%2Fwww.webofscience.com%2Fwos%2Fwoscc%2Ffull-record%2FWOS:000305878500006","View Full Record in Web of Science")</f>
        <v>View Full Record in Web of Science</v>
      </c>
    </row>
    <row r="721" spans="1:72" x14ac:dyDescent="0.15">
      <c r="A721" t="s">
        <v>72</v>
      </c>
      <c r="B721" t="s">
        <v>13546</v>
      </c>
      <c r="C721" t="s">
        <v>74</v>
      </c>
      <c r="D721" t="s">
        <v>74</v>
      </c>
      <c r="E721" t="s">
        <v>74</v>
      </c>
      <c r="F721" t="s">
        <v>13547</v>
      </c>
      <c r="G721" t="s">
        <v>74</v>
      </c>
      <c r="H721" t="s">
        <v>74</v>
      </c>
      <c r="I721" t="s">
        <v>13548</v>
      </c>
      <c r="J721" t="s">
        <v>11152</v>
      </c>
      <c r="K721" t="s">
        <v>74</v>
      </c>
      <c r="L721" t="s">
        <v>74</v>
      </c>
      <c r="M721" t="s">
        <v>78</v>
      </c>
      <c r="N721" t="s">
        <v>79</v>
      </c>
      <c r="O721" t="s">
        <v>74</v>
      </c>
      <c r="P721" t="s">
        <v>74</v>
      </c>
      <c r="Q721" t="s">
        <v>74</v>
      </c>
      <c r="R721" t="s">
        <v>74</v>
      </c>
      <c r="S721" t="s">
        <v>74</v>
      </c>
      <c r="T721" t="s">
        <v>13549</v>
      </c>
      <c r="U721" t="s">
        <v>13550</v>
      </c>
      <c r="V721" t="s">
        <v>13551</v>
      </c>
      <c r="W721" t="s">
        <v>13552</v>
      </c>
      <c r="X721" t="s">
        <v>13553</v>
      </c>
      <c r="Y721" t="s">
        <v>13554</v>
      </c>
      <c r="Z721" t="s">
        <v>13555</v>
      </c>
      <c r="AA721" t="s">
        <v>74</v>
      </c>
      <c r="AB721" t="s">
        <v>74</v>
      </c>
      <c r="AC721" t="s">
        <v>13556</v>
      </c>
      <c r="AD721" t="s">
        <v>13557</v>
      </c>
      <c r="AE721" t="s">
        <v>13558</v>
      </c>
      <c r="AF721" t="s">
        <v>74</v>
      </c>
      <c r="AG721">
        <v>21</v>
      </c>
      <c r="AH721">
        <v>10</v>
      </c>
      <c r="AI721">
        <v>11</v>
      </c>
      <c r="AJ721">
        <v>1</v>
      </c>
      <c r="AK721">
        <v>14</v>
      </c>
      <c r="AL721" t="s">
        <v>1932</v>
      </c>
      <c r="AM721" t="s">
        <v>1933</v>
      </c>
      <c r="AN721" t="s">
        <v>1934</v>
      </c>
      <c r="AO721" t="s">
        <v>11162</v>
      </c>
      <c r="AP721" t="s">
        <v>74</v>
      </c>
      <c r="AQ721" t="s">
        <v>74</v>
      </c>
      <c r="AR721" t="s">
        <v>11164</v>
      </c>
      <c r="AS721" t="s">
        <v>11165</v>
      </c>
      <c r="AT721" t="s">
        <v>12897</v>
      </c>
      <c r="AU721">
        <v>2012</v>
      </c>
      <c r="AV721">
        <v>55</v>
      </c>
      <c r="AW721">
        <v>7</v>
      </c>
      <c r="AX721" t="s">
        <v>74</v>
      </c>
      <c r="AY721" t="s">
        <v>74</v>
      </c>
      <c r="AZ721" t="s">
        <v>74</v>
      </c>
      <c r="BA721" t="s">
        <v>74</v>
      </c>
      <c r="BB721">
        <v>1193</v>
      </c>
      <c r="BC721">
        <v>1205</v>
      </c>
      <c r="BD721" t="s">
        <v>74</v>
      </c>
      <c r="BE721" t="s">
        <v>13559</v>
      </c>
      <c r="BF721" t="str">
        <f>HYPERLINK("http://dx.doi.org/10.1007/s11430-011-4293-z","http://dx.doi.org/10.1007/s11430-011-4293-z")</f>
        <v>http://dx.doi.org/10.1007/s11430-011-4293-z</v>
      </c>
      <c r="BG721" t="s">
        <v>74</v>
      </c>
      <c r="BH721" t="s">
        <v>74</v>
      </c>
      <c r="BI721">
        <v>13</v>
      </c>
      <c r="BJ721" t="s">
        <v>461</v>
      </c>
      <c r="BK721" t="s">
        <v>98</v>
      </c>
      <c r="BL721" t="s">
        <v>462</v>
      </c>
      <c r="BM721" t="s">
        <v>13560</v>
      </c>
      <c r="BN721" t="s">
        <v>74</v>
      </c>
      <c r="BO721" t="s">
        <v>74</v>
      </c>
      <c r="BP721" t="s">
        <v>74</v>
      </c>
      <c r="BQ721" t="s">
        <v>74</v>
      </c>
      <c r="BR721" t="s">
        <v>101</v>
      </c>
      <c r="BS721" t="s">
        <v>13561</v>
      </c>
      <c r="BT721" t="str">
        <f>HYPERLINK("https%3A%2F%2Fwww.webofscience.com%2Fwos%2Fwoscc%2Ffull-record%2FWOS:000305891900013","View Full Record in Web of Science")</f>
        <v>View Full Record in Web of Science</v>
      </c>
    </row>
    <row r="722" spans="1:72" x14ac:dyDescent="0.15">
      <c r="A722" t="s">
        <v>72</v>
      </c>
      <c r="B722" t="s">
        <v>13562</v>
      </c>
      <c r="C722" t="s">
        <v>74</v>
      </c>
      <c r="D722" t="s">
        <v>74</v>
      </c>
      <c r="E722" t="s">
        <v>74</v>
      </c>
      <c r="F722" t="s">
        <v>13563</v>
      </c>
      <c r="G722" t="s">
        <v>74</v>
      </c>
      <c r="H722" t="s">
        <v>74</v>
      </c>
      <c r="I722" t="s">
        <v>13564</v>
      </c>
      <c r="J722" t="s">
        <v>1709</v>
      </c>
      <c r="K722" t="s">
        <v>74</v>
      </c>
      <c r="L722" t="s">
        <v>74</v>
      </c>
      <c r="M722" t="s">
        <v>78</v>
      </c>
      <c r="N722" t="s">
        <v>79</v>
      </c>
      <c r="O722" t="s">
        <v>74</v>
      </c>
      <c r="P722" t="s">
        <v>74</v>
      </c>
      <c r="Q722" t="s">
        <v>74</v>
      </c>
      <c r="R722" t="s">
        <v>74</v>
      </c>
      <c r="S722" t="s">
        <v>74</v>
      </c>
      <c r="T722" t="s">
        <v>13565</v>
      </c>
      <c r="U722" t="s">
        <v>13566</v>
      </c>
      <c r="V722" t="s">
        <v>13567</v>
      </c>
      <c r="W722" t="s">
        <v>13568</v>
      </c>
      <c r="X722" t="s">
        <v>13569</v>
      </c>
      <c r="Y722" t="s">
        <v>13570</v>
      </c>
      <c r="Z722" t="s">
        <v>13571</v>
      </c>
      <c r="AA722" t="s">
        <v>13572</v>
      </c>
      <c r="AB722" t="s">
        <v>13573</v>
      </c>
      <c r="AC722" t="s">
        <v>13574</v>
      </c>
      <c r="AD722" t="s">
        <v>13575</v>
      </c>
      <c r="AE722" t="s">
        <v>13576</v>
      </c>
      <c r="AF722" t="s">
        <v>74</v>
      </c>
      <c r="AG722">
        <v>63</v>
      </c>
      <c r="AH722">
        <v>15</v>
      </c>
      <c r="AI722">
        <v>16</v>
      </c>
      <c r="AJ722">
        <v>0</v>
      </c>
      <c r="AK722">
        <v>14</v>
      </c>
      <c r="AL722" t="s">
        <v>935</v>
      </c>
      <c r="AM722" t="s">
        <v>371</v>
      </c>
      <c r="AN722" t="s">
        <v>1873</v>
      </c>
      <c r="AO722" t="s">
        <v>1722</v>
      </c>
      <c r="AP722" t="s">
        <v>1723</v>
      </c>
      <c r="AQ722" t="s">
        <v>74</v>
      </c>
      <c r="AR722" t="s">
        <v>1724</v>
      </c>
      <c r="AS722" t="s">
        <v>1725</v>
      </c>
      <c r="AT722" t="s">
        <v>12897</v>
      </c>
      <c r="AU722">
        <v>2012</v>
      </c>
      <c r="AV722">
        <v>39</v>
      </c>
      <c r="AW722" t="s">
        <v>13577</v>
      </c>
      <c r="AX722" t="s">
        <v>74</v>
      </c>
      <c r="AY722" t="s">
        <v>74</v>
      </c>
      <c r="AZ722" t="s">
        <v>74</v>
      </c>
      <c r="BA722" t="s">
        <v>74</v>
      </c>
      <c r="BB722">
        <v>347</v>
      </c>
      <c r="BC722">
        <v>363</v>
      </c>
      <c r="BD722" t="s">
        <v>74</v>
      </c>
      <c r="BE722" t="s">
        <v>13578</v>
      </c>
      <c r="BF722" t="str">
        <f>HYPERLINK("http://dx.doi.org/10.1007/s00382-011-1199-6","http://dx.doi.org/10.1007/s00382-011-1199-6")</f>
        <v>http://dx.doi.org/10.1007/s00382-011-1199-6</v>
      </c>
      <c r="BG722" t="s">
        <v>74</v>
      </c>
      <c r="BH722" t="s">
        <v>74</v>
      </c>
      <c r="BI722">
        <v>17</v>
      </c>
      <c r="BJ722" t="s">
        <v>378</v>
      </c>
      <c r="BK722" t="s">
        <v>98</v>
      </c>
      <c r="BL722" t="s">
        <v>378</v>
      </c>
      <c r="BM722" t="s">
        <v>13579</v>
      </c>
      <c r="BN722" t="s">
        <v>74</v>
      </c>
      <c r="BO722" t="s">
        <v>12635</v>
      </c>
      <c r="BP722" t="s">
        <v>74</v>
      </c>
      <c r="BQ722" t="s">
        <v>74</v>
      </c>
      <c r="BR722" t="s">
        <v>101</v>
      </c>
      <c r="BS722" t="s">
        <v>13580</v>
      </c>
      <c r="BT722" t="str">
        <f>HYPERLINK("https%3A%2F%2Fwww.webofscience.com%2Fwos%2Fwoscc%2Ffull-record%2FWOS:000305745100021","View Full Record in Web of Science")</f>
        <v>View Full Record in Web of Science</v>
      </c>
    </row>
    <row r="723" spans="1:72" x14ac:dyDescent="0.15">
      <c r="A723" t="s">
        <v>72</v>
      </c>
      <c r="B723" t="s">
        <v>13581</v>
      </c>
      <c r="C723" t="s">
        <v>74</v>
      </c>
      <c r="D723" t="s">
        <v>74</v>
      </c>
      <c r="E723" t="s">
        <v>74</v>
      </c>
      <c r="F723" t="s">
        <v>13582</v>
      </c>
      <c r="G723" t="s">
        <v>74</v>
      </c>
      <c r="H723" t="s">
        <v>74</v>
      </c>
      <c r="I723" t="s">
        <v>13583</v>
      </c>
      <c r="J723" t="s">
        <v>1709</v>
      </c>
      <c r="K723" t="s">
        <v>74</v>
      </c>
      <c r="L723" t="s">
        <v>74</v>
      </c>
      <c r="M723" t="s">
        <v>78</v>
      </c>
      <c r="N723" t="s">
        <v>79</v>
      </c>
      <c r="O723" t="s">
        <v>74</v>
      </c>
      <c r="P723" t="s">
        <v>74</v>
      </c>
      <c r="Q723" t="s">
        <v>74</v>
      </c>
      <c r="R723" t="s">
        <v>74</v>
      </c>
      <c r="S723" t="s">
        <v>74</v>
      </c>
      <c r="T723" t="s">
        <v>13584</v>
      </c>
      <c r="U723" t="s">
        <v>13585</v>
      </c>
      <c r="V723" t="s">
        <v>13586</v>
      </c>
      <c r="W723" t="s">
        <v>13587</v>
      </c>
      <c r="X723" t="s">
        <v>13588</v>
      </c>
      <c r="Y723" t="s">
        <v>13589</v>
      </c>
      <c r="Z723" t="s">
        <v>13590</v>
      </c>
      <c r="AA723" t="s">
        <v>13591</v>
      </c>
      <c r="AB723" t="s">
        <v>13592</v>
      </c>
      <c r="AC723" t="s">
        <v>13593</v>
      </c>
      <c r="AD723" t="s">
        <v>13594</v>
      </c>
      <c r="AE723" t="s">
        <v>13595</v>
      </c>
      <c r="AF723" t="s">
        <v>74</v>
      </c>
      <c r="AG723">
        <v>39</v>
      </c>
      <c r="AH723">
        <v>41</v>
      </c>
      <c r="AI723">
        <v>41</v>
      </c>
      <c r="AJ723">
        <v>2</v>
      </c>
      <c r="AK723">
        <v>23</v>
      </c>
      <c r="AL723" t="s">
        <v>935</v>
      </c>
      <c r="AM723" t="s">
        <v>371</v>
      </c>
      <c r="AN723" t="s">
        <v>1873</v>
      </c>
      <c r="AO723" t="s">
        <v>1722</v>
      </c>
      <c r="AP723" t="s">
        <v>1723</v>
      </c>
      <c r="AQ723" t="s">
        <v>74</v>
      </c>
      <c r="AR723" t="s">
        <v>1724</v>
      </c>
      <c r="AS723" t="s">
        <v>1725</v>
      </c>
      <c r="AT723" t="s">
        <v>12897</v>
      </c>
      <c r="AU723">
        <v>2012</v>
      </c>
      <c r="AV723">
        <v>39</v>
      </c>
      <c r="AW723" t="s">
        <v>13577</v>
      </c>
      <c r="AX723" t="s">
        <v>74</v>
      </c>
      <c r="AY723" t="s">
        <v>74</v>
      </c>
      <c r="AZ723" t="s">
        <v>74</v>
      </c>
      <c r="BA723" t="s">
        <v>74</v>
      </c>
      <c r="BB723">
        <v>445</v>
      </c>
      <c r="BC723">
        <v>459</v>
      </c>
      <c r="BD723" t="s">
        <v>74</v>
      </c>
      <c r="BE723" t="s">
        <v>13596</v>
      </c>
      <c r="BF723" t="str">
        <f>HYPERLINK("http://dx.doi.org/10.1007/s00382-012-1368-2","http://dx.doi.org/10.1007/s00382-012-1368-2")</f>
        <v>http://dx.doi.org/10.1007/s00382-012-1368-2</v>
      </c>
      <c r="BG723" t="s">
        <v>74</v>
      </c>
      <c r="BH723" t="s">
        <v>74</v>
      </c>
      <c r="BI723">
        <v>15</v>
      </c>
      <c r="BJ723" t="s">
        <v>378</v>
      </c>
      <c r="BK723" t="s">
        <v>98</v>
      </c>
      <c r="BL723" t="s">
        <v>378</v>
      </c>
      <c r="BM723" t="s">
        <v>13579</v>
      </c>
      <c r="BN723" t="s">
        <v>74</v>
      </c>
      <c r="BO723" t="s">
        <v>74</v>
      </c>
      <c r="BP723" t="s">
        <v>74</v>
      </c>
      <c r="BQ723" t="s">
        <v>74</v>
      </c>
      <c r="BR723" t="s">
        <v>101</v>
      </c>
      <c r="BS723" t="s">
        <v>13597</v>
      </c>
      <c r="BT723" t="str">
        <f>HYPERLINK("https%3A%2F%2Fwww.webofscience.com%2Fwos%2Fwoscc%2Ffull-record%2FWOS:000305745100026","View Full Record in Web of Science")</f>
        <v>View Full Record in Web of Science</v>
      </c>
    </row>
    <row r="724" spans="1:72" x14ac:dyDescent="0.15">
      <c r="A724" t="s">
        <v>72</v>
      </c>
      <c r="B724" t="s">
        <v>13598</v>
      </c>
      <c r="C724" t="s">
        <v>74</v>
      </c>
      <c r="D724" t="s">
        <v>74</v>
      </c>
      <c r="E724" t="s">
        <v>74</v>
      </c>
      <c r="F724" t="s">
        <v>13599</v>
      </c>
      <c r="G724" t="s">
        <v>74</v>
      </c>
      <c r="H724" t="s">
        <v>74</v>
      </c>
      <c r="I724" t="s">
        <v>13600</v>
      </c>
      <c r="J724" t="s">
        <v>13601</v>
      </c>
      <c r="K724" t="s">
        <v>74</v>
      </c>
      <c r="L724" t="s">
        <v>74</v>
      </c>
      <c r="M724" t="s">
        <v>78</v>
      </c>
      <c r="N724" t="s">
        <v>79</v>
      </c>
      <c r="O724" t="s">
        <v>74</v>
      </c>
      <c r="P724" t="s">
        <v>74</v>
      </c>
      <c r="Q724" t="s">
        <v>74</v>
      </c>
      <c r="R724" t="s">
        <v>74</v>
      </c>
      <c r="S724" t="s">
        <v>74</v>
      </c>
      <c r="T724" t="s">
        <v>74</v>
      </c>
      <c r="U724" t="s">
        <v>13602</v>
      </c>
      <c r="V724" t="s">
        <v>13603</v>
      </c>
      <c r="W724" t="s">
        <v>13604</v>
      </c>
      <c r="X724" t="s">
        <v>13605</v>
      </c>
      <c r="Y724" t="s">
        <v>13606</v>
      </c>
      <c r="Z724" t="s">
        <v>13607</v>
      </c>
      <c r="AA724" t="s">
        <v>13608</v>
      </c>
      <c r="AB724" t="s">
        <v>13609</v>
      </c>
      <c r="AC724" t="s">
        <v>13610</v>
      </c>
      <c r="AD724" t="s">
        <v>13611</v>
      </c>
      <c r="AE724" t="s">
        <v>13612</v>
      </c>
      <c r="AF724" t="s">
        <v>74</v>
      </c>
      <c r="AG724">
        <v>75</v>
      </c>
      <c r="AH724">
        <v>21</v>
      </c>
      <c r="AI724">
        <v>30</v>
      </c>
      <c r="AJ724">
        <v>1</v>
      </c>
      <c r="AK724">
        <v>76</v>
      </c>
      <c r="AL724" t="s">
        <v>898</v>
      </c>
      <c r="AM724" t="s">
        <v>899</v>
      </c>
      <c r="AN724" t="s">
        <v>900</v>
      </c>
      <c r="AO724" t="s">
        <v>13613</v>
      </c>
      <c r="AP724" t="s">
        <v>13614</v>
      </c>
      <c r="AQ724" t="s">
        <v>74</v>
      </c>
      <c r="AR724" t="s">
        <v>13601</v>
      </c>
      <c r="AS724" t="s">
        <v>13615</v>
      </c>
      <c r="AT724" t="s">
        <v>12897</v>
      </c>
      <c r="AU724">
        <v>2012</v>
      </c>
      <c r="AV724">
        <v>121</v>
      </c>
      <c r="AW724">
        <v>7</v>
      </c>
      <c r="AX724" t="s">
        <v>74</v>
      </c>
      <c r="AY724" t="s">
        <v>74</v>
      </c>
      <c r="AZ724" t="s">
        <v>74</v>
      </c>
      <c r="BA724" t="s">
        <v>74</v>
      </c>
      <c r="BB724">
        <v>1027</v>
      </c>
      <c r="BC724">
        <v>1040</v>
      </c>
      <c r="BD724" t="s">
        <v>74</v>
      </c>
      <c r="BE724" t="s">
        <v>13616</v>
      </c>
      <c r="BF724" t="str">
        <f>HYPERLINK("http://dx.doi.org/10.1111/j.1600-0706.2011.19673.x","http://dx.doi.org/10.1111/j.1600-0706.2011.19673.x")</f>
        <v>http://dx.doi.org/10.1111/j.1600-0706.2011.19673.x</v>
      </c>
      <c r="BG724" t="s">
        <v>74</v>
      </c>
      <c r="BH724" t="s">
        <v>74</v>
      </c>
      <c r="BI724">
        <v>14</v>
      </c>
      <c r="BJ724" t="s">
        <v>515</v>
      </c>
      <c r="BK724" t="s">
        <v>98</v>
      </c>
      <c r="BL724" t="s">
        <v>333</v>
      </c>
      <c r="BM724" t="s">
        <v>13617</v>
      </c>
      <c r="BN724" t="s">
        <v>74</v>
      </c>
      <c r="BO724" t="s">
        <v>1254</v>
      </c>
      <c r="BP724" t="s">
        <v>74</v>
      </c>
      <c r="BQ724" t="s">
        <v>74</v>
      </c>
      <c r="BR724" t="s">
        <v>101</v>
      </c>
      <c r="BS724" t="s">
        <v>13618</v>
      </c>
      <c r="BT724" t="str">
        <f>HYPERLINK("https%3A%2F%2Fwww.webofscience.com%2Fwos%2Fwoscc%2Ffull-record%2FWOS:000305614300005","View Full Record in Web of Science")</f>
        <v>View Full Record in Web of Science</v>
      </c>
    </row>
    <row r="725" spans="1:72" x14ac:dyDescent="0.15">
      <c r="A725" t="s">
        <v>72</v>
      </c>
      <c r="B725" t="s">
        <v>13619</v>
      </c>
      <c r="C725" t="s">
        <v>74</v>
      </c>
      <c r="D725" t="s">
        <v>74</v>
      </c>
      <c r="E725" t="s">
        <v>74</v>
      </c>
      <c r="F725" t="s">
        <v>13620</v>
      </c>
      <c r="G725" t="s">
        <v>74</v>
      </c>
      <c r="H725" t="s">
        <v>74</v>
      </c>
      <c r="I725" t="s">
        <v>13621</v>
      </c>
      <c r="J725" t="s">
        <v>13622</v>
      </c>
      <c r="K725" t="s">
        <v>74</v>
      </c>
      <c r="L725" t="s">
        <v>74</v>
      </c>
      <c r="M725" t="s">
        <v>78</v>
      </c>
      <c r="N725" t="s">
        <v>79</v>
      </c>
      <c r="O725" t="s">
        <v>74</v>
      </c>
      <c r="P725" t="s">
        <v>74</v>
      </c>
      <c r="Q725" t="s">
        <v>74</v>
      </c>
      <c r="R725" t="s">
        <v>74</v>
      </c>
      <c r="S725" t="s">
        <v>74</v>
      </c>
      <c r="T725" t="s">
        <v>13623</v>
      </c>
      <c r="U725" t="s">
        <v>13624</v>
      </c>
      <c r="V725" t="s">
        <v>13625</v>
      </c>
      <c r="W725" t="s">
        <v>13626</v>
      </c>
      <c r="X725" t="s">
        <v>13627</v>
      </c>
      <c r="Y725" t="s">
        <v>13628</v>
      </c>
      <c r="Z725" t="s">
        <v>13629</v>
      </c>
      <c r="AA725" t="s">
        <v>13630</v>
      </c>
      <c r="AB725" t="s">
        <v>74</v>
      </c>
      <c r="AC725" t="s">
        <v>13631</v>
      </c>
      <c r="AD725" t="s">
        <v>13631</v>
      </c>
      <c r="AE725" t="s">
        <v>13632</v>
      </c>
      <c r="AF725" t="s">
        <v>74</v>
      </c>
      <c r="AG725">
        <v>50</v>
      </c>
      <c r="AH725">
        <v>7</v>
      </c>
      <c r="AI725">
        <v>8</v>
      </c>
      <c r="AJ725">
        <v>0</v>
      </c>
      <c r="AK725">
        <v>16</v>
      </c>
      <c r="AL725" t="s">
        <v>1771</v>
      </c>
      <c r="AM725" t="s">
        <v>90</v>
      </c>
      <c r="AN725" t="s">
        <v>1772</v>
      </c>
      <c r="AO725" t="s">
        <v>13633</v>
      </c>
      <c r="AP725" t="s">
        <v>13634</v>
      </c>
      <c r="AQ725" t="s">
        <v>74</v>
      </c>
      <c r="AR725" t="s">
        <v>13635</v>
      </c>
      <c r="AS725" t="s">
        <v>13636</v>
      </c>
      <c r="AT725" t="s">
        <v>12897</v>
      </c>
      <c r="AU725">
        <v>2012</v>
      </c>
      <c r="AV725">
        <v>165</v>
      </c>
      <c r="AW725">
        <v>3</v>
      </c>
      <c r="AX725" t="s">
        <v>74</v>
      </c>
      <c r="AY725" t="s">
        <v>74</v>
      </c>
      <c r="AZ725" t="s">
        <v>74</v>
      </c>
      <c r="BA725" t="s">
        <v>74</v>
      </c>
      <c r="BB725">
        <v>521</v>
      </c>
      <c r="BC725">
        <v>533</v>
      </c>
      <c r="BD725" t="s">
        <v>74</v>
      </c>
      <c r="BE725" t="s">
        <v>13637</v>
      </c>
      <c r="BF725" t="str">
        <f>HYPERLINK("http://dx.doi.org/10.1111/j.1096-3642.2012.00820.x","http://dx.doi.org/10.1111/j.1096-3642.2012.00820.x")</f>
        <v>http://dx.doi.org/10.1111/j.1096-3642.2012.00820.x</v>
      </c>
      <c r="BG725" t="s">
        <v>74</v>
      </c>
      <c r="BH725" t="s">
        <v>74</v>
      </c>
      <c r="BI725">
        <v>13</v>
      </c>
      <c r="BJ725" t="s">
        <v>675</v>
      </c>
      <c r="BK725" t="s">
        <v>98</v>
      </c>
      <c r="BL725" t="s">
        <v>675</v>
      </c>
      <c r="BM725" t="s">
        <v>13638</v>
      </c>
      <c r="BN725" t="s">
        <v>74</v>
      </c>
      <c r="BO725" t="s">
        <v>607</v>
      </c>
      <c r="BP725" t="s">
        <v>74</v>
      </c>
      <c r="BQ725" t="s">
        <v>74</v>
      </c>
      <c r="BR725" t="s">
        <v>101</v>
      </c>
      <c r="BS725" t="s">
        <v>13639</v>
      </c>
      <c r="BT725" t="str">
        <f>HYPERLINK("https%3A%2F%2Fwww.webofscience.com%2Fwos%2Fwoscc%2Ffull-record%2FWOS:000305685000003","View Full Record in Web of Science")</f>
        <v>View Full Record in Web of Science</v>
      </c>
    </row>
    <row r="726" spans="1:72" x14ac:dyDescent="0.15">
      <c r="A726" t="s">
        <v>72</v>
      </c>
      <c r="B726" t="s">
        <v>13640</v>
      </c>
      <c r="C726" t="s">
        <v>74</v>
      </c>
      <c r="D726" t="s">
        <v>74</v>
      </c>
      <c r="E726" t="s">
        <v>74</v>
      </c>
      <c r="F726" t="s">
        <v>13641</v>
      </c>
      <c r="G726" t="s">
        <v>74</v>
      </c>
      <c r="H726" t="s">
        <v>74</v>
      </c>
      <c r="I726" t="s">
        <v>13642</v>
      </c>
      <c r="J726" t="s">
        <v>7827</v>
      </c>
      <c r="K726" t="s">
        <v>74</v>
      </c>
      <c r="L726" t="s">
        <v>74</v>
      </c>
      <c r="M726" t="s">
        <v>78</v>
      </c>
      <c r="N726" t="s">
        <v>79</v>
      </c>
      <c r="O726" t="s">
        <v>74</v>
      </c>
      <c r="P726" t="s">
        <v>74</v>
      </c>
      <c r="Q726" t="s">
        <v>74</v>
      </c>
      <c r="R726" t="s">
        <v>74</v>
      </c>
      <c r="S726" t="s">
        <v>74</v>
      </c>
      <c r="T726" t="s">
        <v>13643</v>
      </c>
      <c r="U726" t="s">
        <v>13644</v>
      </c>
      <c r="V726" t="s">
        <v>13645</v>
      </c>
      <c r="W726" t="s">
        <v>13646</v>
      </c>
      <c r="X726" t="s">
        <v>13647</v>
      </c>
      <c r="Y726" t="s">
        <v>13648</v>
      </c>
      <c r="Z726" t="s">
        <v>13649</v>
      </c>
      <c r="AA726" t="s">
        <v>13650</v>
      </c>
      <c r="AB726" t="s">
        <v>13651</v>
      </c>
      <c r="AC726" t="s">
        <v>74</v>
      </c>
      <c r="AD726" t="s">
        <v>74</v>
      </c>
      <c r="AE726" t="s">
        <v>74</v>
      </c>
      <c r="AF726" t="s">
        <v>74</v>
      </c>
      <c r="AG726">
        <v>46</v>
      </c>
      <c r="AH726">
        <v>25</v>
      </c>
      <c r="AI726">
        <v>27</v>
      </c>
      <c r="AJ726">
        <v>1</v>
      </c>
      <c r="AK726">
        <v>42</v>
      </c>
      <c r="AL726" t="s">
        <v>1771</v>
      </c>
      <c r="AM726" t="s">
        <v>90</v>
      </c>
      <c r="AN726" t="s">
        <v>1772</v>
      </c>
      <c r="AO726" t="s">
        <v>7839</v>
      </c>
      <c r="AP726" t="s">
        <v>74</v>
      </c>
      <c r="AQ726" t="s">
        <v>74</v>
      </c>
      <c r="AR726" t="s">
        <v>7841</v>
      </c>
      <c r="AS726" t="s">
        <v>7842</v>
      </c>
      <c r="AT726" t="s">
        <v>12897</v>
      </c>
      <c r="AU726">
        <v>2012</v>
      </c>
      <c r="AV726">
        <v>69</v>
      </c>
      <c r="AW726">
        <v>6</v>
      </c>
      <c r="AX726" t="s">
        <v>74</v>
      </c>
      <c r="AY726" t="s">
        <v>74</v>
      </c>
      <c r="AZ726" t="s">
        <v>74</v>
      </c>
      <c r="BA726" t="s">
        <v>74</v>
      </c>
      <c r="BB726">
        <v>953</v>
      </c>
      <c r="BC726">
        <v>960</v>
      </c>
      <c r="BD726" t="s">
        <v>74</v>
      </c>
      <c r="BE726" t="s">
        <v>13652</v>
      </c>
      <c r="BF726" t="str">
        <f>HYPERLINK("http://dx.doi.org/10.1093/icesjms/fss069","http://dx.doi.org/10.1093/icesjms/fss069")</f>
        <v>http://dx.doi.org/10.1093/icesjms/fss069</v>
      </c>
      <c r="BG726" t="s">
        <v>74</v>
      </c>
      <c r="BH726" t="s">
        <v>74</v>
      </c>
      <c r="BI726">
        <v>8</v>
      </c>
      <c r="BJ726" t="s">
        <v>7844</v>
      </c>
      <c r="BK726" t="s">
        <v>98</v>
      </c>
      <c r="BL726" t="s">
        <v>7844</v>
      </c>
      <c r="BM726" t="s">
        <v>13653</v>
      </c>
      <c r="BN726" t="s">
        <v>74</v>
      </c>
      <c r="BO726" t="s">
        <v>607</v>
      </c>
      <c r="BP726" t="s">
        <v>74</v>
      </c>
      <c r="BQ726" t="s">
        <v>74</v>
      </c>
      <c r="BR726" t="s">
        <v>101</v>
      </c>
      <c r="BS726" t="s">
        <v>13654</v>
      </c>
      <c r="BT726" t="str">
        <f>HYPERLINK("https%3A%2F%2Fwww.webofscience.com%2Fwos%2Fwoscc%2Ffull-record%2FWOS:000305461200003","View Full Record in Web of Science")</f>
        <v>View Full Record in Web of Science</v>
      </c>
    </row>
    <row r="727" spans="1:72" x14ac:dyDescent="0.15">
      <c r="A727" t="s">
        <v>72</v>
      </c>
      <c r="B727" t="s">
        <v>13655</v>
      </c>
      <c r="C727" t="s">
        <v>74</v>
      </c>
      <c r="D727" t="s">
        <v>74</v>
      </c>
      <c r="E727" t="s">
        <v>74</v>
      </c>
      <c r="F727" t="s">
        <v>13656</v>
      </c>
      <c r="G727" t="s">
        <v>74</v>
      </c>
      <c r="H727" t="s">
        <v>74</v>
      </c>
      <c r="I727" t="s">
        <v>13657</v>
      </c>
      <c r="J727" t="s">
        <v>5825</v>
      </c>
      <c r="K727" t="s">
        <v>74</v>
      </c>
      <c r="L727" t="s">
        <v>74</v>
      </c>
      <c r="M727" t="s">
        <v>78</v>
      </c>
      <c r="N727" t="s">
        <v>79</v>
      </c>
      <c r="O727" t="s">
        <v>74</v>
      </c>
      <c r="P727" t="s">
        <v>74</v>
      </c>
      <c r="Q727" t="s">
        <v>74</v>
      </c>
      <c r="R727" t="s">
        <v>74</v>
      </c>
      <c r="S727" t="s">
        <v>74</v>
      </c>
      <c r="T727" t="s">
        <v>13658</v>
      </c>
      <c r="U727" t="s">
        <v>13659</v>
      </c>
      <c r="V727" t="s">
        <v>13660</v>
      </c>
      <c r="W727" t="s">
        <v>13661</v>
      </c>
      <c r="X727" t="s">
        <v>13662</v>
      </c>
      <c r="Y727" t="s">
        <v>13663</v>
      </c>
      <c r="Z727" t="s">
        <v>13664</v>
      </c>
      <c r="AA727" t="s">
        <v>13665</v>
      </c>
      <c r="AB727" t="s">
        <v>13666</v>
      </c>
      <c r="AC727" t="s">
        <v>13667</v>
      </c>
      <c r="AD727" t="s">
        <v>13668</v>
      </c>
      <c r="AE727" t="s">
        <v>13669</v>
      </c>
      <c r="AF727" t="s">
        <v>74</v>
      </c>
      <c r="AG727">
        <v>71</v>
      </c>
      <c r="AH727">
        <v>25</v>
      </c>
      <c r="AI727">
        <v>27</v>
      </c>
      <c r="AJ727">
        <v>4</v>
      </c>
      <c r="AK727">
        <v>46</v>
      </c>
      <c r="AL727" t="s">
        <v>916</v>
      </c>
      <c r="AM727" t="s">
        <v>899</v>
      </c>
      <c r="AN727" t="s">
        <v>900</v>
      </c>
      <c r="AO727" t="s">
        <v>5837</v>
      </c>
      <c r="AP727" t="s">
        <v>74</v>
      </c>
      <c r="AQ727" t="s">
        <v>74</v>
      </c>
      <c r="AR727" t="s">
        <v>5839</v>
      </c>
      <c r="AS727" t="s">
        <v>5840</v>
      </c>
      <c r="AT727" t="s">
        <v>12897</v>
      </c>
      <c r="AU727">
        <v>2012</v>
      </c>
      <c r="AV727">
        <v>39</v>
      </c>
      <c r="AW727">
        <v>7</v>
      </c>
      <c r="AX727" t="s">
        <v>74</v>
      </c>
      <c r="AY727" t="s">
        <v>74</v>
      </c>
      <c r="AZ727" t="s">
        <v>74</v>
      </c>
      <c r="BA727" t="s">
        <v>74</v>
      </c>
      <c r="BB727">
        <v>1361</v>
      </c>
      <c r="BC727">
        <v>1372</v>
      </c>
      <c r="BD727" t="s">
        <v>74</v>
      </c>
      <c r="BE727" t="s">
        <v>13670</v>
      </c>
      <c r="BF727" t="str">
        <f>HYPERLINK("http://dx.doi.org/10.1111/j.1365-2699.2011.02682.x","http://dx.doi.org/10.1111/j.1365-2699.2011.02682.x")</f>
        <v>http://dx.doi.org/10.1111/j.1365-2699.2011.02682.x</v>
      </c>
      <c r="BG727" t="s">
        <v>74</v>
      </c>
      <c r="BH727" t="s">
        <v>74</v>
      </c>
      <c r="BI727">
        <v>12</v>
      </c>
      <c r="BJ727" t="s">
        <v>5842</v>
      </c>
      <c r="BK727" t="s">
        <v>98</v>
      </c>
      <c r="BL727" t="s">
        <v>996</v>
      </c>
      <c r="BM727" t="s">
        <v>13671</v>
      </c>
      <c r="BN727" t="s">
        <v>74</v>
      </c>
      <c r="BO727" t="s">
        <v>74</v>
      </c>
      <c r="BP727" t="s">
        <v>74</v>
      </c>
      <c r="BQ727" t="s">
        <v>74</v>
      </c>
      <c r="BR727" t="s">
        <v>101</v>
      </c>
      <c r="BS727" t="s">
        <v>13672</v>
      </c>
      <c r="BT727" t="str">
        <f>HYPERLINK("https%3A%2F%2Fwww.webofscience.com%2Fwos%2Fwoscc%2Ffull-record%2FWOS:000305452500013","View Full Record in Web of Science")</f>
        <v>View Full Record in Web of Science</v>
      </c>
    </row>
    <row r="728" spans="1:72" x14ac:dyDescent="0.15">
      <c r="A728" t="s">
        <v>72</v>
      </c>
      <c r="B728" t="s">
        <v>13673</v>
      </c>
      <c r="C728" t="s">
        <v>74</v>
      </c>
      <c r="D728" t="s">
        <v>74</v>
      </c>
      <c r="E728" t="s">
        <v>74</v>
      </c>
      <c r="F728" t="s">
        <v>13674</v>
      </c>
      <c r="G728" t="s">
        <v>74</v>
      </c>
      <c r="H728" t="s">
        <v>74</v>
      </c>
      <c r="I728" t="s">
        <v>13675</v>
      </c>
      <c r="J728" t="s">
        <v>13676</v>
      </c>
      <c r="K728" t="s">
        <v>74</v>
      </c>
      <c r="L728" t="s">
        <v>74</v>
      </c>
      <c r="M728" t="s">
        <v>78</v>
      </c>
      <c r="N728" t="s">
        <v>79</v>
      </c>
      <c r="O728" t="s">
        <v>74</v>
      </c>
      <c r="P728" t="s">
        <v>74</v>
      </c>
      <c r="Q728" t="s">
        <v>74</v>
      </c>
      <c r="R728" t="s">
        <v>74</v>
      </c>
      <c r="S728" t="s">
        <v>74</v>
      </c>
      <c r="T728" t="s">
        <v>13677</v>
      </c>
      <c r="U728" t="s">
        <v>13678</v>
      </c>
      <c r="V728" t="s">
        <v>13679</v>
      </c>
      <c r="W728" t="s">
        <v>13680</v>
      </c>
      <c r="X728" t="s">
        <v>13681</v>
      </c>
      <c r="Y728" t="s">
        <v>13682</v>
      </c>
      <c r="Z728" t="s">
        <v>13683</v>
      </c>
      <c r="AA728" t="s">
        <v>13684</v>
      </c>
      <c r="AB728" t="s">
        <v>13685</v>
      </c>
      <c r="AC728" t="s">
        <v>13686</v>
      </c>
      <c r="AD728" t="s">
        <v>13687</v>
      </c>
      <c r="AE728" t="s">
        <v>13688</v>
      </c>
      <c r="AF728" t="s">
        <v>74</v>
      </c>
      <c r="AG728">
        <v>53</v>
      </c>
      <c r="AH728">
        <v>6</v>
      </c>
      <c r="AI728">
        <v>6</v>
      </c>
      <c r="AJ728">
        <v>0</v>
      </c>
      <c r="AK728">
        <v>30</v>
      </c>
      <c r="AL728" t="s">
        <v>4767</v>
      </c>
      <c r="AM728" t="s">
        <v>4768</v>
      </c>
      <c r="AN728" t="s">
        <v>4769</v>
      </c>
      <c r="AO728" t="s">
        <v>13689</v>
      </c>
      <c r="AP728" t="s">
        <v>13690</v>
      </c>
      <c r="AQ728" t="s">
        <v>74</v>
      </c>
      <c r="AR728" t="s">
        <v>13691</v>
      </c>
      <c r="AS728" t="s">
        <v>13692</v>
      </c>
      <c r="AT728" t="s">
        <v>12897</v>
      </c>
      <c r="AU728">
        <v>2012</v>
      </c>
      <c r="AV728">
        <v>182</v>
      </c>
      <c r="AW728">
        <v>5</v>
      </c>
      <c r="AX728" t="s">
        <v>74</v>
      </c>
      <c r="AY728" t="s">
        <v>74</v>
      </c>
      <c r="AZ728" t="s">
        <v>74</v>
      </c>
      <c r="BA728" t="s">
        <v>74</v>
      </c>
      <c r="BB728">
        <v>703</v>
      </c>
      <c r="BC728">
        <v>713</v>
      </c>
      <c r="BD728" t="s">
        <v>74</v>
      </c>
      <c r="BE728" t="s">
        <v>13693</v>
      </c>
      <c r="BF728" t="str">
        <f>HYPERLINK("http://dx.doi.org/10.1007/s00360-012-0649-8","http://dx.doi.org/10.1007/s00360-012-0649-8")</f>
        <v>http://dx.doi.org/10.1007/s00360-012-0649-8</v>
      </c>
      <c r="BG728" t="s">
        <v>74</v>
      </c>
      <c r="BH728" t="s">
        <v>74</v>
      </c>
      <c r="BI728">
        <v>11</v>
      </c>
      <c r="BJ728" t="s">
        <v>13694</v>
      </c>
      <c r="BK728" t="s">
        <v>98</v>
      </c>
      <c r="BL728" t="s">
        <v>13694</v>
      </c>
      <c r="BM728" t="s">
        <v>13695</v>
      </c>
      <c r="BN728">
        <v>22327194</v>
      </c>
      <c r="BO728" t="s">
        <v>74</v>
      </c>
      <c r="BP728" t="s">
        <v>74</v>
      </c>
      <c r="BQ728" t="s">
        <v>74</v>
      </c>
      <c r="BR728" t="s">
        <v>101</v>
      </c>
      <c r="BS728" t="s">
        <v>13696</v>
      </c>
      <c r="BT728" t="str">
        <f>HYPERLINK("https%3A%2F%2Fwww.webofscience.com%2Fwos%2Fwoscc%2Ffull-record%2FWOS:000305562500010","View Full Record in Web of Science")</f>
        <v>View Full Record in Web of Science</v>
      </c>
    </row>
    <row r="729" spans="1:72" x14ac:dyDescent="0.15">
      <c r="A729" t="s">
        <v>72</v>
      </c>
      <c r="B729" t="s">
        <v>13697</v>
      </c>
      <c r="C729" t="s">
        <v>74</v>
      </c>
      <c r="D729" t="s">
        <v>74</v>
      </c>
      <c r="E729" t="s">
        <v>74</v>
      </c>
      <c r="F729" t="s">
        <v>13698</v>
      </c>
      <c r="G729" t="s">
        <v>74</v>
      </c>
      <c r="H729" t="s">
        <v>74</v>
      </c>
      <c r="I729" t="s">
        <v>13699</v>
      </c>
      <c r="J729" t="s">
        <v>12121</v>
      </c>
      <c r="K729" t="s">
        <v>74</v>
      </c>
      <c r="L729" t="s">
        <v>74</v>
      </c>
      <c r="M729" t="s">
        <v>78</v>
      </c>
      <c r="N729" t="s">
        <v>79</v>
      </c>
      <c r="O729" t="s">
        <v>74</v>
      </c>
      <c r="P729" t="s">
        <v>74</v>
      </c>
      <c r="Q729" t="s">
        <v>74</v>
      </c>
      <c r="R729" t="s">
        <v>74</v>
      </c>
      <c r="S729" t="s">
        <v>74</v>
      </c>
      <c r="T729" t="s">
        <v>13700</v>
      </c>
      <c r="U729" t="s">
        <v>13701</v>
      </c>
      <c r="V729" t="s">
        <v>13702</v>
      </c>
      <c r="W729" t="s">
        <v>13703</v>
      </c>
      <c r="X729" t="s">
        <v>13704</v>
      </c>
      <c r="Y729" t="s">
        <v>13705</v>
      </c>
      <c r="Z729" t="s">
        <v>13706</v>
      </c>
      <c r="AA729" t="s">
        <v>13707</v>
      </c>
      <c r="AB729" t="s">
        <v>13708</v>
      </c>
      <c r="AC729" t="s">
        <v>13709</v>
      </c>
      <c r="AD729" t="s">
        <v>13710</v>
      </c>
      <c r="AE729" t="s">
        <v>13711</v>
      </c>
      <c r="AF729" t="s">
        <v>74</v>
      </c>
      <c r="AG729">
        <v>118</v>
      </c>
      <c r="AH729">
        <v>39</v>
      </c>
      <c r="AI729">
        <v>43</v>
      </c>
      <c r="AJ729">
        <v>2</v>
      </c>
      <c r="AK729">
        <v>34</v>
      </c>
      <c r="AL729" t="s">
        <v>188</v>
      </c>
      <c r="AM729" t="s">
        <v>189</v>
      </c>
      <c r="AN729" t="s">
        <v>190</v>
      </c>
      <c r="AO729" t="s">
        <v>12134</v>
      </c>
      <c r="AP729" t="s">
        <v>12135</v>
      </c>
      <c r="AQ729" t="s">
        <v>74</v>
      </c>
      <c r="AR729" t="s">
        <v>12136</v>
      </c>
      <c r="AS729" t="s">
        <v>12137</v>
      </c>
      <c r="AT729" t="s">
        <v>12897</v>
      </c>
      <c r="AU729">
        <v>2012</v>
      </c>
      <c r="AV729">
        <v>208</v>
      </c>
      <c r="AW729" t="s">
        <v>74</v>
      </c>
      <c r="AX729" t="s">
        <v>74</v>
      </c>
      <c r="AY729" t="s">
        <v>74</v>
      </c>
      <c r="AZ729" t="s">
        <v>74</v>
      </c>
      <c r="BA729" t="s">
        <v>74</v>
      </c>
      <c r="BB729">
        <v>124</v>
      </c>
      <c r="BC729">
        <v>144</v>
      </c>
      <c r="BD729" t="s">
        <v>74</v>
      </c>
      <c r="BE729" t="s">
        <v>13712</v>
      </c>
      <c r="BF729" t="str">
        <f>HYPERLINK("http://dx.doi.org/10.1016/j.precamres.2012.03.011","http://dx.doi.org/10.1016/j.precamres.2012.03.011")</f>
        <v>http://dx.doi.org/10.1016/j.precamres.2012.03.011</v>
      </c>
      <c r="BG729" t="s">
        <v>74</v>
      </c>
      <c r="BH729" t="s">
        <v>74</v>
      </c>
      <c r="BI729">
        <v>21</v>
      </c>
      <c r="BJ729" t="s">
        <v>461</v>
      </c>
      <c r="BK729" t="s">
        <v>98</v>
      </c>
      <c r="BL729" t="s">
        <v>462</v>
      </c>
      <c r="BM729" t="s">
        <v>13713</v>
      </c>
      <c r="BN729" t="s">
        <v>74</v>
      </c>
      <c r="BO729" t="s">
        <v>1254</v>
      </c>
      <c r="BP729" t="s">
        <v>74</v>
      </c>
      <c r="BQ729" t="s">
        <v>74</v>
      </c>
      <c r="BR729" t="s">
        <v>101</v>
      </c>
      <c r="BS729" t="s">
        <v>13714</v>
      </c>
      <c r="BT729" t="str">
        <f>HYPERLINK("https%3A%2F%2Fwww.webofscience.com%2Fwos%2Fwoscc%2Ffull-record%2FWOS:000305380300007","View Full Record in Web of Science")</f>
        <v>View Full Record in Web of Science</v>
      </c>
    </row>
    <row r="730" spans="1:72" x14ac:dyDescent="0.15">
      <c r="A730" t="s">
        <v>72</v>
      </c>
      <c r="B730" t="s">
        <v>13715</v>
      </c>
      <c r="C730" t="s">
        <v>74</v>
      </c>
      <c r="D730" t="s">
        <v>74</v>
      </c>
      <c r="E730" t="s">
        <v>74</v>
      </c>
      <c r="F730" t="s">
        <v>13716</v>
      </c>
      <c r="G730" t="s">
        <v>74</v>
      </c>
      <c r="H730" t="s">
        <v>74</v>
      </c>
      <c r="I730" t="s">
        <v>13717</v>
      </c>
      <c r="J730" t="s">
        <v>13718</v>
      </c>
      <c r="K730" t="s">
        <v>74</v>
      </c>
      <c r="L730" t="s">
        <v>74</v>
      </c>
      <c r="M730" t="s">
        <v>78</v>
      </c>
      <c r="N730" t="s">
        <v>79</v>
      </c>
      <c r="O730" t="s">
        <v>74</v>
      </c>
      <c r="P730" t="s">
        <v>74</v>
      </c>
      <c r="Q730" t="s">
        <v>74</v>
      </c>
      <c r="R730" t="s">
        <v>74</v>
      </c>
      <c r="S730" t="s">
        <v>74</v>
      </c>
      <c r="T730" t="s">
        <v>74</v>
      </c>
      <c r="U730" t="s">
        <v>13719</v>
      </c>
      <c r="V730" t="s">
        <v>74</v>
      </c>
      <c r="W730" t="s">
        <v>74</v>
      </c>
      <c r="X730" t="s">
        <v>74</v>
      </c>
      <c r="Y730" t="s">
        <v>74</v>
      </c>
      <c r="Z730" t="s">
        <v>74</v>
      </c>
      <c r="AA730" t="s">
        <v>74</v>
      </c>
      <c r="AB730" t="s">
        <v>74</v>
      </c>
      <c r="AC730" t="s">
        <v>74</v>
      </c>
      <c r="AD730" t="s">
        <v>74</v>
      </c>
      <c r="AE730" t="s">
        <v>74</v>
      </c>
      <c r="AF730" t="s">
        <v>74</v>
      </c>
      <c r="AG730">
        <v>3</v>
      </c>
      <c r="AH730">
        <v>2</v>
      </c>
      <c r="AI730">
        <v>2</v>
      </c>
      <c r="AJ730">
        <v>0</v>
      </c>
      <c r="AK730">
        <v>2</v>
      </c>
      <c r="AL730" t="s">
        <v>433</v>
      </c>
      <c r="AM730" t="s">
        <v>371</v>
      </c>
      <c r="AN730" t="s">
        <v>2862</v>
      </c>
      <c r="AO730" t="s">
        <v>13720</v>
      </c>
      <c r="AP730" t="s">
        <v>74</v>
      </c>
      <c r="AQ730" t="s">
        <v>74</v>
      </c>
      <c r="AR730" t="s">
        <v>13721</v>
      </c>
      <c r="AS730" t="s">
        <v>13722</v>
      </c>
      <c r="AT730" t="s">
        <v>12897</v>
      </c>
      <c r="AU730">
        <v>2012</v>
      </c>
      <c r="AV730">
        <v>307</v>
      </c>
      <c r="AW730">
        <v>1</v>
      </c>
      <c r="AX730" t="s">
        <v>74</v>
      </c>
      <c r="AY730" t="s">
        <v>74</v>
      </c>
      <c r="AZ730" t="s">
        <v>74</v>
      </c>
      <c r="BA730" t="s">
        <v>74</v>
      </c>
      <c r="BB730">
        <v>54</v>
      </c>
      <c r="BC730">
        <v>61</v>
      </c>
      <c r="BD730" t="s">
        <v>74</v>
      </c>
      <c r="BE730" t="s">
        <v>13723</v>
      </c>
      <c r="BF730" t="str">
        <f>HYPERLINK("http://dx.doi.org/10.1038/scientificamerican0712-54","http://dx.doi.org/10.1038/scientificamerican0712-54")</f>
        <v>http://dx.doi.org/10.1038/scientificamerican0712-54</v>
      </c>
      <c r="BG730" t="s">
        <v>74</v>
      </c>
      <c r="BH730" t="s">
        <v>74</v>
      </c>
      <c r="BI730">
        <v>8</v>
      </c>
      <c r="BJ730" t="s">
        <v>153</v>
      </c>
      <c r="BK730" t="s">
        <v>98</v>
      </c>
      <c r="BL730" t="s">
        <v>154</v>
      </c>
      <c r="BM730" t="s">
        <v>13724</v>
      </c>
      <c r="BN730">
        <v>22779273</v>
      </c>
      <c r="BO730" t="s">
        <v>74</v>
      </c>
      <c r="BP730" t="s">
        <v>74</v>
      </c>
      <c r="BQ730" t="s">
        <v>74</v>
      </c>
      <c r="BR730" t="s">
        <v>101</v>
      </c>
      <c r="BS730" t="s">
        <v>13725</v>
      </c>
      <c r="BT730" t="str">
        <f>HYPERLINK("https%3A%2F%2Fwww.webofscience.com%2Fwos%2Fwoscc%2Ffull-record%2FWOS:000305500900029","View Full Record in Web of Science")</f>
        <v>View Full Record in Web of Science</v>
      </c>
    </row>
    <row r="731" spans="1:72" x14ac:dyDescent="0.15">
      <c r="A731" t="s">
        <v>72</v>
      </c>
      <c r="B731" t="s">
        <v>13726</v>
      </c>
      <c r="C731" t="s">
        <v>74</v>
      </c>
      <c r="D731" t="s">
        <v>74</v>
      </c>
      <c r="E731" t="s">
        <v>74</v>
      </c>
      <c r="F731" t="s">
        <v>13727</v>
      </c>
      <c r="G731" t="s">
        <v>74</v>
      </c>
      <c r="H731" t="s">
        <v>74</v>
      </c>
      <c r="I731" t="s">
        <v>13728</v>
      </c>
      <c r="J731" t="s">
        <v>3489</v>
      </c>
      <c r="K731" t="s">
        <v>74</v>
      </c>
      <c r="L731" t="s">
        <v>74</v>
      </c>
      <c r="M731" t="s">
        <v>78</v>
      </c>
      <c r="N731" t="s">
        <v>79</v>
      </c>
      <c r="O731" t="s">
        <v>74</v>
      </c>
      <c r="P731" t="s">
        <v>74</v>
      </c>
      <c r="Q731" t="s">
        <v>74</v>
      </c>
      <c r="R731" t="s">
        <v>74</v>
      </c>
      <c r="S731" t="s">
        <v>74</v>
      </c>
      <c r="T731" t="s">
        <v>13729</v>
      </c>
      <c r="U731" t="s">
        <v>13730</v>
      </c>
      <c r="V731" t="s">
        <v>13731</v>
      </c>
      <c r="W731" t="s">
        <v>13732</v>
      </c>
      <c r="X731" t="s">
        <v>856</v>
      </c>
      <c r="Y731" t="s">
        <v>13733</v>
      </c>
      <c r="Z731" t="s">
        <v>13734</v>
      </c>
      <c r="AA731" t="s">
        <v>74</v>
      </c>
      <c r="AB731" t="s">
        <v>74</v>
      </c>
      <c r="AC731" t="s">
        <v>74</v>
      </c>
      <c r="AD731" t="s">
        <v>74</v>
      </c>
      <c r="AE731" t="s">
        <v>74</v>
      </c>
      <c r="AF731" t="s">
        <v>74</v>
      </c>
      <c r="AG731">
        <v>30</v>
      </c>
      <c r="AH731">
        <v>8</v>
      </c>
      <c r="AI731">
        <v>8</v>
      </c>
      <c r="AJ731">
        <v>0</v>
      </c>
      <c r="AK731">
        <v>1</v>
      </c>
      <c r="AL731" t="s">
        <v>1034</v>
      </c>
      <c r="AM731" t="s">
        <v>90</v>
      </c>
      <c r="AN731" t="s">
        <v>1035</v>
      </c>
      <c r="AO731" t="s">
        <v>3499</v>
      </c>
      <c r="AP731" t="s">
        <v>74</v>
      </c>
      <c r="AQ731" t="s">
        <v>74</v>
      </c>
      <c r="AR731" t="s">
        <v>3500</v>
      </c>
      <c r="AS731" t="s">
        <v>3501</v>
      </c>
      <c r="AT731" t="s">
        <v>13542</v>
      </c>
      <c r="AU731">
        <v>2012</v>
      </c>
      <c r="AV731">
        <v>50</v>
      </c>
      <c r="AW731">
        <v>1</v>
      </c>
      <c r="AX731" t="s">
        <v>74</v>
      </c>
      <c r="AY731" t="s">
        <v>74</v>
      </c>
      <c r="AZ731" t="s">
        <v>74</v>
      </c>
      <c r="BA731" t="s">
        <v>74</v>
      </c>
      <c r="BB731">
        <v>77</v>
      </c>
      <c r="BC731">
        <v>84</v>
      </c>
      <c r="BD731" t="s">
        <v>74</v>
      </c>
      <c r="BE731" t="s">
        <v>13735</v>
      </c>
      <c r="BF731" t="str">
        <f>HYPERLINK("http://dx.doi.org/10.1016/j.asr.2012.03.017","http://dx.doi.org/10.1016/j.asr.2012.03.017")</f>
        <v>http://dx.doi.org/10.1016/j.asr.2012.03.017</v>
      </c>
      <c r="BG731" t="s">
        <v>74</v>
      </c>
      <c r="BH731" t="s">
        <v>74</v>
      </c>
      <c r="BI731">
        <v>8</v>
      </c>
      <c r="BJ731" t="s">
        <v>3503</v>
      </c>
      <c r="BK731" t="s">
        <v>98</v>
      </c>
      <c r="BL731" t="s">
        <v>3504</v>
      </c>
      <c r="BM731" t="s">
        <v>13736</v>
      </c>
      <c r="BN731" t="s">
        <v>74</v>
      </c>
      <c r="BO731" t="s">
        <v>74</v>
      </c>
      <c r="BP731" t="s">
        <v>74</v>
      </c>
      <c r="BQ731" t="s">
        <v>74</v>
      </c>
      <c r="BR731" t="s">
        <v>101</v>
      </c>
      <c r="BS731" t="s">
        <v>13737</v>
      </c>
      <c r="BT731" t="str">
        <f>HYPERLINK("https%3A%2F%2Fwww.webofscience.com%2Fwos%2Fwoscc%2Ffull-record%2FWOS:000305172000004","View Full Record in Web of Science")</f>
        <v>View Full Record in Web of Science</v>
      </c>
    </row>
    <row r="732" spans="1:72" x14ac:dyDescent="0.15">
      <c r="A732" t="s">
        <v>72</v>
      </c>
      <c r="B732" t="s">
        <v>13738</v>
      </c>
      <c r="C732" t="s">
        <v>74</v>
      </c>
      <c r="D732" t="s">
        <v>74</v>
      </c>
      <c r="E732" t="s">
        <v>74</v>
      </c>
      <c r="F732" t="s">
        <v>13739</v>
      </c>
      <c r="G732" t="s">
        <v>74</v>
      </c>
      <c r="H732" t="s">
        <v>74</v>
      </c>
      <c r="I732" t="s">
        <v>13740</v>
      </c>
      <c r="J732" t="s">
        <v>8586</v>
      </c>
      <c r="K732" t="s">
        <v>74</v>
      </c>
      <c r="L732" t="s">
        <v>74</v>
      </c>
      <c r="M732" t="s">
        <v>78</v>
      </c>
      <c r="N732" t="s">
        <v>79</v>
      </c>
      <c r="O732" t="s">
        <v>74</v>
      </c>
      <c r="P732" t="s">
        <v>74</v>
      </c>
      <c r="Q732" t="s">
        <v>74</v>
      </c>
      <c r="R732" t="s">
        <v>74</v>
      </c>
      <c r="S732" t="s">
        <v>74</v>
      </c>
      <c r="T732" t="s">
        <v>13741</v>
      </c>
      <c r="U732" t="s">
        <v>13742</v>
      </c>
      <c r="V732" t="s">
        <v>13743</v>
      </c>
      <c r="W732" t="s">
        <v>13744</v>
      </c>
      <c r="X732" t="s">
        <v>13745</v>
      </c>
      <c r="Y732" t="s">
        <v>13746</v>
      </c>
      <c r="Z732" t="s">
        <v>13747</v>
      </c>
      <c r="AA732" t="s">
        <v>13748</v>
      </c>
      <c r="AB732" t="s">
        <v>74</v>
      </c>
      <c r="AC732" t="s">
        <v>13749</v>
      </c>
      <c r="AD732" t="s">
        <v>13750</v>
      </c>
      <c r="AE732" t="s">
        <v>13751</v>
      </c>
      <c r="AF732" t="s">
        <v>74</v>
      </c>
      <c r="AG732">
        <v>37</v>
      </c>
      <c r="AH732">
        <v>27</v>
      </c>
      <c r="AI732">
        <v>34</v>
      </c>
      <c r="AJ732">
        <v>0</v>
      </c>
      <c r="AK732">
        <v>11</v>
      </c>
      <c r="AL732" t="s">
        <v>1771</v>
      </c>
      <c r="AM732" t="s">
        <v>90</v>
      </c>
      <c r="AN732" t="s">
        <v>1772</v>
      </c>
      <c r="AO732" t="s">
        <v>8599</v>
      </c>
      <c r="AP732" t="s">
        <v>8600</v>
      </c>
      <c r="AQ732" t="s">
        <v>74</v>
      </c>
      <c r="AR732" t="s">
        <v>8601</v>
      </c>
      <c r="AS732" t="s">
        <v>8602</v>
      </c>
      <c r="AT732" t="s">
        <v>12897</v>
      </c>
      <c r="AU732">
        <v>2012</v>
      </c>
      <c r="AV732">
        <v>190</v>
      </c>
      <c r="AW732">
        <v>1</v>
      </c>
      <c r="AX732" t="s">
        <v>74</v>
      </c>
      <c r="AY732" t="s">
        <v>74</v>
      </c>
      <c r="AZ732" t="s">
        <v>74</v>
      </c>
      <c r="BA732" t="s">
        <v>74</v>
      </c>
      <c r="BB732">
        <v>391</v>
      </c>
      <c r="BC732">
        <v>405</v>
      </c>
      <c r="BD732" t="s">
        <v>74</v>
      </c>
      <c r="BE732" t="s">
        <v>13752</v>
      </c>
      <c r="BF732" t="str">
        <f>HYPERLINK("http://dx.doi.org/10.1111/j.1365-246X.2012.05474.x","http://dx.doi.org/10.1111/j.1365-246X.2012.05474.x")</f>
        <v>http://dx.doi.org/10.1111/j.1365-246X.2012.05474.x</v>
      </c>
      <c r="BG732" t="s">
        <v>74</v>
      </c>
      <c r="BH732" t="s">
        <v>74</v>
      </c>
      <c r="BI732">
        <v>15</v>
      </c>
      <c r="BJ732" t="s">
        <v>241</v>
      </c>
      <c r="BK732" t="s">
        <v>98</v>
      </c>
      <c r="BL732" t="s">
        <v>241</v>
      </c>
      <c r="BM732" t="s">
        <v>13753</v>
      </c>
      <c r="BN732" t="s">
        <v>74</v>
      </c>
      <c r="BO732" t="s">
        <v>607</v>
      </c>
      <c r="BP732" t="s">
        <v>74</v>
      </c>
      <c r="BQ732" t="s">
        <v>74</v>
      </c>
      <c r="BR732" t="s">
        <v>101</v>
      </c>
      <c r="BS732" t="s">
        <v>13754</v>
      </c>
      <c r="BT732" t="str">
        <f>HYPERLINK("https%3A%2F%2Fwww.webofscience.com%2Fwos%2Fwoscc%2Ffull-record%2FWOS:000305080900028","View Full Record in Web of Science")</f>
        <v>View Full Record in Web of Science</v>
      </c>
    </row>
    <row r="733" spans="1:72" x14ac:dyDescent="0.15">
      <c r="A733" t="s">
        <v>72</v>
      </c>
      <c r="B733" t="s">
        <v>13755</v>
      </c>
      <c r="C733" t="s">
        <v>74</v>
      </c>
      <c r="D733" t="s">
        <v>74</v>
      </c>
      <c r="E733" t="s">
        <v>74</v>
      </c>
      <c r="F733" t="s">
        <v>13756</v>
      </c>
      <c r="G733" t="s">
        <v>74</v>
      </c>
      <c r="H733" t="s">
        <v>74</v>
      </c>
      <c r="I733" t="s">
        <v>13757</v>
      </c>
      <c r="J733" t="s">
        <v>8586</v>
      </c>
      <c r="K733" t="s">
        <v>74</v>
      </c>
      <c r="L733" t="s">
        <v>74</v>
      </c>
      <c r="M733" t="s">
        <v>78</v>
      </c>
      <c r="N733" t="s">
        <v>79</v>
      </c>
      <c r="O733" t="s">
        <v>74</v>
      </c>
      <c r="P733" t="s">
        <v>74</v>
      </c>
      <c r="Q733" t="s">
        <v>74</v>
      </c>
      <c r="R733" t="s">
        <v>74</v>
      </c>
      <c r="S733" t="s">
        <v>74</v>
      </c>
      <c r="T733" t="s">
        <v>13758</v>
      </c>
      <c r="U733" t="s">
        <v>13759</v>
      </c>
      <c r="V733" t="s">
        <v>13760</v>
      </c>
      <c r="W733" t="s">
        <v>13761</v>
      </c>
      <c r="X733" t="s">
        <v>13762</v>
      </c>
      <c r="Y733" t="s">
        <v>13763</v>
      </c>
      <c r="Z733" t="s">
        <v>13764</v>
      </c>
      <c r="AA733" t="s">
        <v>13765</v>
      </c>
      <c r="AB733" t="s">
        <v>13766</v>
      </c>
      <c r="AC733" t="s">
        <v>13767</v>
      </c>
      <c r="AD733" t="s">
        <v>13768</v>
      </c>
      <c r="AE733" t="s">
        <v>13769</v>
      </c>
      <c r="AF733" t="s">
        <v>74</v>
      </c>
      <c r="AG733">
        <v>45</v>
      </c>
      <c r="AH733">
        <v>5</v>
      </c>
      <c r="AI733">
        <v>5</v>
      </c>
      <c r="AJ733">
        <v>0</v>
      </c>
      <c r="AK733">
        <v>11</v>
      </c>
      <c r="AL733" t="s">
        <v>1771</v>
      </c>
      <c r="AM733" t="s">
        <v>90</v>
      </c>
      <c r="AN733" t="s">
        <v>1772</v>
      </c>
      <c r="AO733" t="s">
        <v>8599</v>
      </c>
      <c r="AP733" t="s">
        <v>8600</v>
      </c>
      <c r="AQ733" t="s">
        <v>74</v>
      </c>
      <c r="AR733" t="s">
        <v>8601</v>
      </c>
      <c r="AS733" t="s">
        <v>8602</v>
      </c>
      <c r="AT733" t="s">
        <v>12897</v>
      </c>
      <c r="AU733">
        <v>2012</v>
      </c>
      <c r="AV733">
        <v>190</v>
      </c>
      <c r="AW733">
        <v>1</v>
      </c>
      <c r="AX733" t="s">
        <v>74</v>
      </c>
      <c r="AY733" t="s">
        <v>74</v>
      </c>
      <c r="AZ733" t="s">
        <v>74</v>
      </c>
      <c r="BA733" t="s">
        <v>74</v>
      </c>
      <c r="BB733">
        <v>569</v>
      </c>
      <c r="BC733">
        <v>579</v>
      </c>
      <c r="BD733" t="s">
        <v>74</v>
      </c>
      <c r="BE733" t="s">
        <v>13770</v>
      </c>
      <c r="BF733" t="str">
        <f>HYPERLINK("http://dx.doi.org/10.1111/j.1365-246X.2012.05501.x","http://dx.doi.org/10.1111/j.1365-246X.2012.05501.x")</f>
        <v>http://dx.doi.org/10.1111/j.1365-246X.2012.05501.x</v>
      </c>
      <c r="BG733" t="s">
        <v>74</v>
      </c>
      <c r="BH733" t="s">
        <v>74</v>
      </c>
      <c r="BI733">
        <v>11</v>
      </c>
      <c r="BJ733" t="s">
        <v>241</v>
      </c>
      <c r="BK733" t="s">
        <v>98</v>
      </c>
      <c r="BL733" t="s">
        <v>241</v>
      </c>
      <c r="BM733" t="s">
        <v>13753</v>
      </c>
      <c r="BN733" t="s">
        <v>74</v>
      </c>
      <c r="BO733" t="s">
        <v>1347</v>
      </c>
      <c r="BP733" t="s">
        <v>74</v>
      </c>
      <c r="BQ733" t="s">
        <v>74</v>
      </c>
      <c r="BR733" t="s">
        <v>101</v>
      </c>
      <c r="BS733" t="s">
        <v>13771</v>
      </c>
      <c r="BT733" t="str">
        <f>HYPERLINK("https%3A%2F%2Fwww.webofscience.com%2Fwos%2Fwoscc%2Ffull-record%2FWOS:000305080900041","View Full Record in Web of Science")</f>
        <v>View Full Record in Web of Science</v>
      </c>
    </row>
    <row r="734" spans="1:72" x14ac:dyDescent="0.15">
      <c r="A734" t="s">
        <v>72</v>
      </c>
      <c r="B734" t="s">
        <v>13772</v>
      </c>
      <c r="C734" t="s">
        <v>74</v>
      </c>
      <c r="D734" t="s">
        <v>74</v>
      </c>
      <c r="E734" t="s">
        <v>74</v>
      </c>
      <c r="F734" t="s">
        <v>13773</v>
      </c>
      <c r="G734" t="s">
        <v>74</v>
      </c>
      <c r="H734" t="s">
        <v>74</v>
      </c>
      <c r="I734" t="s">
        <v>13774</v>
      </c>
      <c r="J734" t="s">
        <v>13775</v>
      </c>
      <c r="K734" t="s">
        <v>74</v>
      </c>
      <c r="L734" t="s">
        <v>74</v>
      </c>
      <c r="M734" t="s">
        <v>78</v>
      </c>
      <c r="N734" t="s">
        <v>79</v>
      </c>
      <c r="O734" t="s">
        <v>74</v>
      </c>
      <c r="P734" t="s">
        <v>74</v>
      </c>
      <c r="Q734" t="s">
        <v>74</v>
      </c>
      <c r="R734" t="s">
        <v>74</v>
      </c>
      <c r="S734" t="s">
        <v>74</v>
      </c>
      <c r="T734" t="s">
        <v>13776</v>
      </c>
      <c r="U734" t="s">
        <v>13777</v>
      </c>
      <c r="V734" t="s">
        <v>13778</v>
      </c>
      <c r="W734" t="s">
        <v>13779</v>
      </c>
      <c r="X734" t="s">
        <v>13780</v>
      </c>
      <c r="Y734" t="s">
        <v>13781</v>
      </c>
      <c r="Z734" t="s">
        <v>13782</v>
      </c>
      <c r="AA734" t="s">
        <v>13783</v>
      </c>
      <c r="AB734" t="s">
        <v>13784</v>
      </c>
      <c r="AC734" t="s">
        <v>5384</v>
      </c>
      <c r="AD734" t="s">
        <v>5384</v>
      </c>
      <c r="AE734" t="s">
        <v>13785</v>
      </c>
      <c r="AF734" t="s">
        <v>74</v>
      </c>
      <c r="AG734">
        <v>30</v>
      </c>
      <c r="AH734">
        <v>5</v>
      </c>
      <c r="AI734">
        <v>5</v>
      </c>
      <c r="AJ734">
        <v>1</v>
      </c>
      <c r="AK734">
        <v>19</v>
      </c>
      <c r="AL734" t="s">
        <v>4767</v>
      </c>
      <c r="AM734" t="s">
        <v>4768</v>
      </c>
      <c r="AN734" t="s">
        <v>4769</v>
      </c>
      <c r="AO734" t="s">
        <v>13786</v>
      </c>
      <c r="AP734" t="s">
        <v>13787</v>
      </c>
      <c r="AQ734" t="s">
        <v>74</v>
      </c>
      <c r="AR734" t="s">
        <v>13788</v>
      </c>
      <c r="AS734" t="s">
        <v>13789</v>
      </c>
      <c r="AT734" t="s">
        <v>12897</v>
      </c>
      <c r="AU734">
        <v>2012</v>
      </c>
      <c r="AV734">
        <v>153</v>
      </c>
      <c r="AW734">
        <v>3</v>
      </c>
      <c r="AX734" t="s">
        <v>74</v>
      </c>
      <c r="AY734" t="s">
        <v>74</v>
      </c>
      <c r="AZ734" t="s">
        <v>74</v>
      </c>
      <c r="BA734" t="s">
        <v>74</v>
      </c>
      <c r="BB734">
        <v>979</v>
      </c>
      <c r="BC734">
        <v>983</v>
      </c>
      <c r="BD734" t="s">
        <v>74</v>
      </c>
      <c r="BE734" t="s">
        <v>13790</v>
      </c>
      <c r="BF734" t="str">
        <f>HYPERLINK("http://dx.doi.org/10.1007/s10336-012-0840-4","http://dx.doi.org/10.1007/s10336-012-0840-4")</f>
        <v>http://dx.doi.org/10.1007/s10336-012-0840-4</v>
      </c>
      <c r="BG734" t="s">
        <v>74</v>
      </c>
      <c r="BH734" t="s">
        <v>74</v>
      </c>
      <c r="BI734">
        <v>5</v>
      </c>
      <c r="BJ734" t="s">
        <v>12988</v>
      </c>
      <c r="BK734" t="s">
        <v>98</v>
      </c>
      <c r="BL734" t="s">
        <v>675</v>
      </c>
      <c r="BM734" t="s">
        <v>13791</v>
      </c>
      <c r="BN734" t="s">
        <v>74</v>
      </c>
      <c r="BO734" t="s">
        <v>1499</v>
      </c>
      <c r="BP734" t="s">
        <v>74</v>
      </c>
      <c r="BQ734" t="s">
        <v>74</v>
      </c>
      <c r="BR734" t="s">
        <v>101</v>
      </c>
      <c r="BS734" t="s">
        <v>13792</v>
      </c>
      <c r="BT734" t="str">
        <f>HYPERLINK("https%3A%2F%2Fwww.webofscience.com%2Fwos%2Fwoscc%2Ffull-record%2FWOS:000305232700037","View Full Record in Web of Science")</f>
        <v>View Full Record in Web of Science</v>
      </c>
    </row>
    <row r="735" spans="1:72" x14ac:dyDescent="0.15">
      <c r="A735" t="s">
        <v>72</v>
      </c>
      <c r="B735" t="s">
        <v>13793</v>
      </c>
      <c r="C735" t="s">
        <v>74</v>
      </c>
      <c r="D735" t="s">
        <v>74</v>
      </c>
      <c r="E735" t="s">
        <v>74</v>
      </c>
      <c r="F735" t="s">
        <v>13794</v>
      </c>
      <c r="G735" t="s">
        <v>74</v>
      </c>
      <c r="H735" t="s">
        <v>74</v>
      </c>
      <c r="I735" t="s">
        <v>13795</v>
      </c>
      <c r="J735" t="s">
        <v>13796</v>
      </c>
      <c r="K735" t="s">
        <v>74</v>
      </c>
      <c r="L735" t="s">
        <v>74</v>
      </c>
      <c r="M735" t="s">
        <v>78</v>
      </c>
      <c r="N735" t="s">
        <v>79</v>
      </c>
      <c r="O735" t="s">
        <v>74</v>
      </c>
      <c r="P735" t="s">
        <v>74</v>
      </c>
      <c r="Q735" t="s">
        <v>74</v>
      </c>
      <c r="R735" t="s">
        <v>74</v>
      </c>
      <c r="S735" t="s">
        <v>74</v>
      </c>
      <c r="T735" t="s">
        <v>13797</v>
      </c>
      <c r="U735" t="s">
        <v>13798</v>
      </c>
      <c r="V735" t="s">
        <v>13799</v>
      </c>
      <c r="W735" t="s">
        <v>13800</v>
      </c>
      <c r="X735" t="s">
        <v>13801</v>
      </c>
      <c r="Y735" t="s">
        <v>13802</v>
      </c>
      <c r="Z735" t="s">
        <v>13803</v>
      </c>
      <c r="AA735" t="s">
        <v>13804</v>
      </c>
      <c r="AB735" t="s">
        <v>13805</v>
      </c>
      <c r="AC735" t="s">
        <v>13806</v>
      </c>
      <c r="AD735" t="s">
        <v>13807</v>
      </c>
      <c r="AE735" t="s">
        <v>13808</v>
      </c>
      <c r="AF735" t="s">
        <v>74</v>
      </c>
      <c r="AG735">
        <v>54</v>
      </c>
      <c r="AH735">
        <v>115</v>
      </c>
      <c r="AI735">
        <v>136</v>
      </c>
      <c r="AJ735">
        <v>2</v>
      </c>
      <c r="AK735">
        <v>112</v>
      </c>
      <c r="AL735" t="s">
        <v>8709</v>
      </c>
      <c r="AM735" t="s">
        <v>8710</v>
      </c>
      <c r="AN735" t="s">
        <v>8711</v>
      </c>
      <c r="AO735" t="s">
        <v>13809</v>
      </c>
      <c r="AP735" t="s">
        <v>74</v>
      </c>
      <c r="AQ735" t="s">
        <v>74</v>
      </c>
      <c r="AR735" t="s">
        <v>13810</v>
      </c>
      <c r="AS735" t="s">
        <v>13811</v>
      </c>
      <c r="AT735" t="s">
        <v>12897</v>
      </c>
      <c r="AU735">
        <v>2012</v>
      </c>
      <c r="AV735">
        <v>180</v>
      </c>
      <c r="AW735">
        <v>1</v>
      </c>
      <c r="AX735" t="s">
        <v>74</v>
      </c>
      <c r="AY735" t="s">
        <v>74</v>
      </c>
      <c r="AZ735" t="s">
        <v>74</v>
      </c>
      <c r="BA735" t="s">
        <v>74</v>
      </c>
      <c r="BB735" t="s">
        <v>13812</v>
      </c>
      <c r="BC735" t="s">
        <v>13813</v>
      </c>
      <c r="BD735" t="s">
        <v>74</v>
      </c>
      <c r="BE735" t="s">
        <v>13814</v>
      </c>
      <c r="BF735" t="str">
        <f>HYPERLINK("http://dx.doi.org/10.1086/666001","http://dx.doi.org/10.1086/666001")</f>
        <v>http://dx.doi.org/10.1086/666001</v>
      </c>
      <c r="BG735" t="s">
        <v>74</v>
      </c>
      <c r="BH735" t="s">
        <v>74</v>
      </c>
      <c r="BI735">
        <v>11</v>
      </c>
      <c r="BJ735" t="s">
        <v>13815</v>
      </c>
      <c r="BK735" t="s">
        <v>98</v>
      </c>
      <c r="BL735" t="s">
        <v>13816</v>
      </c>
      <c r="BM735" t="s">
        <v>13817</v>
      </c>
      <c r="BN735">
        <v>22673661</v>
      </c>
      <c r="BO735" t="s">
        <v>416</v>
      </c>
      <c r="BP735" t="s">
        <v>74</v>
      </c>
      <c r="BQ735" t="s">
        <v>74</v>
      </c>
      <c r="BR735" t="s">
        <v>101</v>
      </c>
      <c r="BS735" t="s">
        <v>13818</v>
      </c>
      <c r="BT735" t="str">
        <f>HYPERLINK("https%3A%2F%2Fwww.webofscience.com%2Fwos%2Fwoscc%2Ffull-record%2FWOS:000305086700003","View Full Record in Web of Science")</f>
        <v>View Full Record in Web of Science</v>
      </c>
    </row>
    <row r="736" spans="1:72" x14ac:dyDescent="0.15">
      <c r="A736" t="s">
        <v>72</v>
      </c>
      <c r="B736" t="s">
        <v>13819</v>
      </c>
      <c r="C736" t="s">
        <v>74</v>
      </c>
      <c r="D736" t="s">
        <v>74</v>
      </c>
      <c r="E736" t="s">
        <v>74</v>
      </c>
      <c r="F736" t="s">
        <v>13820</v>
      </c>
      <c r="G736" t="s">
        <v>74</v>
      </c>
      <c r="H736" t="s">
        <v>74</v>
      </c>
      <c r="I736" t="s">
        <v>13821</v>
      </c>
      <c r="J736" t="s">
        <v>13251</v>
      </c>
      <c r="K736" t="s">
        <v>74</v>
      </c>
      <c r="L736" t="s">
        <v>74</v>
      </c>
      <c r="M736" t="s">
        <v>78</v>
      </c>
      <c r="N736" t="s">
        <v>79</v>
      </c>
      <c r="O736" t="s">
        <v>74</v>
      </c>
      <c r="P736" t="s">
        <v>74</v>
      </c>
      <c r="Q736" t="s">
        <v>74</v>
      </c>
      <c r="R736" t="s">
        <v>74</v>
      </c>
      <c r="S736" t="s">
        <v>74</v>
      </c>
      <c r="T736" t="s">
        <v>13822</v>
      </c>
      <c r="U736" t="s">
        <v>13823</v>
      </c>
      <c r="V736" t="s">
        <v>13824</v>
      </c>
      <c r="W736" t="s">
        <v>13825</v>
      </c>
      <c r="X736" t="s">
        <v>480</v>
      </c>
      <c r="Y736" t="s">
        <v>13826</v>
      </c>
      <c r="Z736" t="s">
        <v>13827</v>
      </c>
      <c r="AA736" t="s">
        <v>74</v>
      </c>
      <c r="AB736" t="s">
        <v>74</v>
      </c>
      <c r="AC736" t="s">
        <v>13828</v>
      </c>
      <c r="AD736" t="s">
        <v>13829</v>
      </c>
      <c r="AE736" t="s">
        <v>13830</v>
      </c>
      <c r="AF736" t="s">
        <v>74</v>
      </c>
      <c r="AG736">
        <v>23</v>
      </c>
      <c r="AH736">
        <v>17</v>
      </c>
      <c r="AI736">
        <v>18</v>
      </c>
      <c r="AJ736">
        <v>0</v>
      </c>
      <c r="AK736">
        <v>16</v>
      </c>
      <c r="AL736" t="s">
        <v>898</v>
      </c>
      <c r="AM736" t="s">
        <v>899</v>
      </c>
      <c r="AN736" t="s">
        <v>900</v>
      </c>
      <c r="AO736" t="s">
        <v>13264</v>
      </c>
      <c r="AP736" t="s">
        <v>74</v>
      </c>
      <c r="AQ736" t="s">
        <v>74</v>
      </c>
      <c r="AR736" t="s">
        <v>13265</v>
      </c>
      <c r="AS736" t="s">
        <v>13266</v>
      </c>
      <c r="AT736" t="s">
        <v>12965</v>
      </c>
      <c r="AU736">
        <v>2012</v>
      </c>
      <c r="AV736">
        <v>13</v>
      </c>
      <c r="AW736">
        <v>3</v>
      </c>
      <c r="AX736" t="s">
        <v>74</v>
      </c>
      <c r="AY736" t="s">
        <v>74</v>
      </c>
      <c r="AZ736" t="s">
        <v>74</v>
      </c>
      <c r="BA736" t="s">
        <v>74</v>
      </c>
      <c r="BB736">
        <v>194</v>
      </c>
      <c r="BC736">
        <v>199</v>
      </c>
      <c r="BD736" t="s">
        <v>74</v>
      </c>
      <c r="BE736" t="s">
        <v>13831</v>
      </c>
      <c r="BF736" t="str">
        <f>HYPERLINK("http://dx.doi.org/10.1002/asl.379","http://dx.doi.org/10.1002/asl.379")</f>
        <v>http://dx.doi.org/10.1002/asl.379</v>
      </c>
      <c r="BG736" t="s">
        <v>74</v>
      </c>
      <c r="BH736" t="s">
        <v>74</v>
      </c>
      <c r="BI736">
        <v>6</v>
      </c>
      <c r="BJ736" t="s">
        <v>1411</v>
      </c>
      <c r="BK736" t="s">
        <v>98</v>
      </c>
      <c r="BL736" t="s">
        <v>1411</v>
      </c>
      <c r="BM736" t="s">
        <v>13268</v>
      </c>
      <c r="BN736" t="s">
        <v>74</v>
      </c>
      <c r="BO736" t="s">
        <v>74</v>
      </c>
      <c r="BP736" t="s">
        <v>74</v>
      </c>
      <c r="BQ736" t="s">
        <v>74</v>
      </c>
      <c r="BR736" t="s">
        <v>101</v>
      </c>
      <c r="BS736" t="s">
        <v>13832</v>
      </c>
      <c r="BT736" t="str">
        <f>HYPERLINK("https%3A%2F%2Fwww.webofscience.com%2Fwos%2Fwoscc%2Ffull-record%2FWOS:000306649400008","View Full Record in Web of Science")</f>
        <v>View Full Record in Web of Science</v>
      </c>
    </row>
    <row r="737" spans="1:72" x14ac:dyDescent="0.15">
      <c r="A737" t="s">
        <v>72</v>
      </c>
      <c r="B737" t="s">
        <v>13833</v>
      </c>
      <c r="C737" t="s">
        <v>74</v>
      </c>
      <c r="D737" t="s">
        <v>74</v>
      </c>
      <c r="E737" t="s">
        <v>74</v>
      </c>
      <c r="F737" t="s">
        <v>13834</v>
      </c>
      <c r="G737" t="s">
        <v>74</v>
      </c>
      <c r="H737" t="s">
        <v>74</v>
      </c>
      <c r="I737" t="s">
        <v>13835</v>
      </c>
      <c r="J737" t="s">
        <v>1442</v>
      </c>
      <c r="K737" t="s">
        <v>74</v>
      </c>
      <c r="L737" t="s">
        <v>74</v>
      </c>
      <c r="M737" t="s">
        <v>78</v>
      </c>
      <c r="N737" t="s">
        <v>79</v>
      </c>
      <c r="O737" t="s">
        <v>74</v>
      </c>
      <c r="P737" t="s">
        <v>74</v>
      </c>
      <c r="Q737" t="s">
        <v>74</v>
      </c>
      <c r="R737" t="s">
        <v>74</v>
      </c>
      <c r="S737" t="s">
        <v>74</v>
      </c>
      <c r="T737" t="s">
        <v>74</v>
      </c>
      <c r="U737" t="s">
        <v>13836</v>
      </c>
      <c r="V737" t="s">
        <v>13837</v>
      </c>
      <c r="W737" t="s">
        <v>13838</v>
      </c>
      <c r="X737" t="s">
        <v>13839</v>
      </c>
      <c r="Y737" t="s">
        <v>13840</v>
      </c>
      <c r="Z737" t="s">
        <v>74</v>
      </c>
      <c r="AA737" t="s">
        <v>13841</v>
      </c>
      <c r="AB737" t="s">
        <v>13842</v>
      </c>
      <c r="AC737" t="s">
        <v>13843</v>
      </c>
      <c r="AD737" t="s">
        <v>13844</v>
      </c>
      <c r="AE737" t="s">
        <v>74</v>
      </c>
      <c r="AF737" t="s">
        <v>74</v>
      </c>
      <c r="AG737">
        <v>654</v>
      </c>
      <c r="AH737">
        <v>2</v>
      </c>
      <c r="AI737">
        <v>4</v>
      </c>
      <c r="AJ737">
        <v>2</v>
      </c>
      <c r="AK737">
        <v>335</v>
      </c>
      <c r="AL737" t="s">
        <v>1429</v>
      </c>
      <c r="AM737" t="s">
        <v>1430</v>
      </c>
      <c r="AN737" t="s">
        <v>3557</v>
      </c>
      <c r="AO737" t="s">
        <v>1452</v>
      </c>
      <c r="AP737" t="s">
        <v>1453</v>
      </c>
      <c r="AQ737" t="s">
        <v>74</v>
      </c>
      <c r="AR737" t="s">
        <v>1454</v>
      </c>
      <c r="AS737" t="s">
        <v>1455</v>
      </c>
      <c r="AT737" t="s">
        <v>12897</v>
      </c>
      <c r="AU737">
        <v>2012</v>
      </c>
      <c r="AV737">
        <v>93</v>
      </c>
      <c r="AW737">
        <v>7</v>
      </c>
      <c r="AX737" t="s">
        <v>74</v>
      </c>
      <c r="AY737" t="s">
        <v>10443</v>
      </c>
      <c r="AZ737" t="s">
        <v>74</v>
      </c>
      <c r="BA737" t="s">
        <v>74</v>
      </c>
      <c r="BB737" t="s">
        <v>13845</v>
      </c>
      <c r="BC737" t="s">
        <v>13846</v>
      </c>
      <c r="BD737" t="s">
        <v>74</v>
      </c>
      <c r="BE737" t="s">
        <v>13847</v>
      </c>
      <c r="BF737" t="str">
        <f>HYPERLINK("http://dx.doi.org/10.1175/2012BAMSStateoftheClimate.1","http://dx.doi.org/10.1175/2012BAMSStateoftheClimate.1")</f>
        <v>http://dx.doi.org/10.1175/2012BAMSStateoftheClimate.1</v>
      </c>
      <c r="BG737" t="s">
        <v>74</v>
      </c>
      <c r="BH737" t="s">
        <v>74</v>
      </c>
      <c r="BI737">
        <v>263</v>
      </c>
      <c r="BJ737" t="s">
        <v>378</v>
      </c>
      <c r="BK737" t="s">
        <v>98</v>
      </c>
      <c r="BL737" t="s">
        <v>378</v>
      </c>
      <c r="BM737" t="s">
        <v>13848</v>
      </c>
      <c r="BN737" t="s">
        <v>74</v>
      </c>
      <c r="BO737" t="s">
        <v>13849</v>
      </c>
      <c r="BP737" t="s">
        <v>74</v>
      </c>
      <c r="BQ737" t="s">
        <v>74</v>
      </c>
      <c r="BR737" t="s">
        <v>101</v>
      </c>
      <c r="BS737" t="s">
        <v>13850</v>
      </c>
      <c r="BT737" t="str">
        <f>HYPERLINK("https%3A%2F%2Fwww.webofscience.com%2Fwos%2Fwoscc%2Ffull-record%2FWOS:000306806200001","View Full Record in Web of Science")</f>
        <v>View Full Record in Web of Science</v>
      </c>
    </row>
    <row r="738" spans="1:72" x14ac:dyDescent="0.15">
      <c r="A738" t="s">
        <v>72</v>
      </c>
      <c r="B738" t="s">
        <v>13851</v>
      </c>
      <c r="C738" t="s">
        <v>74</v>
      </c>
      <c r="D738" t="s">
        <v>74</v>
      </c>
      <c r="E738" t="s">
        <v>74</v>
      </c>
      <c r="F738" t="s">
        <v>13852</v>
      </c>
      <c r="G738" t="s">
        <v>74</v>
      </c>
      <c r="H738" t="s">
        <v>74</v>
      </c>
      <c r="I738" t="s">
        <v>13853</v>
      </c>
      <c r="J738" t="s">
        <v>13854</v>
      </c>
      <c r="K738" t="s">
        <v>74</v>
      </c>
      <c r="L738" t="s">
        <v>74</v>
      </c>
      <c r="M738" t="s">
        <v>78</v>
      </c>
      <c r="N738" t="s">
        <v>79</v>
      </c>
      <c r="O738" t="s">
        <v>74</v>
      </c>
      <c r="P738" t="s">
        <v>74</v>
      </c>
      <c r="Q738" t="s">
        <v>74</v>
      </c>
      <c r="R738" t="s">
        <v>74</v>
      </c>
      <c r="S738" t="s">
        <v>74</v>
      </c>
      <c r="T738" t="s">
        <v>74</v>
      </c>
      <c r="U738" t="s">
        <v>74</v>
      </c>
      <c r="V738" t="s">
        <v>13855</v>
      </c>
      <c r="W738" t="s">
        <v>13856</v>
      </c>
      <c r="X738" t="s">
        <v>13857</v>
      </c>
      <c r="Y738" t="s">
        <v>13858</v>
      </c>
      <c r="Z738" t="s">
        <v>13859</v>
      </c>
      <c r="AA738" t="s">
        <v>74</v>
      </c>
      <c r="AB738" t="s">
        <v>74</v>
      </c>
      <c r="AC738" t="s">
        <v>13860</v>
      </c>
      <c r="AD738" t="s">
        <v>13861</v>
      </c>
      <c r="AE738" t="s">
        <v>13862</v>
      </c>
      <c r="AF738" t="s">
        <v>74</v>
      </c>
      <c r="AG738">
        <v>16</v>
      </c>
      <c r="AH738">
        <v>112</v>
      </c>
      <c r="AI738">
        <v>123</v>
      </c>
      <c r="AJ738">
        <v>0</v>
      </c>
      <c r="AK738">
        <v>36</v>
      </c>
      <c r="AL738" t="s">
        <v>935</v>
      </c>
      <c r="AM738" t="s">
        <v>2382</v>
      </c>
      <c r="AN738" t="s">
        <v>2383</v>
      </c>
      <c r="AO738" t="s">
        <v>13863</v>
      </c>
      <c r="AP738" t="s">
        <v>13864</v>
      </c>
      <c r="AQ738" t="s">
        <v>74</v>
      </c>
      <c r="AR738" t="s">
        <v>13854</v>
      </c>
      <c r="AS738" t="s">
        <v>13865</v>
      </c>
      <c r="AT738" t="s">
        <v>12897</v>
      </c>
      <c r="AU738">
        <v>2012</v>
      </c>
      <c r="AV738">
        <v>113</v>
      </c>
      <c r="AW738">
        <v>2</v>
      </c>
      <c r="AX738" t="s">
        <v>74</v>
      </c>
      <c r="AY738" t="s">
        <v>74</v>
      </c>
      <c r="AZ738" t="s">
        <v>74</v>
      </c>
      <c r="BA738" t="s">
        <v>74</v>
      </c>
      <c r="BB738">
        <v>239</v>
      </c>
      <c r="BC738">
        <v>252</v>
      </c>
      <c r="BD738" t="s">
        <v>74</v>
      </c>
      <c r="BE738" t="s">
        <v>13866</v>
      </c>
      <c r="BF738" t="str">
        <f>HYPERLINK("http://dx.doi.org/10.1007/s10584-011-0332-1","http://dx.doi.org/10.1007/s10584-011-0332-1")</f>
        <v>http://dx.doi.org/10.1007/s10584-011-0332-1</v>
      </c>
      <c r="BG738" t="s">
        <v>74</v>
      </c>
      <c r="BH738" t="s">
        <v>74</v>
      </c>
      <c r="BI738">
        <v>14</v>
      </c>
      <c r="BJ738" t="s">
        <v>4129</v>
      </c>
      <c r="BK738" t="s">
        <v>98</v>
      </c>
      <c r="BL738" t="s">
        <v>2844</v>
      </c>
      <c r="BM738" t="s">
        <v>13867</v>
      </c>
      <c r="BN738" t="s">
        <v>74</v>
      </c>
      <c r="BO738" t="s">
        <v>74</v>
      </c>
      <c r="BP738" t="s">
        <v>74</v>
      </c>
      <c r="BQ738" t="s">
        <v>74</v>
      </c>
      <c r="BR738" t="s">
        <v>101</v>
      </c>
      <c r="BS738" t="s">
        <v>13868</v>
      </c>
      <c r="BT738" t="str">
        <f>HYPERLINK("https%3A%2F%2Fwww.webofscience.com%2Fwos%2Fwoscc%2Ffull-record%2FWOS:000305211500009","View Full Record in Web of Science")</f>
        <v>View Full Record in Web of Science</v>
      </c>
    </row>
    <row r="739" spans="1:72" x14ac:dyDescent="0.15">
      <c r="A739" t="s">
        <v>72</v>
      </c>
      <c r="B739" t="s">
        <v>13869</v>
      </c>
      <c r="C739" t="s">
        <v>74</v>
      </c>
      <c r="D739" t="s">
        <v>74</v>
      </c>
      <c r="E739" t="s">
        <v>74</v>
      </c>
      <c r="F739" t="s">
        <v>13870</v>
      </c>
      <c r="G739" t="s">
        <v>74</v>
      </c>
      <c r="H739" t="s">
        <v>74</v>
      </c>
      <c r="I739" t="s">
        <v>13871</v>
      </c>
      <c r="J739" t="s">
        <v>13872</v>
      </c>
      <c r="K739" t="s">
        <v>74</v>
      </c>
      <c r="L739" t="s">
        <v>74</v>
      </c>
      <c r="M739" t="s">
        <v>78</v>
      </c>
      <c r="N739" t="s">
        <v>79</v>
      </c>
      <c r="O739" t="s">
        <v>74</v>
      </c>
      <c r="P739" t="s">
        <v>74</v>
      </c>
      <c r="Q739" t="s">
        <v>74</v>
      </c>
      <c r="R739" t="s">
        <v>74</v>
      </c>
      <c r="S739" t="s">
        <v>74</v>
      </c>
      <c r="T739" t="s">
        <v>74</v>
      </c>
      <c r="U739" t="s">
        <v>13873</v>
      </c>
      <c r="V739" t="s">
        <v>13874</v>
      </c>
      <c r="W739" t="s">
        <v>13875</v>
      </c>
      <c r="X739" t="s">
        <v>13876</v>
      </c>
      <c r="Y739" t="s">
        <v>9119</v>
      </c>
      <c r="Z739" t="s">
        <v>9120</v>
      </c>
      <c r="AA739" t="s">
        <v>13877</v>
      </c>
      <c r="AB739" t="s">
        <v>74</v>
      </c>
      <c r="AC739" t="s">
        <v>13878</v>
      </c>
      <c r="AD739" t="s">
        <v>13879</v>
      </c>
      <c r="AE739" t="s">
        <v>13880</v>
      </c>
      <c r="AF739" t="s">
        <v>74</v>
      </c>
      <c r="AG739">
        <v>58</v>
      </c>
      <c r="AH739">
        <v>21</v>
      </c>
      <c r="AI739">
        <v>22</v>
      </c>
      <c r="AJ739">
        <v>0</v>
      </c>
      <c r="AK739">
        <v>56</v>
      </c>
      <c r="AL739" t="s">
        <v>1034</v>
      </c>
      <c r="AM739" t="s">
        <v>90</v>
      </c>
      <c r="AN739" t="s">
        <v>1035</v>
      </c>
      <c r="AO739" t="s">
        <v>13881</v>
      </c>
      <c r="AP739" t="s">
        <v>13882</v>
      </c>
      <c r="AQ739" t="s">
        <v>74</v>
      </c>
      <c r="AR739" t="s">
        <v>13883</v>
      </c>
      <c r="AS739" t="s">
        <v>13884</v>
      </c>
      <c r="AT739" t="s">
        <v>12897</v>
      </c>
      <c r="AU739">
        <v>2012</v>
      </c>
      <c r="AV739">
        <v>4</v>
      </c>
      <c r="AW739">
        <v>3</v>
      </c>
      <c r="AX739" t="s">
        <v>74</v>
      </c>
      <c r="AY739" t="s">
        <v>74</v>
      </c>
      <c r="AZ739" t="s">
        <v>74</v>
      </c>
      <c r="BA739" t="s">
        <v>74</v>
      </c>
      <c r="BB739">
        <v>264</v>
      </c>
      <c r="BC739">
        <v>271</v>
      </c>
      <c r="BD739" t="s">
        <v>74</v>
      </c>
      <c r="BE739" t="s">
        <v>13885</v>
      </c>
      <c r="BF739" t="str">
        <f>HYPERLINK("http://dx.doi.org/10.1016/j.cosust.2012.05.005","http://dx.doi.org/10.1016/j.cosust.2012.05.005")</f>
        <v>http://dx.doi.org/10.1016/j.cosust.2012.05.005</v>
      </c>
      <c r="BG739" t="s">
        <v>74</v>
      </c>
      <c r="BH739" t="s">
        <v>74</v>
      </c>
      <c r="BI739">
        <v>8</v>
      </c>
      <c r="BJ739" t="s">
        <v>13886</v>
      </c>
      <c r="BK739" t="s">
        <v>98</v>
      </c>
      <c r="BL739" t="s">
        <v>13887</v>
      </c>
      <c r="BM739" t="s">
        <v>13888</v>
      </c>
      <c r="BN739" t="s">
        <v>74</v>
      </c>
      <c r="BO739" t="s">
        <v>74</v>
      </c>
      <c r="BP739" t="s">
        <v>74</v>
      </c>
      <c r="BQ739" t="s">
        <v>74</v>
      </c>
      <c r="BR739" t="s">
        <v>101</v>
      </c>
      <c r="BS739" t="s">
        <v>13889</v>
      </c>
      <c r="BT739" t="str">
        <f>HYPERLINK("https%3A%2F%2Fwww.webofscience.com%2Fwos%2Fwoscc%2Ffull-record%2FWOS:000307419000003","View Full Record in Web of Science")</f>
        <v>View Full Record in Web of Science</v>
      </c>
    </row>
    <row r="740" spans="1:72" x14ac:dyDescent="0.15">
      <c r="A740" t="s">
        <v>72</v>
      </c>
      <c r="B740" t="s">
        <v>13890</v>
      </c>
      <c r="C740" t="s">
        <v>74</v>
      </c>
      <c r="D740" t="s">
        <v>74</v>
      </c>
      <c r="E740" t="s">
        <v>74</v>
      </c>
      <c r="F740" t="s">
        <v>13891</v>
      </c>
      <c r="G740" t="s">
        <v>74</v>
      </c>
      <c r="H740" t="s">
        <v>74</v>
      </c>
      <c r="I740" t="s">
        <v>13892</v>
      </c>
      <c r="J740" t="s">
        <v>1463</v>
      </c>
      <c r="K740" t="s">
        <v>74</v>
      </c>
      <c r="L740" t="s">
        <v>74</v>
      </c>
      <c r="M740" t="s">
        <v>78</v>
      </c>
      <c r="N740" t="s">
        <v>79</v>
      </c>
      <c r="O740" t="s">
        <v>74</v>
      </c>
      <c r="P740" t="s">
        <v>74</v>
      </c>
      <c r="Q740" t="s">
        <v>74</v>
      </c>
      <c r="R740" t="s">
        <v>74</v>
      </c>
      <c r="S740" t="s">
        <v>74</v>
      </c>
      <c r="T740" t="s">
        <v>13893</v>
      </c>
      <c r="U740" t="s">
        <v>13894</v>
      </c>
      <c r="V740" t="s">
        <v>13895</v>
      </c>
      <c r="W740" t="s">
        <v>13896</v>
      </c>
      <c r="X740" t="s">
        <v>13897</v>
      </c>
      <c r="Y740" t="s">
        <v>13898</v>
      </c>
      <c r="Z740" t="s">
        <v>13899</v>
      </c>
      <c r="AA740" t="s">
        <v>13900</v>
      </c>
      <c r="AB740" t="s">
        <v>13901</v>
      </c>
      <c r="AC740" t="s">
        <v>13902</v>
      </c>
      <c r="AD740" t="s">
        <v>13903</v>
      </c>
      <c r="AE740" t="s">
        <v>13904</v>
      </c>
      <c r="AF740" t="s">
        <v>74</v>
      </c>
      <c r="AG740">
        <v>60</v>
      </c>
      <c r="AH740">
        <v>73</v>
      </c>
      <c r="AI740">
        <v>77</v>
      </c>
      <c r="AJ740">
        <v>1</v>
      </c>
      <c r="AK740">
        <v>48</v>
      </c>
      <c r="AL740" t="s">
        <v>89</v>
      </c>
      <c r="AM740" t="s">
        <v>90</v>
      </c>
      <c r="AN740" t="s">
        <v>91</v>
      </c>
      <c r="AO740" t="s">
        <v>1476</v>
      </c>
      <c r="AP740" t="s">
        <v>1497</v>
      </c>
      <c r="AQ740" t="s">
        <v>74</v>
      </c>
      <c r="AR740" t="s">
        <v>1477</v>
      </c>
      <c r="AS740" t="s">
        <v>1478</v>
      </c>
      <c r="AT740" t="s">
        <v>12897</v>
      </c>
      <c r="AU740">
        <v>2012</v>
      </c>
      <c r="AV740">
        <v>65</v>
      </c>
      <c r="AW740" t="s">
        <v>74</v>
      </c>
      <c r="AX740" t="s">
        <v>74</v>
      </c>
      <c r="AY740" t="s">
        <v>74</v>
      </c>
      <c r="AZ740" t="s">
        <v>74</v>
      </c>
      <c r="BA740" t="s">
        <v>74</v>
      </c>
      <c r="BB740">
        <v>1</v>
      </c>
      <c r="BC740">
        <v>14</v>
      </c>
      <c r="BD740" t="s">
        <v>74</v>
      </c>
      <c r="BE740" t="s">
        <v>13905</v>
      </c>
      <c r="BF740" t="str">
        <f>HYPERLINK("http://dx.doi.org/10.1016/j.dsr.2012.03.002","http://dx.doi.org/10.1016/j.dsr.2012.03.002")</f>
        <v>http://dx.doi.org/10.1016/j.dsr.2012.03.002</v>
      </c>
      <c r="BG740" t="s">
        <v>74</v>
      </c>
      <c r="BH740" t="s">
        <v>74</v>
      </c>
      <c r="BI740">
        <v>14</v>
      </c>
      <c r="BJ740" t="s">
        <v>941</v>
      </c>
      <c r="BK740" t="s">
        <v>98</v>
      </c>
      <c r="BL740" t="s">
        <v>941</v>
      </c>
      <c r="BM740" t="s">
        <v>13906</v>
      </c>
      <c r="BN740" t="s">
        <v>74</v>
      </c>
      <c r="BO740" t="s">
        <v>74</v>
      </c>
      <c r="BP740" t="s">
        <v>74</v>
      </c>
      <c r="BQ740" t="s">
        <v>74</v>
      </c>
      <c r="BR740" t="s">
        <v>101</v>
      </c>
      <c r="BS740" t="s">
        <v>13907</v>
      </c>
      <c r="BT740" t="str">
        <f>HYPERLINK("https%3A%2F%2Fwww.webofscience.com%2Fwos%2Fwoscc%2Ffull-record%2FWOS:000305862900001","View Full Record in Web of Science")</f>
        <v>View Full Record in Web of Science</v>
      </c>
    </row>
    <row r="741" spans="1:72" x14ac:dyDescent="0.15">
      <c r="A741" t="s">
        <v>72</v>
      </c>
      <c r="B741" t="s">
        <v>13908</v>
      </c>
      <c r="C741" t="s">
        <v>74</v>
      </c>
      <c r="D741" t="s">
        <v>74</v>
      </c>
      <c r="E741" t="s">
        <v>74</v>
      </c>
      <c r="F741" t="s">
        <v>13909</v>
      </c>
      <c r="G741" t="s">
        <v>74</v>
      </c>
      <c r="H741" t="s">
        <v>74</v>
      </c>
      <c r="I741" t="s">
        <v>13910</v>
      </c>
      <c r="J741" t="s">
        <v>13911</v>
      </c>
      <c r="K741" t="s">
        <v>74</v>
      </c>
      <c r="L741" t="s">
        <v>74</v>
      </c>
      <c r="M741" t="s">
        <v>78</v>
      </c>
      <c r="N741" t="s">
        <v>974</v>
      </c>
      <c r="O741" t="s">
        <v>74</v>
      </c>
      <c r="P741" t="s">
        <v>74</v>
      </c>
      <c r="Q741" t="s">
        <v>74</v>
      </c>
      <c r="R741" t="s">
        <v>74</v>
      </c>
      <c r="S741" t="s">
        <v>74</v>
      </c>
      <c r="T741" t="s">
        <v>13912</v>
      </c>
      <c r="U741" t="s">
        <v>13913</v>
      </c>
      <c r="V741" t="s">
        <v>13914</v>
      </c>
      <c r="W741" t="s">
        <v>13915</v>
      </c>
      <c r="X741" t="s">
        <v>13916</v>
      </c>
      <c r="Y741" t="s">
        <v>13917</v>
      </c>
      <c r="Z741" t="s">
        <v>13918</v>
      </c>
      <c r="AA741" t="s">
        <v>13919</v>
      </c>
      <c r="AB741" t="s">
        <v>13920</v>
      </c>
      <c r="AC741" t="s">
        <v>13921</v>
      </c>
      <c r="AD741" t="s">
        <v>13922</v>
      </c>
      <c r="AE741" t="s">
        <v>13923</v>
      </c>
      <c r="AF741" t="s">
        <v>74</v>
      </c>
      <c r="AG741">
        <v>109</v>
      </c>
      <c r="AH741">
        <v>152</v>
      </c>
      <c r="AI741">
        <v>159</v>
      </c>
      <c r="AJ741">
        <v>2</v>
      </c>
      <c r="AK741">
        <v>150</v>
      </c>
      <c r="AL741" t="s">
        <v>898</v>
      </c>
      <c r="AM741" t="s">
        <v>899</v>
      </c>
      <c r="AN741" t="s">
        <v>900</v>
      </c>
      <c r="AO741" t="s">
        <v>13924</v>
      </c>
      <c r="AP741" t="s">
        <v>13925</v>
      </c>
      <c r="AQ741" t="s">
        <v>74</v>
      </c>
      <c r="AR741" t="s">
        <v>13926</v>
      </c>
      <c r="AS741" t="s">
        <v>13927</v>
      </c>
      <c r="AT741" t="s">
        <v>12897</v>
      </c>
      <c r="AU741">
        <v>2012</v>
      </c>
      <c r="AV741">
        <v>18</v>
      </c>
      <c r="AW741">
        <v>7</v>
      </c>
      <c r="AX741" t="s">
        <v>74</v>
      </c>
      <c r="AY741" t="s">
        <v>74</v>
      </c>
      <c r="AZ741" t="s">
        <v>74</v>
      </c>
      <c r="BA741" t="s">
        <v>74</v>
      </c>
      <c r="BB741">
        <v>726</v>
      </c>
      <c r="BC741">
        <v>741</v>
      </c>
      <c r="BD741" t="s">
        <v>74</v>
      </c>
      <c r="BE741" t="s">
        <v>13928</v>
      </c>
      <c r="BF741" t="str">
        <f>HYPERLINK("http://dx.doi.org/10.1111/j.1472-4642.2012.00925.x","http://dx.doi.org/10.1111/j.1472-4642.2012.00925.x")</f>
        <v>http://dx.doi.org/10.1111/j.1472-4642.2012.00925.x</v>
      </c>
      <c r="BG741" t="s">
        <v>74</v>
      </c>
      <c r="BH741" t="s">
        <v>74</v>
      </c>
      <c r="BI741">
        <v>16</v>
      </c>
      <c r="BJ741" t="s">
        <v>1879</v>
      </c>
      <c r="BK741" t="s">
        <v>98</v>
      </c>
      <c r="BL741" t="s">
        <v>1880</v>
      </c>
      <c r="BM741" t="s">
        <v>13929</v>
      </c>
      <c r="BN741" t="s">
        <v>74</v>
      </c>
      <c r="BO741" t="s">
        <v>380</v>
      </c>
      <c r="BP741" t="s">
        <v>74</v>
      </c>
      <c r="BQ741" t="s">
        <v>74</v>
      </c>
      <c r="BR741" t="s">
        <v>101</v>
      </c>
      <c r="BS741" t="s">
        <v>13930</v>
      </c>
      <c r="BT741" t="str">
        <f>HYPERLINK("https%3A%2F%2Fwww.webofscience.com%2Fwos%2Fwoscc%2Ffull-record%2FWOS:000304901700008","View Full Record in Web of Science")</f>
        <v>View Full Record in Web of Science</v>
      </c>
    </row>
    <row r="742" spans="1:72" x14ac:dyDescent="0.15">
      <c r="A742" t="s">
        <v>72</v>
      </c>
      <c r="B742" t="s">
        <v>13931</v>
      </c>
      <c r="C742" t="s">
        <v>74</v>
      </c>
      <c r="D742" t="s">
        <v>74</v>
      </c>
      <c r="E742" t="s">
        <v>74</v>
      </c>
      <c r="F742" t="s">
        <v>13932</v>
      </c>
      <c r="G742" t="s">
        <v>74</v>
      </c>
      <c r="H742" t="s">
        <v>74</v>
      </c>
      <c r="I742" t="s">
        <v>13933</v>
      </c>
      <c r="J742" t="s">
        <v>222</v>
      </c>
      <c r="K742" t="s">
        <v>74</v>
      </c>
      <c r="L742" t="s">
        <v>74</v>
      </c>
      <c r="M742" t="s">
        <v>78</v>
      </c>
      <c r="N742" t="s">
        <v>79</v>
      </c>
      <c r="O742" t="s">
        <v>74</v>
      </c>
      <c r="P742" t="s">
        <v>74</v>
      </c>
      <c r="Q742" t="s">
        <v>74</v>
      </c>
      <c r="R742" t="s">
        <v>74</v>
      </c>
      <c r="S742" t="s">
        <v>74</v>
      </c>
      <c r="T742" t="s">
        <v>13934</v>
      </c>
      <c r="U742" t="s">
        <v>13935</v>
      </c>
      <c r="V742" t="s">
        <v>13936</v>
      </c>
      <c r="W742" t="s">
        <v>13937</v>
      </c>
      <c r="X742" t="s">
        <v>13938</v>
      </c>
      <c r="Y742" t="s">
        <v>13939</v>
      </c>
      <c r="Z742" t="s">
        <v>13940</v>
      </c>
      <c r="AA742" t="s">
        <v>74</v>
      </c>
      <c r="AB742" t="s">
        <v>74</v>
      </c>
      <c r="AC742" t="s">
        <v>13941</v>
      </c>
      <c r="AD742" t="s">
        <v>13942</v>
      </c>
      <c r="AE742" t="s">
        <v>13943</v>
      </c>
      <c r="AF742" t="s">
        <v>74</v>
      </c>
      <c r="AG742">
        <v>40</v>
      </c>
      <c r="AH742">
        <v>13</v>
      </c>
      <c r="AI742">
        <v>17</v>
      </c>
      <c r="AJ742">
        <v>0</v>
      </c>
      <c r="AK742">
        <v>19</v>
      </c>
      <c r="AL742" t="s">
        <v>188</v>
      </c>
      <c r="AM742" t="s">
        <v>189</v>
      </c>
      <c r="AN742" t="s">
        <v>190</v>
      </c>
      <c r="AO742" t="s">
        <v>235</v>
      </c>
      <c r="AP742" t="s">
        <v>236</v>
      </c>
      <c r="AQ742" t="s">
        <v>74</v>
      </c>
      <c r="AR742" t="s">
        <v>237</v>
      </c>
      <c r="AS742" t="s">
        <v>238</v>
      </c>
      <c r="AT742" t="s">
        <v>13542</v>
      </c>
      <c r="AU742">
        <v>2012</v>
      </c>
      <c r="AV742">
        <v>337</v>
      </c>
      <c r="AW742" t="s">
        <v>74</v>
      </c>
      <c r="AX742" t="s">
        <v>74</v>
      </c>
      <c r="AY742" t="s">
        <v>74</v>
      </c>
      <c r="AZ742" t="s">
        <v>74</v>
      </c>
      <c r="BA742" t="s">
        <v>74</v>
      </c>
      <c r="BB742">
        <v>243</v>
      </c>
      <c r="BC742">
        <v>251</v>
      </c>
      <c r="BD742" t="s">
        <v>74</v>
      </c>
      <c r="BE742" t="s">
        <v>13944</v>
      </c>
      <c r="BF742" t="str">
        <f>HYPERLINK("http://dx.doi.org/10.1016/j.epsl.2012.05.015","http://dx.doi.org/10.1016/j.epsl.2012.05.015")</f>
        <v>http://dx.doi.org/10.1016/j.epsl.2012.05.015</v>
      </c>
      <c r="BG742" t="s">
        <v>74</v>
      </c>
      <c r="BH742" t="s">
        <v>74</v>
      </c>
      <c r="BI742">
        <v>9</v>
      </c>
      <c r="BJ742" t="s">
        <v>241</v>
      </c>
      <c r="BK742" t="s">
        <v>98</v>
      </c>
      <c r="BL742" t="s">
        <v>241</v>
      </c>
      <c r="BM742" t="s">
        <v>13945</v>
      </c>
      <c r="BN742" t="s">
        <v>74</v>
      </c>
      <c r="BO742" t="s">
        <v>74</v>
      </c>
      <c r="BP742" t="s">
        <v>74</v>
      </c>
      <c r="BQ742" t="s">
        <v>74</v>
      </c>
      <c r="BR742" t="s">
        <v>101</v>
      </c>
      <c r="BS742" t="s">
        <v>13946</v>
      </c>
      <c r="BT742" t="str">
        <f>HYPERLINK("https%3A%2F%2Fwww.webofscience.com%2Fwos%2Fwoscc%2Ffull-record%2FWOS:000307431800025","View Full Record in Web of Science")</f>
        <v>View Full Record in Web of Science</v>
      </c>
    </row>
    <row r="743" spans="1:72" x14ac:dyDescent="0.15">
      <c r="A743" t="s">
        <v>72</v>
      </c>
      <c r="B743" t="s">
        <v>13947</v>
      </c>
      <c r="C743" t="s">
        <v>74</v>
      </c>
      <c r="D743" t="s">
        <v>74</v>
      </c>
      <c r="E743" t="s">
        <v>74</v>
      </c>
      <c r="F743" t="s">
        <v>13948</v>
      </c>
      <c r="G743" t="s">
        <v>74</v>
      </c>
      <c r="H743" t="s">
        <v>74</v>
      </c>
      <c r="I743" t="s">
        <v>13949</v>
      </c>
      <c r="J743" t="s">
        <v>13950</v>
      </c>
      <c r="K743" t="s">
        <v>74</v>
      </c>
      <c r="L743" t="s">
        <v>74</v>
      </c>
      <c r="M743" t="s">
        <v>78</v>
      </c>
      <c r="N743" t="s">
        <v>79</v>
      </c>
      <c r="O743" t="s">
        <v>74</v>
      </c>
      <c r="P743" t="s">
        <v>74</v>
      </c>
      <c r="Q743" t="s">
        <v>74</v>
      </c>
      <c r="R743" t="s">
        <v>74</v>
      </c>
      <c r="S743" t="s">
        <v>74</v>
      </c>
      <c r="T743" t="s">
        <v>13951</v>
      </c>
      <c r="U743" t="s">
        <v>13952</v>
      </c>
      <c r="V743" t="s">
        <v>13953</v>
      </c>
      <c r="W743" t="s">
        <v>13954</v>
      </c>
      <c r="X743" t="s">
        <v>13955</v>
      </c>
      <c r="Y743" t="s">
        <v>13956</v>
      </c>
      <c r="Z743" t="s">
        <v>13957</v>
      </c>
      <c r="AA743" t="s">
        <v>13958</v>
      </c>
      <c r="AB743" t="s">
        <v>13959</v>
      </c>
      <c r="AC743" t="s">
        <v>13960</v>
      </c>
      <c r="AD743" t="s">
        <v>13961</v>
      </c>
      <c r="AE743" t="s">
        <v>13962</v>
      </c>
      <c r="AF743" t="s">
        <v>74</v>
      </c>
      <c r="AG743">
        <v>69</v>
      </c>
      <c r="AH743">
        <v>24</v>
      </c>
      <c r="AI743">
        <v>25</v>
      </c>
      <c r="AJ743">
        <v>7</v>
      </c>
      <c r="AK743">
        <v>94</v>
      </c>
      <c r="AL743" t="s">
        <v>916</v>
      </c>
      <c r="AM743" t="s">
        <v>899</v>
      </c>
      <c r="AN743" t="s">
        <v>900</v>
      </c>
      <c r="AO743" t="s">
        <v>13963</v>
      </c>
      <c r="AP743" t="s">
        <v>74</v>
      </c>
      <c r="AQ743" t="s">
        <v>74</v>
      </c>
      <c r="AR743" t="s">
        <v>13964</v>
      </c>
      <c r="AS743" t="s">
        <v>13965</v>
      </c>
      <c r="AT743" t="s">
        <v>12897</v>
      </c>
      <c r="AU743">
        <v>2012</v>
      </c>
      <c r="AV743">
        <v>2</v>
      </c>
      <c r="AW743">
        <v>7</v>
      </c>
      <c r="AX743" t="s">
        <v>74</v>
      </c>
      <c r="AY743" t="s">
        <v>74</v>
      </c>
      <c r="AZ743" t="s">
        <v>74</v>
      </c>
      <c r="BA743" t="s">
        <v>74</v>
      </c>
      <c r="BB743">
        <v>1563</v>
      </c>
      <c r="BC743">
        <v>1571</v>
      </c>
      <c r="BD743" t="s">
        <v>74</v>
      </c>
      <c r="BE743" t="s">
        <v>13966</v>
      </c>
      <c r="BF743" t="str">
        <f>HYPERLINK("http://dx.doi.org/10.1002/ece3.281","http://dx.doi.org/10.1002/ece3.281")</f>
        <v>http://dx.doi.org/10.1002/ece3.281</v>
      </c>
      <c r="BG743" t="s">
        <v>74</v>
      </c>
      <c r="BH743" t="s">
        <v>74</v>
      </c>
      <c r="BI743">
        <v>9</v>
      </c>
      <c r="BJ743" t="s">
        <v>13815</v>
      </c>
      <c r="BK743" t="s">
        <v>98</v>
      </c>
      <c r="BL743" t="s">
        <v>13816</v>
      </c>
      <c r="BM743" t="s">
        <v>13967</v>
      </c>
      <c r="BN743">
        <v>22957162</v>
      </c>
      <c r="BO743" t="s">
        <v>13968</v>
      </c>
      <c r="BP743" t="s">
        <v>74</v>
      </c>
      <c r="BQ743" t="s">
        <v>74</v>
      </c>
      <c r="BR743" t="s">
        <v>101</v>
      </c>
      <c r="BS743" t="s">
        <v>13969</v>
      </c>
      <c r="BT743" t="str">
        <f>HYPERLINK("https%3A%2F%2Fwww.webofscience.com%2Fwos%2Fwoscc%2Ffull-record%2FWOS:000312448400020","View Full Record in Web of Science")</f>
        <v>View Full Record in Web of Science</v>
      </c>
    </row>
    <row r="744" spans="1:72" x14ac:dyDescent="0.15">
      <c r="A744" t="s">
        <v>72</v>
      </c>
      <c r="B744" t="s">
        <v>13970</v>
      </c>
      <c r="C744" t="s">
        <v>74</v>
      </c>
      <c r="D744" t="s">
        <v>74</v>
      </c>
      <c r="E744" t="s">
        <v>74</v>
      </c>
      <c r="F744" t="s">
        <v>13971</v>
      </c>
      <c r="G744" t="s">
        <v>74</v>
      </c>
      <c r="H744" t="s">
        <v>74</v>
      </c>
      <c r="I744" t="s">
        <v>13972</v>
      </c>
      <c r="J744" t="s">
        <v>13973</v>
      </c>
      <c r="K744" t="s">
        <v>74</v>
      </c>
      <c r="L744" t="s">
        <v>74</v>
      </c>
      <c r="M744" t="s">
        <v>78</v>
      </c>
      <c r="N744" t="s">
        <v>79</v>
      </c>
      <c r="O744" t="s">
        <v>74</v>
      </c>
      <c r="P744" t="s">
        <v>74</v>
      </c>
      <c r="Q744" t="s">
        <v>74</v>
      </c>
      <c r="R744" t="s">
        <v>74</v>
      </c>
      <c r="S744" t="s">
        <v>74</v>
      </c>
      <c r="T744" t="s">
        <v>13974</v>
      </c>
      <c r="U744" t="s">
        <v>13975</v>
      </c>
      <c r="V744" t="s">
        <v>13976</v>
      </c>
      <c r="W744" t="s">
        <v>13977</v>
      </c>
      <c r="X744" t="s">
        <v>13978</v>
      </c>
      <c r="Y744" t="s">
        <v>13979</v>
      </c>
      <c r="Z744" t="s">
        <v>13980</v>
      </c>
      <c r="AA744" t="s">
        <v>13981</v>
      </c>
      <c r="AB744" t="s">
        <v>13982</v>
      </c>
      <c r="AC744" t="s">
        <v>13983</v>
      </c>
      <c r="AD744" t="s">
        <v>13984</v>
      </c>
      <c r="AE744" t="s">
        <v>13985</v>
      </c>
      <c r="AF744" t="s">
        <v>74</v>
      </c>
      <c r="AG744">
        <v>39</v>
      </c>
      <c r="AH744">
        <v>28</v>
      </c>
      <c r="AI744">
        <v>31</v>
      </c>
      <c r="AJ744">
        <v>0</v>
      </c>
      <c r="AK744">
        <v>42</v>
      </c>
      <c r="AL744" t="s">
        <v>8301</v>
      </c>
      <c r="AM744" t="s">
        <v>8302</v>
      </c>
      <c r="AN744" t="s">
        <v>8303</v>
      </c>
      <c r="AO744" t="s">
        <v>13986</v>
      </c>
      <c r="AP744" t="s">
        <v>13987</v>
      </c>
      <c r="AQ744" t="s">
        <v>74</v>
      </c>
      <c r="AR744" t="s">
        <v>13988</v>
      </c>
      <c r="AS744" t="s">
        <v>13989</v>
      </c>
      <c r="AT744" t="s">
        <v>12938</v>
      </c>
      <c r="AU744">
        <v>2012</v>
      </c>
      <c r="AV744">
        <v>51</v>
      </c>
      <c r="AW744" t="s">
        <v>74</v>
      </c>
      <c r="AX744" t="s">
        <v>74</v>
      </c>
      <c r="AY744" t="s">
        <v>74</v>
      </c>
      <c r="AZ744" t="s">
        <v>74</v>
      </c>
      <c r="BA744" t="s">
        <v>74</v>
      </c>
      <c r="BB744">
        <v>37</v>
      </c>
      <c r="BC744">
        <v>44</v>
      </c>
      <c r="BD744" t="s">
        <v>74</v>
      </c>
      <c r="BE744" t="s">
        <v>13990</v>
      </c>
      <c r="BF744" t="str">
        <f>HYPERLINK("http://dx.doi.org/10.1016/j.ejsobi.2012.03.006","http://dx.doi.org/10.1016/j.ejsobi.2012.03.006")</f>
        <v>http://dx.doi.org/10.1016/j.ejsobi.2012.03.006</v>
      </c>
      <c r="BG744" t="s">
        <v>74</v>
      </c>
      <c r="BH744" t="s">
        <v>74</v>
      </c>
      <c r="BI744">
        <v>8</v>
      </c>
      <c r="BJ744" t="s">
        <v>13991</v>
      </c>
      <c r="BK744" t="s">
        <v>98</v>
      </c>
      <c r="BL744" t="s">
        <v>13992</v>
      </c>
      <c r="BM744" t="s">
        <v>13993</v>
      </c>
      <c r="BN744" t="s">
        <v>74</v>
      </c>
      <c r="BO744" t="s">
        <v>74</v>
      </c>
      <c r="BP744" t="s">
        <v>74</v>
      </c>
      <c r="BQ744" t="s">
        <v>74</v>
      </c>
      <c r="BR744" t="s">
        <v>101</v>
      </c>
      <c r="BS744" t="s">
        <v>13994</v>
      </c>
      <c r="BT744" t="str">
        <f>HYPERLINK("https%3A%2F%2Fwww.webofscience.com%2Fwos%2Fwoscc%2Ffull-record%2FWOS:000305597800006","View Full Record in Web of Science")</f>
        <v>View Full Record in Web of Science</v>
      </c>
    </row>
    <row r="745" spans="1:72" x14ac:dyDescent="0.15">
      <c r="A745" t="s">
        <v>72</v>
      </c>
      <c r="B745" t="s">
        <v>13995</v>
      </c>
      <c r="C745" t="s">
        <v>74</v>
      </c>
      <c r="D745" t="s">
        <v>74</v>
      </c>
      <c r="E745" t="s">
        <v>74</v>
      </c>
      <c r="F745" t="s">
        <v>13996</v>
      </c>
      <c r="G745" t="s">
        <v>74</v>
      </c>
      <c r="H745" t="s">
        <v>74</v>
      </c>
      <c r="I745" t="s">
        <v>13997</v>
      </c>
      <c r="J745" t="s">
        <v>13998</v>
      </c>
      <c r="K745" t="s">
        <v>74</v>
      </c>
      <c r="L745" t="s">
        <v>74</v>
      </c>
      <c r="M745" t="s">
        <v>78</v>
      </c>
      <c r="N745" t="s">
        <v>79</v>
      </c>
      <c r="O745" t="s">
        <v>74</v>
      </c>
      <c r="P745" t="s">
        <v>74</v>
      </c>
      <c r="Q745" t="s">
        <v>74</v>
      </c>
      <c r="R745" t="s">
        <v>74</v>
      </c>
      <c r="S745" t="s">
        <v>74</v>
      </c>
      <c r="T745" t="s">
        <v>13999</v>
      </c>
      <c r="U745" t="s">
        <v>14000</v>
      </c>
      <c r="V745" t="s">
        <v>14001</v>
      </c>
      <c r="W745" t="s">
        <v>14002</v>
      </c>
      <c r="X745" t="s">
        <v>14003</v>
      </c>
      <c r="Y745" t="s">
        <v>11741</v>
      </c>
      <c r="Z745" t="s">
        <v>11742</v>
      </c>
      <c r="AA745" t="s">
        <v>14004</v>
      </c>
      <c r="AB745" t="s">
        <v>14005</v>
      </c>
      <c r="AC745" t="s">
        <v>14006</v>
      </c>
      <c r="AD745" t="s">
        <v>14007</v>
      </c>
      <c r="AE745" t="s">
        <v>14008</v>
      </c>
      <c r="AF745" t="s">
        <v>74</v>
      </c>
      <c r="AG745">
        <v>39</v>
      </c>
      <c r="AH745">
        <v>22</v>
      </c>
      <c r="AI745">
        <v>25</v>
      </c>
      <c r="AJ745">
        <v>1</v>
      </c>
      <c r="AK745">
        <v>16</v>
      </c>
      <c r="AL745" t="s">
        <v>1034</v>
      </c>
      <c r="AM745" t="s">
        <v>90</v>
      </c>
      <c r="AN745" t="s">
        <v>1035</v>
      </c>
      <c r="AO745" t="s">
        <v>14009</v>
      </c>
      <c r="AP745" t="s">
        <v>14010</v>
      </c>
      <c r="AQ745" t="s">
        <v>74</v>
      </c>
      <c r="AR745" t="s">
        <v>14011</v>
      </c>
      <c r="AS745" t="s">
        <v>14012</v>
      </c>
      <c r="AT745" t="s">
        <v>12897</v>
      </c>
      <c r="AU745">
        <v>2012</v>
      </c>
      <c r="AV745">
        <v>116</v>
      </c>
      <c r="AW745">
        <v>7</v>
      </c>
      <c r="AX745" t="s">
        <v>74</v>
      </c>
      <c r="AY745" t="s">
        <v>74</v>
      </c>
      <c r="AZ745" t="s">
        <v>74</v>
      </c>
      <c r="BA745" t="s">
        <v>74</v>
      </c>
      <c r="BB745">
        <v>756</v>
      </c>
      <c r="BC745">
        <v>768</v>
      </c>
      <c r="BD745" t="s">
        <v>74</v>
      </c>
      <c r="BE745" t="s">
        <v>14013</v>
      </c>
      <c r="BF745" t="str">
        <f>HYPERLINK("http://dx.doi.org/10.1016/j.funbio.2012.04.005","http://dx.doi.org/10.1016/j.funbio.2012.04.005")</f>
        <v>http://dx.doi.org/10.1016/j.funbio.2012.04.005</v>
      </c>
      <c r="BG745" t="s">
        <v>74</v>
      </c>
      <c r="BH745" t="s">
        <v>74</v>
      </c>
      <c r="BI745">
        <v>13</v>
      </c>
      <c r="BJ745" t="s">
        <v>4103</v>
      </c>
      <c r="BK745" t="s">
        <v>98</v>
      </c>
      <c r="BL745" t="s">
        <v>4103</v>
      </c>
      <c r="BM745" t="s">
        <v>14014</v>
      </c>
      <c r="BN745">
        <v>22749162</v>
      </c>
      <c r="BO745" t="s">
        <v>74</v>
      </c>
      <c r="BP745" t="s">
        <v>74</v>
      </c>
      <c r="BQ745" t="s">
        <v>74</v>
      </c>
      <c r="BR745" t="s">
        <v>101</v>
      </c>
      <c r="BS745" t="s">
        <v>14015</v>
      </c>
      <c r="BT745" t="str">
        <f>HYPERLINK("https%3A%2F%2Fwww.webofscience.com%2Fwos%2Fwoscc%2Ffull-record%2FWOS:000306822700003","View Full Record in Web of Science")</f>
        <v>View Full Record in Web of Science</v>
      </c>
    </row>
    <row r="746" spans="1:72" x14ac:dyDescent="0.15">
      <c r="A746" t="s">
        <v>72</v>
      </c>
      <c r="B746" t="s">
        <v>14016</v>
      </c>
      <c r="C746" t="s">
        <v>74</v>
      </c>
      <c r="D746" t="s">
        <v>74</v>
      </c>
      <c r="E746" t="s">
        <v>74</v>
      </c>
      <c r="F746" t="s">
        <v>14017</v>
      </c>
      <c r="G746" t="s">
        <v>74</v>
      </c>
      <c r="H746" t="s">
        <v>74</v>
      </c>
      <c r="I746" t="s">
        <v>14018</v>
      </c>
      <c r="J746" t="s">
        <v>2602</v>
      </c>
      <c r="K746" t="s">
        <v>74</v>
      </c>
      <c r="L746" t="s">
        <v>74</v>
      </c>
      <c r="M746" t="s">
        <v>78</v>
      </c>
      <c r="N746" t="s">
        <v>79</v>
      </c>
      <c r="O746" t="s">
        <v>74</v>
      </c>
      <c r="P746" t="s">
        <v>74</v>
      </c>
      <c r="Q746" t="s">
        <v>74</v>
      </c>
      <c r="R746" t="s">
        <v>74</v>
      </c>
      <c r="S746" t="s">
        <v>74</v>
      </c>
      <c r="T746" t="s">
        <v>14019</v>
      </c>
      <c r="U746" t="s">
        <v>14020</v>
      </c>
      <c r="V746" t="s">
        <v>14021</v>
      </c>
      <c r="W746" t="s">
        <v>14022</v>
      </c>
      <c r="X746" t="s">
        <v>14023</v>
      </c>
      <c r="Y746" t="s">
        <v>14024</v>
      </c>
      <c r="Z746" t="s">
        <v>14025</v>
      </c>
      <c r="AA746" t="s">
        <v>14026</v>
      </c>
      <c r="AB746" t="s">
        <v>14027</v>
      </c>
      <c r="AC746" t="s">
        <v>14028</v>
      </c>
      <c r="AD746" t="s">
        <v>14029</v>
      </c>
      <c r="AE746" t="s">
        <v>14030</v>
      </c>
      <c r="AF746" t="s">
        <v>74</v>
      </c>
      <c r="AG746">
        <v>87</v>
      </c>
      <c r="AH746">
        <v>41</v>
      </c>
      <c r="AI746">
        <v>49</v>
      </c>
      <c r="AJ746">
        <v>4</v>
      </c>
      <c r="AK746">
        <v>47</v>
      </c>
      <c r="AL746" t="s">
        <v>188</v>
      </c>
      <c r="AM746" t="s">
        <v>189</v>
      </c>
      <c r="AN746" t="s">
        <v>190</v>
      </c>
      <c r="AO746" t="s">
        <v>2615</v>
      </c>
      <c r="AP746" t="s">
        <v>2616</v>
      </c>
      <c r="AQ746" t="s">
        <v>74</v>
      </c>
      <c r="AR746" t="s">
        <v>2602</v>
      </c>
      <c r="AS746" t="s">
        <v>2617</v>
      </c>
      <c r="AT746" t="s">
        <v>12897</v>
      </c>
      <c r="AU746">
        <v>2012</v>
      </c>
      <c r="AV746">
        <v>181</v>
      </c>
      <c r="AW746" t="s">
        <v>74</v>
      </c>
      <c r="AX746" t="s">
        <v>74</v>
      </c>
      <c r="AY746" t="s">
        <v>74</v>
      </c>
      <c r="AZ746" t="s">
        <v>74</v>
      </c>
      <c r="BA746" t="s">
        <v>74</v>
      </c>
      <c r="BB746">
        <v>45</v>
      </c>
      <c r="BC746">
        <v>55</v>
      </c>
      <c r="BD746" t="s">
        <v>74</v>
      </c>
      <c r="BE746" t="s">
        <v>14031</v>
      </c>
      <c r="BF746" t="str">
        <f>HYPERLINK("http://dx.doi.org/10.1016/j.geoderma.2012.02.017","http://dx.doi.org/10.1016/j.geoderma.2012.02.017")</f>
        <v>http://dx.doi.org/10.1016/j.geoderma.2012.02.017</v>
      </c>
      <c r="BG746" t="s">
        <v>74</v>
      </c>
      <c r="BH746" t="s">
        <v>74</v>
      </c>
      <c r="BI746">
        <v>11</v>
      </c>
      <c r="BJ746" t="s">
        <v>2619</v>
      </c>
      <c r="BK746" t="s">
        <v>98</v>
      </c>
      <c r="BL746" t="s">
        <v>2620</v>
      </c>
      <c r="BM746" t="s">
        <v>14032</v>
      </c>
      <c r="BN746" t="s">
        <v>74</v>
      </c>
      <c r="BO746" t="s">
        <v>74</v>
      </c>
      <c r="BP746" t="s">
        <v>74</v>
      </c>
      <c r="BQ746" t="s">
        <v>74</v>
      </c>
      <c r="BR746" t="s">
        <v>101</v>
      </c>
      <c r="BS746" t="s">
        <v>14033</v>
      </c>
      <c r="BT746" t="str">
        <f>HYPERLINK("https%3A%2F%2Fwww.webofscience.com%2Fwos%2Fwoscc%2Ffull-record%2FWOS:000303958500006","View Full Record in Web of Science")</f>
        <v>View Full Record in Web of Science</v>
      </c>
    </row>
    <row r="747" spans="1:72" x14ac:dyDescent="0.15">
      <c r="A747" t="s">
        <v>72</v>
      </c>
      <c r="B747" t="s">
        <v>14034</v>
      </c>
      <c r="C747" t="s">
        <v>74</v>
      </c>
      <c r="D747" t="s">
        <v>74</v>
      </c>
      <c r="E747" t="s">
        <v>74</v>
      </c>
      <c r="F747" t="s">
        <v>14035</v>
      </c>
      <c r="G747" t="s">
        <v>74</v>
      </c>
      <c r="H747" t="s">
        <v>74</v>
      </c>
      <c r="I747" t="s">
        <v>14036</v>
      </c>
      <c r="J747" t="s">
        <v>8547</v>
      </c>
      <c r="K747" t="s">
        <v>74</v>
      </c>
      <c r="L747" t="s">
        <v>74</v>
      </c>
      <c r="M747" t="s">
        <v>78</v>
      </c>
      <c r="N747" t="s">
        <v>79</v>
      </c>
      <c r="O747" t="s">
        <v>74</v>
      </c>
      <c r="P747" t="s">
        <v>74</v>
      </c>
      <c r="Q747" t="s">
        <v>74</v>
      </c>
      <c r="R747" t="s">
        <v>74</v>
      </c>
      <c r="S747" t="s">
        <v>74</v>
      </c>
      <c r="T747" t="s">
        <v>14037</v>
      </c>
      <c r="U747" t="s">
        <v>14038</v>
      </c>
      <c r="V747" t="s">
        <v>14039</v>
      </c>
      <c r="W747" t="s">
        <v>14040</v>
      </c>
      <c r="X747" t="s">
        <v>14041</v>
      </c>
      <c r="Y747" t="s">
        <v>14042</v>
      </c>
      <c r="Z747" t="s">
        <v>14043</v>
      </c>
      <c r="AA747" t="s">
        <v>14044</v>
      </c>
      <c r="AB747" t="s">
        <v>14045</v>
      </c>
      <c r="AC747" t="s">
        <v>14046</v>
      </c>
      <c r="AD747" t="s">
        <v>5910</v>
      </c>
      <c r="AE747" t="s">
        <v>74</v>
      </c>
      <c r="AF747" t="s">
        <v>74</v>
      </c>
      <c r="AG747">
        <v>80</v>
      </c>
      <c r="AH747">
        <v>36</v>
      </c>
      <c r="AI747">
        <v>44</v>
      </c>
      <c r="AJ747">
        <v>1</v>
      </c>
      <c r="AK747">
        <v>21</v>
      </c>
      <c r="AL747" t="s">
        <v>2780</v>
      </c>
      <c r="AM747" t="s">
        <v>371</v>
      </c>
      <c r="AN747" t="s">
        <v>2781</v>
      </c>
      <c r="AO747" t="s">
        <v>8560</v>
      </c>
      <c r="AP747" t="s">
        <v>14047</v>
      </c>
      <c r="AQ747" t="s">
        <v>74</v>
      </c>
      <c r="AR747" t="s">
        <v>8561</v>
      </c>
      <c r="AS747" t="s">
        <v>8562</v>
      </c>
      <c r="AT747" t="s">
        <v>12897</v>
      </c>
      <c r="AU747">
        <v>2012</v>
      </c>
      <c r="AV747">
        <v>149</v>
      </c>
      <c r="AW747">
        <v>4</v>
      </c>
      <c r="AX747" t="s">
        <v>74</v>
      </c>
      <c r="AY747" t="s">
        <v>74</v>
      </c>
      <c r="AZ747" t="s">
        <v>74</v>
      </c>
      <c r="BA747" t="s">
        <v>74</v>
      </c>
      <c r="BB747">
        <v>626</v>
      </c>
      <c r="BC747">
        <v>644</v>
      </c>
      <c r="BD747" t="s">
        <v>74</v>
      </c>
      <c r="BE747" t="s">
        <v>14048</v>
      </c>
      <c r="BF747" t="str">
        <f>HYPERLINK("http://dx.doi.org/10.1017/S001675681100080X","http://dx.doi.org/10.1017/S001675681100080X")</f>
        <v>http://dx.doi.org/10.1017/S001675681100080X</v>
      </c>
      <c r="BG747" t="s">
        <v>74</v>
      </c>
      <c r="BH747" t="s">
        <v>74</v>
      </c>
      <c r="BI747">
        <v>19</v>
      </c>
      <c r="BJ747" t="s">
        <v>461</v>
      </c>
      <c r="BK747" t="s">
        <v>98</v>
      </c>
      <c r="BL747" t="s">
        <v>462</v>
      </c>
      <c r="BM747" t="s">
        <v>14049</v>
      </c>
      <c r="BN747" t="s">
        <v>74</v>
      </c>
      <c r="BO747" t="s">
        <v>416</v>
      </c>
      <c r="BP747" t="s">
        <v>74</v>
      </c>
      <c r="BQ747" t="s">
        <v>74</v>
      </c>
      <c r="BR747" t="s">
        <v>101</v>
      </c>
      <c r="BS747" t="s">
        <v>14050</v>
      </c>
      <c r="BT747" t="str">
        <f>HYPERLINK("https%3A%2F%2Fwww.webofscience.com%2Fwos%2Fwoscc%2Ffull-record%2FWOS:000304828900005","View Full Record in Web of Science")</f>
        <v>View Full Record in Web of Science</v>
      </c>
    </row>
    <row r="748" spans="1:72" x14ac:dyDescent="0.15">
      <c r="A748" t="s">
        <v>72</v>
      </c>
      <c r="B748" t="s">
        <v>14051</v>
      </c>
      <c r="C748" t="s">
        <v>74</v>
      </c>
      <c r="D748" t="s">
        <v>74</v>
      </c>
      <c r="E748" t="s">
        <v>74</v>
      </c>
      <c r="F748" t="s">
        <v>14052</v>
      </c>
      <c r="G748" t="s">
        <v>74</v>
      </c>
      <c r="H748" t="s">
        <v>74</v>
      </c>
      <c r="I748" t="s">
        <v>14053</v>
      </c>
      <c r="J748" t="s">
        <v>4280</v>
      </c>
      <c r="K748" t="s">
        <v>74</v>
      </c>
      <c r="L748" t="s">
        <v>74</v>
      </c>
      <c r="M748" t="s">
        <v>78</v>
      </c>
      <c r="N748" t="s">
        <v>79</v>
      </c>
      <c r="O748" t="s">
        <v>74</v>
      </c>
      <c r="P748" t="s">
        <v>74</v>
      </c>
      <c r="Q748" t="s">
        <v>74</v>
      </c>
      <c r="R748" t="s">
        <v>74</v>
      </c>
      <c r="S748" t="s">
        <v>74</v>
      </c>
      <c r="T748" t="s">
        <v>14054</v>
      </c>
      <c r="U748" t="s">
        <v>14055</v>
      </c>
      <c r="V748" t="s">
        <v>14056</v>
      </c>
      <c r="W748" t="s">
        <v>14057</v>
      </c>
      <c r="X748" t="s">
        <v>14058</v>
      </c>
      <c r="Y748" t="s">
        <v>14059</v>
      </c>
      <c r="Z748" t="s">
        <v>14060</v>
      </c>
      <c r="AA748" t="s">
        <v>14061</v>
      </c>
      <c r="AB748" t="s">
        <v>14062</v>
      </c>
      <c r="AC748" t="s">
        <v>14063</v>
      </c>
      <c r="AD748" t="s">
        <v>14064</v>
      </c>
      <c r="AE748" t="s">
        <v>14065</v>
      </c>
      <c r="AF748" t="s">
        <v>74</v>
      </c>
      <c r="AG748">
        <v>63</v>
      </c>
      <c r="AH748">
        <v>8</v>
      </c>
      <c r="AI748">
        <v>8</v>
      </c>
      <c r="AJ748">
        <v>0</v>
      </c>
      <c r="AK748">
        <v>8</v>
      </c>
      <c r="AL748" t="s">
        <v>259</v>
      </c>
      <c r="AM748" t="s">
        <v>189</v>
      </c>
      <c r="AN748" t="s">
        <v>260</v>
      </c>
      <c r="AO748" t="s">
        <v>4293</v>
      </c>
      <c r="AP748" t="s">
        <v>74</v>
      </c>
      <c r="AQ748" t="s">
        <v>74</v>
      </c>
      <c r="AR748" t="s">
        <v>4295</v>
      </c>
      <c r="AS748" t="s">
        <v>4296</v>
      </c>
      <c r="AT748" t="s">
        <v>12897</v>
      </c>
      <c r="AU748">
        <v>2012</v>
      </c>
      <c r="AV748" t="s">
        <v>7914</v>
      </c>
      <c r="AW748" t="s">
        <v>74</v>
      </c>
      <c r="AX748" t="s">
        <v>74</v>
      </c>
      <c r="AY748" t="s">
        <v>74</v>
      </c>
      <c r="AZ748" t="s">
        <v>74</v>
      </c>
      <c r="BA748" t="s">
        <v>74</v>
      </c>
      <c r="BB748">
        <v>8</v>
      </c>
      <c r="BC748">
        <v>16</v>
      </c>
      <c r="BD748" t="s">
        <v>74</v>
      </c>
      <c r="BE748" t="s">
        <v>14066</v>
      </c>
      <c r="BF748" t="str">
        <f>HYPERLINK("http://dx.doi.org/10.1016/j.gloplacha.2012.04.006","http://dx.doi.org/10.1016/j.gloplacha.2012.04.006")</f>
        <v>http://dx.doi.org/10.1016/j.gloplacha.2012.04.006</v>
      </c>
      <c r="BG748" t="s">
        <v>74</v>
      </c>
      <c r="BH748" t="s">
        <v>74</v>
      </c>
      <c r="BI748">
        <v>9</v>
      </c>
      <c r="BJ748" t="s">
        <v>97</v>
      </c>
      <c r="BK748" t="s">
        <v>98</v>
      </c>
      <c r="BL748" t="s">
        <v>99</v>
      </c>
      <c r="BM748" t="s">
        <v>14067</v>
      </c>
      <c r="BN748" t="s">
        <v>74</v>
      </c>
      <c r="BO748" t="s">
        <v>1499</v>
      </c>
      <c r="BP748" t="s">
        <v>74</v>
      </c>
      <c r="BQ748" t="s">
        <v>74</v>
      </c>
      <c r="BR748" t="s">
        <v>101</v>
      </c>
      <c r="BS748" t="s">
        <v>14068</v>
      </c>
      <c r="BT748" t="str">
        <f>HYPERLINK("https%3A%2F%2Fwww.webofscience.com%2Fwos%2Fwoscc%2Ffull-record%2FWOS:000307031000002","View Full Record in Web of Science")</f>
        <v>View Full Record in Web of Science</v>
      </c>
    </row>
    <row r="749" spans="1:72" x14ac:dyDescent="0.15">
      <c r="A749" t="s">
        <v>72</v>
      </c>
      <c r="B749" t="s">
        <v>14069</v>
      </c>
      <c r="C749" t="s">
        <v>74</v>
      </c>
      <c r="D749" t="s">
        <v>74</v>
      </c>
      <c r="E749" t="s">
        <v>74</v>
      </c>
      <c r="F749" t="s">
        <v>14070</v>
      </c>
      <c r="G749" t="s">
        <v>74</v>
      </c>
      <c r="H749" t="s">
        <v>74</v>
      </c>
      <c r="I749" t="s">
        <v>14071</v>
      </c>
      <c r="J749" t="s">
        <v>4280</v>
      </c>
      <c r="K749" t="s">
        <v>74</v>
      </c>
      <c r="L749" t="s">
        <v>74</v>
      </c>
      <c r="M749" t="s">
        <v>78</v>
      </c>
      <c r="N749" t="s">
        <v>79</v>
      </c>
      <c r="O749" t="s">
        <v>74</v>
      </c>
      <c r="P749" t="s">
        <v>74</v>
      </c>
      <c r="Q749" t="s">
        <v>74</v>
      </c>
      <c r="R749" t="s">
        <v>74</v>
      </c>
      <c r="S749" t="s">
        <v>74</v>
      </c>
      <c r="T749" t="s">
        <v>14072</v>
      </c>
      <c r="U749" t="s">
        <v>14073</v>
      </c>
      <c r="V749" t="s">
        <v>14074</v>
      </c>
      <c r="W749" t="s">
        <v>14075</v>
      </c>
      <c r="X749" t="s">
        <v>14076</v>
      </c>
      <c r="Y749" t="s">
        <v>14077</v>
      </c>
      <c r="Z749" t="s">
        <v>14078</v>
      </c>
      <c r="AA749" t="s">
        <v>14079</v>
      </c>
      <c r="AB749" t="s">
        <v>14080</v>
      </c>
      <c r="AC749" t="s">
        <v>14081</v>
      </c>
      <c r="AD749" t="s">
        <v>14082</v>
      </c>
      <c r="AE749" t="s">
        <v>14083</v>
      </c>
      <c r="AF749" t="s">
        <v>74</v>
      </c>
      <c r="AG749">
        <v>67</v>
      </c>
      <c r="AH749">
        <v>28</v>
      </c>
      <c r="AI749">
        <v>30</v>
      </c>
      <c r="AJ749">
        <v>1</v>
      </c>
      <c r="AK749">
        <v>34</v>
      </c>
      <c r="AL749" t="s">
        <v>188</v>
      </c>
      <c r="AM749" t="s">
        <v>189</v>
      </c>
      <c r="AN749" t="s">
        <v>190</v>
      </c>
      <c r="AO749" t="s">
        <v>4293</v>
      </c>
      <c r="AP749" t="s">
        <v>4294</v>
      </c>
      <c r="AQ749" t="s">
        <v>74</v>
      </c>
      <c r="AR749" t="s">
        <v>4295</v>
      </c>
      <c r="AS749" t="s">
        <v>4296</v>
      </c>
      <c r="AT749" t="s">
        <v>12897</v>
      </c>
      <c r="AU749">
        <v>2012</v>
      </c>
      <c r="AV749" t="s">
        <v>7914</v>
      </c>
      <c r="AW749" t="s">
        <v>74</v>
      </c>
      <c r="AX749" t="s">
        <v>74</v>
      </c>
      <c r="AY749" t="s">
        <v>74</v>
      </c>
      <c r="AZ749" t="s">
        <v>74</v>
      </c>
      <c r="BA749" t="s">
        <v>74</v>
      </c>
      <c r="BB749">
        <v>82</v>
      </c>
      <c r="BC749">
        <v>91</v>
      </c>
      <c r="BD749" t="s">
        <v>74</v>
      </c>
      <c r="BE749" t="s">
        <v>14084</v>
      </c>
      <c r="BF749" t="str">
        <f>HYPERLINK("http://dx.doi.org/10.1016/j.gloplacha.2012.04.005","http://dx.doi.org/10.1016/j.gloplacha.2012.04.005")</f>
        <v>http://dx.doi.org/10.1016/j.gloplacha.2012.04.005</v>
      </c>
      <c r="BG749" t="s">
        <v>74</v>
      </c>
      <c r="BH749" t="s">
        <v>74</v>
      </c>
      <c r="BI749">
        <v>10</v>
      </c>
      <c r="BJ749" t="s">
        <v>97</v>
      </c>
      <c r="BK749" t="s">
        <v>98</v>
      </c>
      <c r="BL749" t="s">
        <v>99</v>
      </c>
      <c r="BM749" t="s">
        <v>14067</v>
      </c>
      <c r="BN749" t="s">
        <v>74</v>
      </c>
      <c r="BO749" t="s">
        <v>74</v>
      </c>
      <c r="BP749" t="s">
        <v>74</v>
      </c>
      <c r="BQ749" t="s">
        <v>74</v>
      </c>
      <c r="BR749" t="s">
        <v>101</v>
      </c>
      <c r="BS749" t="s">
        <v>14085</v>
      </c>
      <c r="BT749" t="str">
        <f>HYPERLINK("https%3A%2F%2Fwww.webofscience.com%2Fwos%2Fwoscc%2Ffull-record%2FWOS:000307031000009","View Full Record in Web of Science")</f>
        <v>View Full Record in Web of Science</v>
      </c>
    </row>
    <row r="750" spans="1:72" x14ac:dyDescent="0.15">
      <c r="A750" t="s">
        <v>72</v>
      </c>
      <c r="B750" t="s">
        <v>14086</v>
      </c>
      <c r="C750" t="s">
        <v>74</v>
      </c>
      <c r="D750" t="s">
        <v>74</v>
      </c>
      <c r="E750" t="s">
        <v>74</v>
      </c>
      <c r="F750" t="s">
        <v>14087</v>
      </c>
      <c r="G750" t="s">
        <v>74</v>
      </c>
      <c r="H750" t="s">
        <v>74</v>
      </c>
      <c r="I750" t="s">
        <v>14088</v>
      </c>
      <c r="J750" t="s">
        <v>4280</v>
      </c>
      <c r="K750" t="s">
        <v>74</v>
      </c>
      <c r="L750" t="s">
        <v>74</v>
      </c>
      <c r="M750" t="s">
        <v>78</v>
      </c>
      <c r="N750" t="s">
        <v>79</v>
      </c>
      <c r="O750" t="s">
        <v>74</v>
      </c>
      <c r="P750" t="s">
        <v>74</v>
      </c>
      <c r="Q750" t="s">
        <v>74</v>
      </c>
      <c r="R750" t="s">
        <v>74</v>
      </c>
      <c r="S750" t="s">
        <v>74</v>
      </c>
      <c r="T750" t="s">
        <v>14089</v>
      </c>
      <c r="U750" t="s">
        <v>14090</v>
      </c>
      <c r="V750" t="s">
        <v>14091</v>
      </c>
      <c r="W750" t="s">
        <v>14092</v>
      </c>
      <c r="X750" t="s">
        <v>14093</v>
      </c>
      <c r="Y750" t="s">
        <v>14094</v>
      </c>
      <c r="Z750" t="s">
        <v>14095</v>
      </c>
      <c r="AA750" t="s">
        <v>14096</v>
      </c>
      <c r="AB750" t="s">
        <v>14097</v>
      </c>
      <c r="AC750" t="s">
        <v>14098</v>
      </c>
      <c r="AD750" t="s">
        <v>14099</v>
      </c>
      <c r="AE750" t="s">
        <v>14100</v>
      </c>
      <c r="AF750" t="s">
        <v>74</v>
      </c>
      <c r="AG750">
        <v>68</v>
      </c>
      <c r="AH750">
        <v>40</v>
      </c>
      <c r="AI750">
        <v>46</v>
      </c>
      <c r="AJ750">
        <v>4</v>
      </c>
      <c r="AK750">
        <v>57</v>
      </c>
      <c r="AL750" t="s">
        <v>259</v>
      </c>
      <c r="AM750" t="s">
        <v>189</v>
      </c>
      <c r="AN750" t="s">
        <v>260</v>
      </c>
      <c r="AO750" t="s">
        <v>4293</v>
      </c>
      <c r="AP750" t="s">
        <v>74</v>
      </c>
      <c r="AQ750" t="s">
        <v>74</v>
      </c>
      <c r="AR750" t="s">
        <v>4295</v>
      </c>
      <c r="AS750" t="s">
        <v>4296</v>
      </c>
      <c r="AT750" t="s">
        <v>12897</v>
      </c>
      <c r="AU750">
        <v>2012</v>
      </c>
      <c r="AV750" t="s">
        <v>7914</v>
      </c>
      <c r="AW750" t="s">
        <v>74</v>
      </c>
      <c r="AX750" t="s">
        <v>74</v>
      </c>
      <c r="AY750" t="s">
        <v>74</v>
      </c>
      <c r="AZ750" t="s">
        <v>74</v>
      </c>
      <c r="BA750" t="s">
        <v>74</v>
      </c>
      <c r="BB750">
        <v>275</v>
      </c>
      <c r="BC750">
        <v>285</v>
      </c>
      <c r="BD750" t="s">
        <v>74</v>
      </c>
      <c r="BE750" t="s">
        <v>14101</v>
      </c>
      <c r="BF750" t="str">
        <f>HYPERLINK("http://dx.doi.org/10.1016/j.gloplacha.2012.05.020","http://dx.doi.org/10.1016/j.gloplacha.2012.05.020")</f>
        <v>http://dx.doi.org/10.1016/j.gloplacha.2012.05.020</v>
      </c>
      <c r="BG750" t="s">
        <v>74</v>
      </c>
      <c r="BH750" t="s">
        <v>74</v>
      </c>
      <c r="BI750">
        <v>11</v>
      </c>
      <c r="BJ750" t="s">
        <v>97</v>
      </c>
      <c r="BK750" t="s">
        <v>98</v>
      </c>
      <c r="BL750" t="s">
        <v>99</v>
      </c>
      <c r="BM750" t="s">
        <v>14067</v>
      </c>
      <c r="BN750" t="s">
        <v>74</v>
      </c>
      <c r="BO750" t="s">
        <v>416</v>
      </c>
      <c r="BP750" t="s">
        <v>74</v>
      </c>
      <c r="BQ750" t="s">
        <v>74</v>
      </c>
      <c r="BR750" t="s">
        <v>101</v>
      </c>
      <c r="BS750" t="s">
        <v>14102</v>
      </c>
      <c r="BT750" t="str">
        <f>HYPERLINK("https%3A%2F%2Fwww.webofscience.com%2Fwos%2Fwoscc%2Ffull-record%2FWOS:000307031000026","View Full Record in Web of Science")</f>
        <v>View Full Record in Web of Science</v>
      </c>
    </row>
    <row r="751" spans="1:72" x14ac:dyDescent="0.15">
      <c r="A751" t="s">
        <v>72</v>
      </c>
      <c r="B751" t="s">
        <v>14103</v>
      </c>
      <c r="C751" t="s">
        <v>74</v>
      </c>
      <c r="D751" t="s">
        <v>74</v>
      </c>
      <c r="E751" t="s">
        <v>74</v>
      </c>
      <c r="F751" t="s">
        <v>14104</v>
      </c>
      <c r="G751" t="s">
        <v>74</v>
      </c>
      <c r="H751" t="s">
        <v>74</v>
      </c>
      <c r="I751" t="s">
        <v>14105</v>
      </c>
      <c r="J751" t="s">
        <v>14106</v>
      </c>
      <c r="K751" t="s">
        <v>74</v>
      </c>
      <c r="L751" t="s">
        <v>74</v>
      </c>
      <c r="M751" t="s">
        <v>78</v>
      </c>
      <c r="N751" t="s">
        <v>79</v>
      </c>
      <c r="O751" t="s">
        <v>74</v>
      </c>
      <c r="P751" t="s">
        <v>74</v>
      </c>
      <c r="Q751" t="s">
        <v>74</v>
      </c>
      <c r="R751" t="s">
        <v>74</v>
      </c>
      <c r="S751" t="s">
        <v>74</v>
      </c>
      <c r="T751" t="s">
        <v>14107</v>
      </c>
      <c r="U751" t="s">
        <v>14108</v>
      </c>
      <c r="V751" t="s">
        <v>14109</v>
      </c>
      <c r="W751" t="s">
        <v>14110</v>
      </c>
      <c r="X751" t="s">
        <v>636</v>
      </c>
      <c r="Y751" t="s">
        <v>14111</v>
      </c>
      <c r="Z751" t="s">
        <v>14112</v>
      </c>
      <c r="AA751" t="s">
        <v>14113</v>
      </c>
      <c r="AB751" t="s">
        <v>14114</v>
      </c>
      <c r="AC751" t="s">
        <v>14115</v>
      </c>
      <c r="AD751" t="s">
        <v>10873</v>
      </c>
      <c r="AE751" t="s">
        <v>14116</v>
      </c>
      <c r="AF751" t="s">
        <v>74</v>
      </c>
      <c r="AG751">
        <v>33</v>
      </c>
      <c r="AH751">
        <v>115</v>
      </c>
      <c r="AI751">
        <v>121</v>
      </c>
      <c r="AJ751">
        <v>1</v>
      </c>
      <c r="AK751">
        <v>29</v>
      </c>
      <c r="AL751" t="s">
        <v>433</v>
      </c>
      <c r="AM751" t="s">
        <v>434</v>
      </c>
      <c r="AN751" t="s">
        <v>435</v>
      </c>
      <c r="AO751" t="s">
        <v>14117</v>
      </c>
      <c r="AP751" t="s">
        <v>74</v>
      </c>
      <c r="AQ751" t="s">
        <v>74</v>
      </c>
      <c r="AR751" t="s">
        <v>14106</v>
      </c>
      <c r="AS751" t="s">
        <v>14118</v>
      </c>
      <c r="AT751" t="s">
        <v>12897</v>
      </c>
      <c r="AU751">
        <v>2012</v>
      </c>
      <c r="AV751">
        <v>109</v>
      </c>
      <c r="AW751">
        <v>1</v>
      </c>
      <c r="AX751" t="s">
        <v>74</v>
      </c>
      <c r="AY751" t="s">
        <v>74</v>
      </c>
      <c r="AZ751" t="s">
        <v>74</v>
      </c>
      <c r="BA751" t="s">
        <v>74</v>
      </c>
      <c r="BB751">
        <v>50</v>
      </c>
      <c r="BC751">
        <v>56</v>
      </c>
      <c r="BD751" t="s">
        <v>74</v>
      </c>
      <c r="BE751" t="s">
        <v>14119</v>
      </c>
      <c r="BF751" t="str">
        <f>HYPERLINK("http://dx.doi.org/10.1038/hdy.2012.12","http://dx.doi.org/10.1038/hdy.2012.12")</f>
        <v>http://dx.doi.org/10.1038/hdy.2012.12</v>
      </c>
      <c r="BG751" t="s">
        <v>74</v>
      </c>
      <c r="BH751" t="s">
        <v>74</v>
      </c>
      <c r="BI751">
        <v>7</v>
      </c>
      <c r="BJ751" t="s">
        <v>9248</v>
      </c>
      <c r="BK751" t="s">
        <v>98</v>
      </c>
      <c r="BL751" t="s">
        <v>9249</v>
      </c>
      <c r="BM751" t="s">
        <v>14120</v>
      </c>
      <c r="BN751">
        <v>22434013</v>
      </c>
      <c r="BO751" t="s">
        <v>1654</v>
      </c>
      <c r="BP751" t="s">
        <v>74</v>
      </c>
      <c r="BQ751" t="s">
        <v>74</v>
      </c>
      <c r="BR751" t="s">
        <v>101</v>
      </c>
      <c r="BS751" t="s">
        <v>14121</v>
      </c>
      <c r="BT751" t="str">
        <f>HYPERLINK("https%3A%2F%2Fwww.webofscience.com%2Fwos%2Fwoscc%2Ffull-record%2FWOS:000305366700008","View Full Record in Web of Science")</f>
        <v>View Full Record in Web of Science</v>
      </c>
    </row>
    <row r="752" spans="1:72" x14ac:dyDescent="0.15">
      <c r="A752" t="s">
        <v>72</v>
      </c>
      <c r="B752" t="s">
        <v>14122</v>
      </c>
      <c r="C752" t="s">
        <v>74</v>
      </c>
      <c r="D752" t="s">
        <v>74</v>
      </c>
      <c r="E752" t="s">
        <v>74</v>
      </c>
      <c r="F752" t="s">
        <v>14123</v>
      </c>
      <c r="G752" t="s">
        <v>74</v>
      </c>
      <c r="H752" t="s">
        <v>74</v>
      </c>
      <c r="I752" t="s">
        <v>14124</v>
      </c>
      <c r="J752" t="s">
        <v>7827</v>
      </c>
      <c r="K752" t="s">
        <v>74</v>
      </c>
      <c r="L752" t="s">
        <v>74</v>
      </c>
      <c r="M752" t="s">
        <v>78</v>
      </c>
      <c r="N752" t="s">
        <v>79</v>
      </c>
      <c r="O752" t="s">
        <v>74</v>
      </c>
      <c r="P752" t="s">
        <v>74</v>
      </c>
      <c r="Q752" t="s">
        <v>74</v>
      </c>
      <c r="R752" t="s">
        <v>74</v>
      </c>
      <c r="S752" t="s">
        <v>74</v>
      </c>
      <c r="T752" t="s">
        <v>14125</v>
      </c>
      <c r="U752" t="s">
        <v>14126</v>
      </c>
      <c r="V752" t="s">
        <v>14127</v>
      </c>
      <c r="W752" t="s">
        <v>14128</v>
      </c>
      <c r="X752" t="s">
        <v>14129</v>
      </c>
      <c r="Y752" t="s">
        <v>14130</v>
      </c>
      <c r="Z752" t="s">
        <v>14131</v>
      </c>
      <c r="AA752" t="s">
        <v>14132</v>
      </c>
      <c r="AB752" t="s">
        <v>14133</v>
      </c>
      <c r="AC752" t="s">
        <v>11376</v>
      </c>
      <c r="AD752" t="s">
        <v>5910</v>
      </c>
      <c r="AE752" t="s">
        <v>74</v>
      </c>
      <c r="AF752" t="s">
        <v>74</v>
      </c>
      <c r="AG752">
        <v>40</v>
      </c>
      <c r="AH752">
        <v>8</v>
      </c>
      <c r="AI752">
        <v>8</v>
      </c>
      <c r="AJ752">
        <v>1</v>
      </c>
      <c r="AK752">
        <v>12</v>
      </c>
      <c r="AL752" t="s">
        <v>1771</v>
      </c>
      <c r="AM752" t="s">
        <v>90</v>
      </c>
      <c r="AN752" t="s">
        <v>1772</v>
      </c>
      <c r="AO752" t="s">
        <v>7839</v>
      </c>
      <c r="AP752" t="s">
        <v>74</v>
      </c>
      <c r="AQ752" t="s">
        <v>74</v>
      </c>
      <c r="AR752" t="s">
        <v>7841</v>
      </c>
      <c r="AS752" t="s">
        <v>7842</v>
      </c>
      <c r="AT752" t="s">
        <v>12897</v>
      </c>
      <c r="AU752">
        <v>2012</v>
      </c>
      <c r="AV752">
        <v>69</v>
      </c>
      <c r="AW752">
        <v>6</v>
      </c>
      <c r="AX752" t="s">
        <v>74</v>
      </c>
      <c r="AY752" t="s">
        <v>74</v>
      </c>
      <c r="AZ752" t="s">
        <v>74</v>
      </c>
      <c r="BA752" t="s">
        <v>74</v>
      </c>
      <c r="BB752">
        <v>1086</v>
      </c>
      <c r="BC752">
        <v>1098</v>
      </c>
      <c r="BD752" t="s">
        <v>74</v>
      </c>
      <c r="BE752" t="s">
        <v>14134</v>
      </c>
      <c r="BF752" t="str">
        <f>HYPERLINK("http://dx.doi.org/10.1093/icesjms/fss059","http://dx.doi.org/10.1093/icesjms/fss059")</f>
        <v>http://dx.doi.org/10.1093/icesjms/fss059</v>
      </c>
      <c r="BG752" t="s">
        <v>74</v>
      </c>
      <c r="BH752" t="s">
        <v>74</v>
      </c>
      <c r="BI752">
        <v>13</v>
      </c>
      <c r="BJ752" t="s">
        <v>7844</v>
      </c>
      <c r="BK752" t="s">
        <v>98</v>
      </c>
      <c r="BL752" t="s">
        <v>7844</v>
      </c>
      <c r="BM752" t="s">
        <v>13653</v>
      </c>
      <c r="BN752" t="s">
        <v>74</v>
      </c>
      <c r="BO752" t="s">
        <v>14135</v>
      </c>
      <c r="BP752" t="s">
        <v>74</v>
      </c>
      <c r="BQ752" t="s">
        <v>74</v>
      </c>
      <c r="BR752" t="s">
        <v>101</v>
      </c>
      <c r="BS752" t="s">
        <v>14136</v>
      </c>
      <c r="BT752" t="str">
        <f>HYPERLINK("https%3A%2F%2Fwww.webofscience.com%2Fwos%2Fwoscc%2Ffull-record%2FWOS:000305461200018","View Full Record in Web of Science")</f>
        <v>View Full Record in Web of Science</v>
      </c>
    </row>
    <row r="753" spans="1:72" x14ac:dyDescent="0.15">
      <c r="A753" t="s">
        <v>72</v>
      </c>
      <c r="B753" t="s">
        <v>14137</v>
      </c>
      <c r="C753" t="s">
        <v>74</v>
      </c>
      <c r="D753" t="s">
        <v>74</v>
      </c>
      <c r="E753" t="s">
        <v>74</v>
      </c>
      <c r="F753" t="s">
        <v>14138</v>
      </c>
      <c r="G753" t="s">
        <v>74</v>
      </c>
      <c r="H753" t="s">
        <v>74</v>
      </c>
      <c r="I753" t="s">
        <v>14139</v>
      </c>
      <c r="J753" t="s">
        <v>1417</v>
      </c>
      <c r="K753" t="s">
        <v>74</v>
      </c>
      <c r="L753" t="s">
        <v>74</v>
      </c>
      <c r="M753" t="s">
        <v>78</v>
      </c>
      <c r="N753" t="s">
        <v>79</v>
      </c>
      <c r="O753" t="s">
        <v>74</v>
      </c>
      <c r="P753" t="s">
        <v>74</v>
      </c>
      <c r="Q753" t="s">
        <v>74</v>
      </c>
      <c r="R753" t="s">
        <v>74</v>
      </c>
      <c r="S753" t="s">
        <v>74</v>
      </c>
      <c r="T753" t="s">
        <v>74</v>
      </c>
      <c r="U753" t="s">
        <v>14140</v>
      </c>
      <c r="V753" t="s">
        <v>14141</v>
      </c>
      <c r="W753" t="s">
        <v>14142</v>
      </c>
      <c r="X753" t="s">
        <v>14143</v>
      </c>
      <c r="Y753" t="s">
        <v>14144</v>
      </c>
      <c r="Z753" t="s">
        <v>8613</v>
      </c>
      <c r="AA753" t="s">
        <v>14145</v>
      </c>
      <c r="AB753" t="s">
        <v>14146</v>
      </c>
      <c r="AC753" t="s">
        <v>14147</v>
      </c>
      <c r="AD753" t="s">
        <v>14148</v>
      </c>
      <c r="AE753" t="s">
        <v>14149</v>
      </c>
      <c r="AF753" t="s">
        <v>74</v>
      </c>
      <c r="AG753">
        <v>52</v>
      </c>
      <c r="AH753">
        <v>396</v>
      </c>
      <c r="AI753">
        <v>428</v>
      </c>
      <c r="AJ753">
        <v>8</v>
      </c>
      <c r="AK753">
        <v>104</v>
      </c>
      <c r="AL753" t="s">
        <v>1429</v>
      </c>
      <c r="AM753" t="s">
        <v>1430</v>
      </c>
      <c r="AN753" t="s">
        <v>1431</v>
      </c>
      <c r="AO753" t="s">
        <v>1432</v>
      </c>
      <c r="AP753" t="s">
        <v>1433</v>
      </c>
      <c r="AQ753" t="s">
        <v>74</v>
      </c>
      <c r="AR753" t="s">
        <v>1434</v>
      </c>
      <c r="AS753" t="s">
        <v>1435</v>
      </c>
      <c r="AT753" t="s">
        <v>13542</v>
      </c>
      <c r="AU753">
        <v>2012</v>
      </c>
      <c r="AV753">
        <v>25</v>
      </c>
      <c r="AW753">
        <v>13</v>
      </c>
      <c r="AX753" t="s">
        <v>74</v>
      </c>
      <c r="AY753" t="s">
        <v>74</v>
      </c>
      <c r="AZ753" t="s">
        <v>74</v>
      </c>
      <c r="BA753" t="s">
        <v>74</v>
      </c>
      <c r="BB753">
        <v>4736</v>
      </c>
      <c r="BC753">
        <v>4743</v>
      </c>
      <c r="BD753" t="s">
        <v>74</v>
      </c>
      <c r="BE753" t="s">
        <v>14150</v>
      </c>
      <c r="BF753" t="str">
        <f>HYPERLINK("http://dx.doi.org/10.1175/JCLI-D-11-00466.1","http://dx.doi.org/10.1175/JCLI-D-11-00466.1")</f>
        <v>http://dx.doi.org/10.1175/JCLI-D-11-00466.1</v>
      </c>
      <c r="BG753" t="s">
        <v>74</v>
      </c>
      <c r="BH753" t="s">
        <v>74</v>
      </c>
      <c r="BI753">
        <v>8</v>
      </c>
      <c r="BJ753" t="s">
        <v>378</v>
      </c>
      <c r="BK753" t="s">
        <v>98</v>
      </c>
      <c r="BL753" t="s">
        <v>378</v>
      </c>
      <c r="BM753" t="s">
        <v>14151</v>
      </c>
      <c r="BN753" t="s">
        <v>74</v>
      </c>
      <c r="BO753" t="s">
        <v>607</v>
      </c>
      <c r="BP753" t="s">
        <v>74</v>
      </c>
      <c r="BQ753" t="s">
        <v>74</v>
      </c>
      <c r="BR753" t="s">
        <v>101</v>
      </c>
      <c r="BS753" t="s">
        <v>14152</v>
      </c>
      <c r="BT753" t="str">
        <f>HYPERLINK("https%3A%2F%2Fwww.webofscience.com%2Fwos%2Fwoscc%2Ffull-record%2FWOS:000306043800020","View Full Record in Web of Science")</f>
        <v>View Full Record in Web of Science</v>
      </c>
    </row>
    <row r="754" spans="1:72" x14ac:dyDescent="0.15">
      <c r="A754" t="s">
        <v>72</v>
      </c>
      <c r="B754" t="s">
        <v>14153</v>
      </c>
      <c r="C754" t="s">
        <v>74</v>
      </c>
      <c r="D754" t="s">
        <v>74</v>
      </c>
      <c r="E754" t="s">
        <v>74</v>
      </c>
      <c r="F754" t="s">
        <v>14154</v>
      </c>
      <c r="G754" t="s">
        <v>74</v>
      </c>
      <c r="H754" t="s">
        <v>74</v>
      </c>
      <c r="I754" t="s">
        <v>14155</v>
      </c>
      <c r="J754" t="s">
        <v>2718</v>
      </c>
      <c r="K754" t="s">
        <v>74</v>
      </c>
      <c r="L754" t="s">
        <v>74</v>
      </c>
      <c r="M754" t="s">
        <v>78</v>
      </c>
      <c r="N754" t="s">
        <v>79</v>
      </c>
      <c r="O754" t="s">
        <v>74</v>
      </c>
      <c r="P754" t="s">
        <v>74</v>
      </c>
      <c r="Q754" t="s">
        <v>74</v>
      </c>
      <c r="R754" t="s">
        <v>74</v>
      </c>
      <c r="S754" t="s">
        <v>74</v>
      </c>
      <c r="T754" t="s">
        <v>74</v>
      </c>
      <c r="U754" t="s">
        <v>14156</v>
      </c>
      <c r="V754" t="s">
        <v>14157</v>
      </c>
      <c r="W754" t="s">
        <v>14158</v>
      </c>
      <c r="X754" t="s">
        <v>7613</v>
      </c>
      <c r="Y754" t="s">
        <v>14159</v>
      </c>
      <c r="Z754" t="s">
        <v>7615</v>
      </c>
      <c r="AA754" t="s">
        <v>7616</v>
      </c>
      <c r="AB754" t="s">
        <v>7617</v>
      </c>
      <c r="AC754" t="s">
        <v>14160</v>
      </c>
      <c r="AD754" t="s">
        <v>14161</v>
      </c>
      <c r="AE754" t="s">
        <v>14162</v>
      </c>
      <c r="AF754" t="s">
        <v>74</v>
      </c>
      <c r="AG754">
        <v>60</v>
      </c>
      <c r="AH754">
        <v>68</v>
      </c>
      <c r="AI754">
        <v>70</v>
      </c>
      <c r="AJ754">
        <v>0</v>
      </c>
      <c r="AK754">
        <v>5</v>
      </c>
      <c r="AL754" t="s">
        <v>2729</v>
      </c>
      <c r="AM754" t="s">
        <v>2730</v>
      </c>
      <c r="AN754" t="s">
        <v>2731</v>
      </c>
      <c r="AO754" t="s">
        <v>2732</v>
      </c>
      <c r="AP754" t="s">
        <v>2733</v>
      </c>
      <c r="AQ754" t="s">
        <v>74</v>
      </c>
      <c r="AR754" t="s">
        <v>2734</v>
      </c>
      <c r="AS754" t="s">
        <v>2735</v>
      </c>
      <c r="AT754" t="s">
        <v>12897</v>
      </c>
      <c r="AU754">
        <v>2012</v>
      </c>
      <c r="AV754">
        <v>70</v>
      </c>
      <c r="AW754">
        <v>4</v>
      </c>
      <c r="AX754" t="s">
        <v>74</v>
      </c>
      <c r="AY754" t="s">
        <v>74</v>
      </c>
      <c r="AZ754" t="s">
        <v>74</v>
      </c>
      <c r="BA754" t="s">
        <v>74</v>
      </c>
      <c r="BB754">
        <v>569</v>
      </c>
      <c r="BC754">
        <v>602</v>
      </c>
      <c r="BD754" t="s">
        <v>74</v>
      </c>
      <c r="BE754" t="s">
        <v>14163</v>
      </c>
      <c r="BF754" t="str">
        <f>HYPERLINK("http://dx.doi.org/10.1357/002224012805262743","http://dx.doi.org/10.1357/002224012805262743")</f>
        <v>http://dx.doi.org/10.1357/002224012805262743</v>
      </c>
      <c r="BG754" t="s">
        <v>74</v>
      </c>
      <c r="BH754" t="s">
        <v>74</v>
      </c>
      <c r="BI754">
        <v>34</v>
      </c>
      <c r="BJ754" t="s">
        <v>941</v>
      </c>
      <c r="BK754" t="s">
        <v>98</v>
      </c>
      <c r="BL754" t="s">
        <v>941</v>
      </c>
      <c r="BM754" t="s">
        <v>14164</v>
      </c>
      <c r="BN754" t="s">
        <v>74</v>
      </c>
      <c r="BO754" t="s">
        <v>74</v>
      </c>
      <c r="BP754" t="s">
        <v>74</v>
      </c>
      <c r="BQ754" t="s">
        <v>74</v>
      </c>
      <c r="BR754" t="s">
        <v>101</v>
      </c>
      <c r="BS754" t="s">
        <v>14165</v>
      </c>
      <c r="BT754" t="str">
        <f>HYPERLINK("https%3A%2F%2Fwww.webofscience.com%2Fwos%2Fwoscc%2Ffull-record%2FWOS:000209058300001","View Full Record in Web of Science")</f>
        <v>View Full Record in Web of Science</v>
      </c>
    </row>
    <row r="755" spans="1:72" x14ac:dyDescent="0.15">
      <c r="A755" t="s">
        <v>72</v>
      </c>
      <c r="B755" t="s">
        <v>8544</v>
      </c>
      <c r="C755" t="s">
        <v>74</v>
      </c>
      <c r="D755" t="s">
        <v>74</v>
      </c>
      <c r="E755" t="s">
        <v>74</v>
      </c>
      <c r="F755" t="s">
        <v>14166</v>
      </c>
      <c r="G755" t="s">
        <v>74</v>
      </c>
      <c r="H755" t="s">
        <v>74</v>
      </c>
      <c r="I755" t="s">
        <v>14167</v>
      </c>
      <c r="J755" t="s">
        <v>1589</v>
      </c>
      <c r="K755" t="s">
        <v>74</v>
      </c>
      <c r="L755" t="s">
        <v>74</v>
      </c>
      <c r="M755" t="s">
        <v>78</v>
      </c>
      <c r="N755" t="s">
        <v>79</v>
      </c>
      <c r="O755" t="s">
        <v>74</v>
      </c>
      <c r="P755" t="s">
        <v>74</v>
      </c>
      <c r="Q755" t="s">
        <v>74</v>
      </c>
      <c r="R755" t="s">
        <v>74</v>
      </c>
      <c r="S755" t="s">
        <v>74</v>
      </c>
      <c r="T755" t="s">
        <v>74</v>
      </c>
      <c r="U755" t="s">
        <v>14168</v>
      </c>
      <c r="V755" t="s">
        <v>14169</v>
      </c>
      <c r="W755" t="s">
        <v>14170</v>
      </c>
      <c r="X755" t="s">
        <v>8552</v>
      </c>
      <c r="Y755" t="s">
        <v>14171</v>
      </c>
      <c r="Z755" t="s">
        <v>14172</v>
      </c>
      <c r="AA755" t="s">
        <v>14173</v>
      </c>
      <c r="AB755" t="s">
        <v>14174</v>
      </c>
      <c r="AC755" t="s">
        <v>14175</v>
      </c>
      <c r="AD755" t="s">
        <v>14176</v>
      </c>
      <c r="AE755" t="s">
        <v>14177</v>
      </c>
      <c r="AF755" t="s">
        <v>74</v>
      </c>
      <c r="AG755">
        <v>54</v>
      </c>
      <c r="AH755">
        <v>48</v>
      </c>
      <c r="AI755">
        <v>56</v>
      </c>
      <c r="AJ755">
        <v>0</v>
      </c>
      <c r="AK755">
        <v>9</v>
      </c>
      <c r="AL755" t="s">
        <v>1601</v>
      </c>
      <c r="AM755" t="s">
        <v>1602</v>
      </c>
      <c r="AN755" t="s">
        <v>1603</v>
      </c>
      <c r="AO755" t="s">
        <v>1604</v>
      </c>
      <c r="AP755" t="s">
        <v>1605</v>
      </c>
      <c r="AQ755" t="s">
        <v>74</v>
      </c>
      <c r="AR755" t="s">
        <v>1606</v>
      </c>
      <c r="AS755" t="s">
        <v>1607</v>
      </c>
      <c r="AT755" t="s">
        <v>12897</v>
      </c>
      <c r="AU755">
        <v>2012</v>
      </c>
      <c r="AV755">
        <v>169</v>
      </c>
      <c r="AW755">
        <v>4</v>
      </c>
      <c r="AX755" t="s">
        <v>74</v>
      </c>
      <c r="AY755" t="s">
        <v>74</v>
      </c>
      <c r="AZ755" t="s">
        <v>74</v>
      </c>
      <c r="BA755" t="s">
        <v>74</v>
      </c>
      <c r="BB755">
        <v>381</v>
      </c>
      <c r="BC755">
        <v>393</v>
      </c>
      <c r="BD755" t="s">
        <v>74</v>
      </c>
      <c r="BE755" t="s">
        <v>14178</v>
      </c>
      <c r="BF755" t="str">
        <f>HYPERLINK("http://dx.doi.org/10.1144/0016-76492011-142","http://dx.doi.org/10.1144/0016-76492011-142")</f>
        <v>http://dx.doi.org/10.1144/0016-76492011-142</v>
      </c>
      <c r="BG755" t="s">
        <v>74</v>
      </c>
      <c r="BH755" t="s">
        <v>74</v>
      </c>
      <c r="BI755">
        <v>13</v>
      </c>
      <c r="BJ755" t="s">
        <v>461</v>
      </c>
      <c r="BK755" t="s">
        <v>98</v>
      </c>
      <c r="BL755" t="s">
        <v>462</v>
      </c>
      <c r="BM755" t="s">
        <v>14179</v>
      </c>
      <c r="BN755" t="s">
        <v>74</v>
      </c>
      <c r="BO755" t="s">
        <v>74</v>
      </c>
      <c r="BP755" t="s">
        <v>74</v>
      </c>
      <c r="BQ755" t="s">
        <v>74</v>
      </c>
      <c r="BR755" t="s">
        <v>101</v>
      </c>
      <c r="BS755" t="s">
        <v>14180</v>
      </c>
      <c r="BT755" t="str">
        <f>HYPERLINK("https%3A%2F%2Fwww.webofscience.com%2Fwos%2Fwoscc%2Ffull-record%2FWOS:000308670200003","View Full Record in Web of Science")</f>
        <v>View Full Record in Web of Science</v>
      </c>
    </row>
    <row r="756" spans="1:72" x14ac:dyDescent="0.15">
      <c r="A756" t="s">
        <v>72</v>
      </c>
      <c r="B756" t="s">
        <v>14181</v>
      </c>
      <c r="C756" t="s">
        <v>74</v>
      </c>
      <c r="D756" t="s">
        <v>74</v>
      </c>
      <c r="E756" t="s">
        <v>74</v>
      </c>
      <c r="F756" t="s">
        <v>14182</v>
      </c>
      <c r="G756" t="s">
        <v>74</v>
      </c>
      <c r="H756" t="s">
        <v>74</v>
      </c>
      <c r="I756" t="s">
        <v>14183</v>
      </c>
      <c r="J756" t="s">
        <v>5922</v>
      </c>
      <c r="K756" t="s">
        <v>74</v>
      </c>
      <c r="L756" t="s">
        <v>74</v>
      </c>
      <c r="M756" t="s">
        <v>78</v>
      </c>
      <c r="N756" t="s">
        <v>79</v>
      </c>
      <c r="O756" t="s">
        <v>74</v>
      </c>
      <c r="P756" t="s">
        <v>74</v>
      </c>
      <c r="Q756" t="s">
        <v>74</v>
      </c>
      <c r="R756" t="s">
        <v>74</v>
      </c>
      <c r="S756" t="s">
        <v>74</v>
      </c>
      <c r="T756" t="s">
        <v>74</v>
      </c>
      <c r="U756" t="s">
        <v>14184</v>
      </c>
      <c r="V756" t="s">
        <v>14185</v>
      </c>
      <c r="W756" t="s">
        <v>14186</v>
      </c>
      <c r="X756" t="s">
        <v>14187</v>
      </c>
      <c r="Y756" t="s">
        <v>14188</v>
      </c>
      <c r="Z756" t="s">
        <v>14189</v>
      </c>
      <c r="AA756" t="s">
        <v>14190</v>
      </c>
      <c r="AB756" t="s">
        <v>14191</v>
      </c>
      <c r="AC756" t="s">
        <v>14192</v>
      </c>
      <c r="AD756" t="s">
        <v>14193</v>
      </c>
      <c r="AE756" t="s">
        <v>14194</v>
      </c>
      <c r="AF756" t="s">
        <v>74</v>
      </c>
      <c r="AG756">
        <v>53</v>
      </c>
      <c r="AH756">
        <v>69</v>
      </c>
      <c r="AI756">
        <v>78</v>
      </c>
      <c r="AJ756">
        <v>2</v>
      </c>
      <c r="AK756">
        <v>89</v>
      </c>
      <c r="AL756" t="s">
        <v>4767</v>
      </c>
      <c r="AM756" t="s">
        <v>4768</v>
      </c>
      <c r="AN756" t="s">
        <v>4769</v>
      </c>
      <c r="AO756" t="s">
        <v>5933</v>
      </c>
      <c r="AP756" t="s">
        <v>5934</v>
      </c>
      <c r="AQ756" t="s">
        <v>74</v>
      </c>
      <c r="AR756" t="s">
        <v>5935</v>
      </c>
      <c r="AS756" t="s">
        <v>5936</v>
      </c>
      <c r="AT756" t="s">
        <v>12897</v>
      </c>
      <c r="AU756">
        <v>2012</v>
      </c>
      <c r="AV756">
        <v>159</v>
      </c>
      <c r="AW756">
        <v>7</v>
      </c>
      <c r="AX756" t="s">
        <v>74</v>
      </c>
      <c r="AY756" t="s">
        <v>74</v>
      </c>
      <c r="AZ756" t="s">
        <v>74</v>
      </c>
      <c r="BA756" t="s">
        <v>74</v>
      </c>
      <c r="BB756">
        <v>1581</v>
      </c>
      <c r="BC756">
        <v>1591</v>
      </c>
      <c r="BD756" t="s">
        <v>74</v>
      </c>
      <c r="BE756" t="s">
        <v>14195</v>
      </c>
      <c r="BF756" t="str">
        <f>HYPERLINK("http://dx.doi.org/10.1007/s00227-012-1946-1","http://dx.doi.org/10.1007/s00227-012-1946-1")</f>
        <v>http://dx.doi.org/10.1007/s00227-012-1946-1</v>
      </c>
      <c r="BG756" t="s">
        <v>74</v>
      </c>
      <c r="BH756" t="s">
        <v>74</v>
      </c>
      <c r="BI756">
        <v>11</v>
      </c>
      <c r="BJ756" t="s">
        <v>1753</v>
      </c>
      <c r="BK756" t="s">
        <v>98</v>
      </c>
      <c r="BL756" t="s">
        <v>1753</v>
      </c>
      <c r="BM756" t="s">
        <v>14196</v>
      </c>
      <c r="BN756" t="s">
        <v>74</v>
      </c>
      <c r="BO756" t="s">
        <v>74</v>
      </c>
      <c r="BP756" t="s">
        <v>74</v>
      </c>
      <c r="BQ756" t="s">
        <v>74</v>
      </c>
      <c r="BR756" t="s">
        <v>101</v>
      </c>
      <c r="BS756" t="s">
        <v>14197</v>
      </c>
      <c r="BT756" t="str">
        <f>HYPERLINK("https%3A%2F%2Fwww.webofscience.com%2Fwos%2Fwoscc%2Ffull-record%2FWOS:000305528400017","View Full Record in Web of Science")</f>
        <v>View Full Record in Web of Science</v>
      </c>
    </row>
    <row r="757" spans="1:72" x14ac:dyDescent="0.15">
      <c r="A757" t="s">
        <v>72</v>
      </c>
      <c r="B757" t="s">
        <v>14198</v>
      </c>
      <c r="C757" t="s">
        <v>74</v>
      </c>
      <c r="D757" t="s">
        <v>74</v>
      </c>
      <c r="E757" t="s">
        <v>74</v>
      </c>
      <c r="F757" t="s">
        <v>14199</v>
      </c>
      <c r="G757" t="s">
        <v>74</v>
      </c>
      <c r="H757" t="s">
        <v>74</v>
      </c>
      <c r="I757" t="s">
        <v>14200</v>
      </c>
      <c r="J757" t="s">
        <v>4593</v>
      </c>
      <c r="K757" t="s">
        <v>74</v>
      </c>
      <c r="L757" t="s">
        <v>74</v>
      </c>
      <c r="M757" t="s">
        <v>78</v>
      </c>
      <c r="N757" t="s">
        <v>79</v>
      </c>
      <c r="O757" t="s">
        <v>74</v>
      </c>
      <c r="P757" t="s">
        <v>74</v>
      </c>
      <c r="Q757" t="s">
        <v>74</v>
      </c>
      <c r="R757" t="s">
        <v>74</v>
      </c>
      <c r="S757" t="s">
        <v>74</v>
      </c>
      <c r="T757" t="s">
        <v>74</v>
      </c>
      <c r="U757" t="s">
        <v>14201</v>
      </c>
      <c r="V757" t="s">
        <v>74</v>
      </c>
      <c r="W757" t="s">
        <v>14202</v>
      </c>
      <c r="X757" t="s">
        <v>14203</v>
      </c>
      <c r="Y757" t="s">
        <v>14204</v>
      </c>
      <c r="Z757" t="s">
        <v>14205</v>
      </c>
      <c r="AA757" t="s">
        <v>14206</v>
      </c>
      <c r="AB757" t="s">
        <v>14207</v>
      </c>
      <c r="AC757" t="s">
        <v>14208</v>
      </c>
      <c r="AD757" t="s">
        <v>14209</v>
      </c>
      <c r="AE757" t="s">
        <v>14210</v>
      </c>
      <c r="AF757" t="s">
        <v>74</v>
      </c>
      <c r="AG757">
        <v>17</v>
      </c>
      <c r="AH757">
        <v>41</v>
      </c>
      <c r="AI757">
        <v>41</v>
      </c>
      <c r="AJ757">
        <v>0</v>
      </c>
      <c r="AK757">
        <v>26</v>
      </c>
      <c r="AL757" t="s">
        <v>916</v>
      </c>
      <c r="AM757" t="s">
        <v>899</v>
      </c>
      <c r="AN757" t="s">
        <v>900</v>
      </c>
      <c r="AO757" t="s">
        <v>4602</v>
      </c>
      <c r="AP757" t="s">
        <v>74</v>
      </c>
      <c r="AQ757" t="s">
        <v>74</v>
      </c>
      <c r="AR757" t="s">
        <v>4604</v>
      </c>
      <c r="AS757" t="s">
        <v>4605</v>
      </c>
      <c r="AT757" t="s">
        <v>12897</v>
      </c>
      <c r="AU757">
        <v>2012</v>
      </c>
      <c r="AV757">
        <v>28</v>
      </c>
      <c r="AW757">
        <v>3</v>
      </c>
      <c r="AX757" t="s">
        <v>74</v>
      </c>
      <c r="AY757" t="s">
        <v>74</v>
      </c>
      <c r="AZ757" t="s">
        <v>74</v>
      </c>
      <c r="BA757" t="s">
        <v>74</v>
      </c>
      <c r="BB757" t="s">
        <v>14211</v>
      </c>
      <c r="BC757" t="s">
        <v>14212</v>
      </c>
      <c r="BD757" t="s">
        <v>74</v>
      </c>
      <c r="BE757" t="s">
        <v>14213</v>
      </c>
      <c r="BF757" t="str">
        <f>HYPERLINK("http://dx.doi.org/10.1111/j.1748-7692.2011.00519.x","http://dx.doi.org/10.1111/j.1748-7692.2011.00519.x")</f>
        <v>http://dx.doi.org/10.1111/j.1748-7692.2011.00519.x</v>
      </c>
      <c r="BG757" t="s">
        <v>74</v>
      </c>
      <c r="BH757" t="s">
        <v>74</v>
      </c>
      <c r="BI757">
        <v>8</v>
      </c>
      <c r="BJ757" t="s">
        <v>1854</v>
      </c>
      <c r="BK757" t="s">
        <v>98</v>
      </c>
      <c r="BL757" t="s">
        <v>1854</v>
      </c>
      <c r="BM757" t="s">
        <v>14214</v>
      </c>
      <c r="BN757" t="s">
        <v>74</v>
      </c>
      <c r="BO757" t="s">
        <v>74</v>
      </c>
      <c r="BP757" t="s">
        <v>74</v>
      </c>
      <c r="BQ757" t="s">
        <v>74</v>
      </c>
      <c r="BR757" t="s">
        <v>101</v>
      </c>
      <c r="BS757" t="s">
        <v>14215</v>
      </c>
      <c r="BT757" t="str">
        <f>HYPERLINK("https%3A%2F%2Fwww.webofscience.com%2Fwos%2Fwoscc%2Ffull-record%2FWOS:000305963100008","View Full Record in Web of Science")</f>
        <v>View Full Record in Web of Science</v>
      </c>
    </row>
    <row r="758" spans="1:72" x14ac:dyDescent="0.15">
      <c r="A758" t="s">
        <v>72</v>
      </c>
      <c r="B758" t="s">
        <v>14216</v>
      </c>
      <c r="C758" t="s">
        <v>74</v>
      </c>
      <c r="D758" t="s">
        <v>74</v>
      </c>
      <c r="E758" t="s">
        <v>74</v>
      </c>
      <c r="F758" t="s">
        <v>14217</v>
      </c>
      <c r="G758" t="s">
        <v>74</v>
      </c>
      <c r="H758" t="s">
        <v>74</v>
      </c>
      <c r="I758" t="s">
        <v>14218</v>
      </c>
      <c r="J758" t="s">
        <v>11977</v>
      </c>
      <c r="K758" t="s">
        <v>74</v>
      </c>
      <c r="L758" t="s">
        <v>74</v>
      </c>
      <c r="M758" t="s">
        <v>78</v>
      </c>
      <c r="N758" t="s">
        <v>79</v>
      </c>
      <c r="O758" t="s">
        <v>74</v>
      </c>
      <c r="P758" t="s">
        <v>74</v>
      </c>
      <c r="Q758" t="s">
        <v>74</v>
      </c>
      <c r="R758" t="s">
        <v>74</v>
      </c>
      <c r="S758" t="s">
        <v>74</v>
      </c>
      <c r="T758" t="s">
        <v>14219</v>
      </c>
      <c r="U758" t="s">
        <v>14220</v>
      </c>
      <c r="V758" t="s">
        <v>14221</v>
      </c>
      <c r="W758" t="s">
        <v>14222</v>
      </c>
      <c r="X758" t="s">
        <v>14223</v>
      </c>
      <c r="Y758" t="s">
        <v>14224</v>
      </c>
      <c r="Z758" t="s">
        <v>14225</v>
      </c>
      <c r="AA758" t="s">
        <v>14226</v>
      </c>
      <c r="AB758" t="s">
        <v>14227</v>
      </c>
      <c r="AC758" t="s">
        <v>14228</v>
      </c>
      <c r="AD758" t="s">
        <v>14229</v>
      </c>
      <c r="AE758" t="s">
        <v>14230</v>
      </c>
      <c r="AF758" t="s">
        <v>74</v>
      </c>
      <c r="AG758">
        <v>60</v>
      </c>
      <c r="AH758">
        <v>29</v>
      </c>
      <c r="AI758">
        <v>29</v>
      </c>
      <c r="AJ758">
        <v>2</v>
      </c>
      <c r="AK758">
        <v>63</v>
      </c>
      <c r="AL758" t="s">
        <v>898</v>
      </c>
      <c r="AM758" t="s">
        <v>899</v>
      </c>
      <c r="AN758" t="s">
        <v>900</v>
      </c>
      <c r="AO758" t="s">
        <v>11990</v>
      </c>
      <c r="AP758" t="s">
        <v>14231</v>
      </c>
      <c r="AQ758" t="s">
        <v>74</v>
      </c>
      <c r="AR758" t="s">
        <v>11991</v>
      </c>
      <c r="AS758" t="s">
        <v>11992</v>
      </c>
      <c r="AT758" t="s">
        <v>12897</v>
      </c>
      <c r="AU758">
        <v>2012</v>
      </c>
      <c r="AV758">
        <v>21</v>
      </c>
      <c r="AW758">
        <v>13</v>
      </c>
      <c r="AX758" t="s">
        <v>74</v>
      </c>
      <c r="AY758" t="s">
        <v>74</v>
      </c>
      <c r="AZ758" t="s">
        <v>74</v>
      </c>
      <c r="BA758" t="s">
        <v>74</v>
      </c>
      <c r="BB758">
        <v>3200</v>
      </c>
      <c r="BC758">
        <v>3209</v>
      </c>
      <c r="BD758" t="s">
        <v>74</v>
      </c>
      <c r="BE758" t="s">
        <v>14232</v>
      </c>
      <c r="BF758" t="str">
        <f>HYPERLINK("http://dx.doi.org/10.1111/j.1365-294X.2012.05596.x","http://dx.doi.org/10.1111/j.1365-294X.2012.05596.x")</f>
        <v>http://dx.doi.org/10.1111/j.1365-294X.2012.05596.x</v>
      </c>
      <c r="BG758" t="s">
        <v>74</v>
      </c>
      <c r="BH758" t="s">
        <v>74</v>
      </c>
      <c r="BI758">
        <v>10</v>
      </c>
      <c r="BJ758" t="s">
        <v>8852</v>
      </c>
      <c r="BK758" t="s">
        <v>98</v>
      </c>
      <c r="BL758" t="s">
        <v>8853</v>
      </c>
      <c r="BM758" t="s">
        <v>14233</v>
      </c>
      <c r="BN758">
        <v>22564188</v>
      </c>
      <c r="BO758" t="s">
        <v>494</v>
      </c>
      <c r="BP758" t="s">
        <v>74</v>
      </c>
      <c r="BQ758" t="s">
        <v>74</v>
      </c>
      <c r="BR758" t="s">
        <v>101</v>
      </c>
      <c r="BS758" t="s">
        <v>14234</v>
      </c>
      <c r="BT758" t="str">
        <f>HYPERLINK("https%3A%2F%2Fwww.webofscience.com%2Fwos%2Fwoscc%2Ffull-record%2FWOS:000305582200010","View Full Record in Web of Science")</f>
        <v>View Full Record in Web of Science</v>
      </c>
    </row>
    <row r="759" spans="1:72" x14ac:dyDescent="0.15">
      <c r="A759" t="s">
        <v>72</v>
      </c>
      <c r="B759" t="s">
        <v>14235</v>
      </c>
      <c r="C759" t="s">
        <v>74</v>
      </c>
      <c r="D759" t="s">
        <v>74</v>
      </c>
      <c r="E759" t="s">
        <v>74</v>
      </c>
      <c r="F759" t="s">
        <v>14236</v>
      </c>
      <c r="G759" t="s">
        <v>74</v>
      </c>
      <c r="H759" t="s">
        <v>74</v>
      </c>
      <c r="I759" t="s">
        <v>14237</v>
      </c>
      <c r="J759" t="s">
        <v>2062</v>
      </c>
      <c r="K759" t="s">
        <v>74</v>
      </c>
      <c r="L759" t="s">
        <v>74</v>
      </c>
      <c r="M759" t="s">
        <v>78</v>
      </c>
      <c r="N759" t="s">
        <v>79</v>
      </c>
      <c r="O759" t="s">
        <v>74</v>
      </c>
      <c r="P759" t="s">
        <v>74</v>
      </c>
      <c r="Q759" t="s">
        <v>74</v>
      </c>
      <c r="R759" t="s">
        <v>74</v>
      </c>
      <c r="S759" t="s">
        <v>74</v>
      </c>
      <c r="T759" t="s">
        <v>14238</v>
      </c>
      <c r="U759" t="s">
        <v>14239</v>
      </c>
      <c r="V759" t="s">
        <v>14240</v>
      </c>
      <c r="W759" t="s">
        <v>14241</v>
      </c>
      <c r="X759" t="s">
        <v>14242</v>
      </c>
      <c r="Y759" t="s">
        <v>14243</v>
      </c>
      <c r="Z759" t="s">
        <v>14244</v>
      </c>
      <c r="AA759" t="s">
        <v>14245</v>
      </c>
      <c r="AB759" t="s">
        <v>14246</v>
      </c>
      <c r="AC759" t="s">
        <v>14247</v>
      </c>
      <c r="AD759" t="s">
        <v>14248</v>
      </c>
      <c r="AE759" t="s">
        <v>14249</v>
      </c>
      <c r="AF759" t="s">
        <v>74</v>
      </c>
      <c r="AG759">
        <v>84</v>
      </c>
      <c r="AH759">
        <v>43</v>
      </c>
      <c r="AI759">
        <v>49</v>
      </c>
      <c r="AJ759">
        <v>0</v>
      </c>
      <c r="AK759">
        <v>62</v>
      </c>
      <c r="AL759" t="s">
        <v>1081</v>
      </c>
      <c r="AM759" t="s">
        <v>1082</v>
      </c>
      <c r="AN759" t="s">
        <v>1083</v>
      </c>
      <c r="AO759" t="s">
        <v>2075</v>
      </c>
      <c r="AP759" t="s">
        <v>2076</v>
      </c>
      <c r="AQ759" t="s">
        <v>74</v>
      </c>
      <c r="AR759" t="s">
        <v>2077</v>
      </c>
      <c r="AS759" t="s">
        <v>2078</v>
      </c>
      <c r="AT759" t="s">
        <v>12897</v>
      </c>
      <c r="AU759">
        <v>2012</v>
      </c>
      <c r="AV759">
        <v>64</v>
      </c>
      <c r="AW759">
        <v>1</v>
      </c>
      <c r="AX759" t="s">
        <v>74</v>
      </c>
      <c r="AY759" t="s">
        <v>74</v>
      </c>
      <c r="AZ759" t="s">
        <v>74</v>
      </c>
      <c r="BA759" t="s">
        <v>74</v>
      </c>
      <c r="BB759">
        <v>243</v>
      </c>
      <c r="BC759">
        <v>253</v>
      </c>
      <c r="BD759" t="s">
        <v>74</v>
      </c>
      <c r="BE759" t="s">
        <v>14250</v>
      </c>
      <c r="BF759" t="str">
        <f>HYPERLINK("http://dx.doi.org/10.1016/j.ympev.2012.04.004","http://dx.doi.org/10.1016/j.ympev.2012.04.004")</f>
        <v>http://dx.doi.org/10.1016/j.ympev.2012.04.004</v>
      </c>
      <c r="BG759" t="s">
        <v>74</v>
      </c>
      <c r="BH759" t="s">
        <v>74</v>
      </c>
      <c r="BI759">
        <v>11</v>
      </c>
      <c r="BJ759" t="s">
        <v>2080</v>
      </c>
      <c r="BK759" t="s">
        <v>98</v>
      </c>
      <c r="BL759" t="s">
        <v>2080</v>
      </c>
      <c r="BM759" t="s">
        <v>14251</v>
      </c>
      <c r="BN759">
        <v>22503758</v>
      </c>
      <c r="BO759" t="s">
        <v>74</v>
      </c>
      <c r="BP759" t="s">
        <v>74</v>
      </c>
      <c r="BQ759" t="s">
        <v>74</v>
      </c>
      <c r="BR759" t="s">
        <v>101</v>
      </c>
      <c r="BS759" t="s">
        <v>14252</v>
      </c>
      <c r="BT759" t="str">
        <f>HYPERLINK("https%3A%2F%2Fwww.webofscience.com%2Fwos%2Fwoscc%2Ffull-record%2FWOS:000305035600022","View Full Record in Web of Science")</f>
        <v>View Full Record in Web of Science</v>
      </c>
    </row>
    <row r="760" spans="1:72" x14ac:dyDescent="0.15">
      <c r="A760" t="s">
        <v>72</v>
      </c>
      <c r="B760" t="s">
        <v>14253</v>
      </c>
      <c r="C760" t="s">
        <v>74</v>
      </c>
      <c r="D760" t="s">
        <v>74</v>
      </c>
      <c r="E760" t="s">
        <v>74</v>
      </c>
      <c r="F760" t="s">
        <v>14254</v>
      </c>
      <c r="G760" t="s">
        <v>74</v>
      </c>
      <c r="H760" t="s">
        <v>74</v>
      </c>
      <c r="I760" t="s">
        <v>14255</v>
      </c>
      <c r="J760" t="s">
        <v>14256</v>
      </c>
      <c r="K760" t="s">
        <v>74</v>
      </c>
      <c r="L760" t="s">
        <v>74</v>
      </c>
      <c r="M760" t="s">
        <v>78</v>
      </c>
      <c r="N760" t="s">
        <v>79</v>
      </c>
      <c r="O760" t="s">
        <v>74</v>
      </c>
      <c r="P760" t="s">
        <v>74</v>
      </c>
      <c r="Q760" t="s">
        <v>74</v>
      </c>
      <c r="R760" t="s">
        <v>74</v>
      </c>
      <c r="S760" t="s">
        <v>74</v>
      </c>
      <c r="T760" t="s">
        <v>14257</v>
      </c>
      <c r="U760" t="s">
        <v>14258</v>
      </c>
      <c r="V760" t="s">
        <v>14259</v>
      </c>
      <c r="W760" t="s">
        <v>14260</v>
      </c>
      <c r="X760" t="s">
        <v>14261</v>
      </c>
      <c r="Y760" t="s">
        <v>14262</v>
      </c>
      <c r="Z760" t="s">
        <v>14263</v>
      </c>
      <c r="AA760" t="s">
        <v>14264</v>
      </c>
      <c r="AB760" t="s">
        <v>14265</v>
      </c>
      <c r="AC760" t="s">
        <v>14266</v>
      </c>
      <c r="AD760" t="s">
        <v>14267</v>
      </c>
      <c r="AE760" t="s">
        <v>14268</v>
      </c>
      <c r="AF760" t="s">
        <v>74</v>
      </c>
      <c r="AG760">
        <v>53</v>
      </c>
      <c r="AH760">
        <v>170</v>
      </c>
      <c r="AI760">
        <v>193</v>
      </c>
      <c r="AJ760">
        <v>2</v>
      </c>
      <c r="AK760">
        <v>103</v>
      </c>
      <c r="AL760" t="s">
        <v>898</v>
      </c>
      <c r="AM760" t="s">
        <v>899</v>
      </c>
      <c r="AN760" t="s">
        <v>900</v>
      </c>
      <c r="AO760" t="s">
        <v>14269</v>
      </c>
      <c r="AP760" t="s">
        <v>74</v>
      </c>
      <c r="AQ760" t="s">
        <v>74</v>
      </c>
      <c r="AR760" t="s">
        <v>14270</v>
      </c>
      <c r="AS760" t="s">
        <v>14271</v>
      </c>
      <c r="AT760" t="s">
        <v>12897</v>
      </c>
      <c r="AU760">
        <v>2012</v>
      </c>
      <c r="AV760">
        <v>8</v>
      </c>
      <c r="AW760" t="s">
        <v>74</v>
      </c>
      <c r="AX760" t="s">
        <v>74</v>
      </c>
      <c r="AY760" t="s">
        <v>74</v>
      </c>
      <c r="AZ760" t="s">
        <v>74</v>
      </c>
      <c r="BA760" t="s">
        <v>74</v>
      </c>
      <c r="BB760" t="s">
        <v>74</v>
      </c>
      <c r="BC760" t="s">
        <v>74</v>
      </c>
      <c r="BD760">
        <v>595</v>
      </c>
      <c r="BE760" t="s">
        <v>14272</v>
      </c>
      <c r="BF760" t="str">
        <f>HYPERLINK("http://dx.doi.org/10.1038/msb.2012.28","http://dx.doi.org/10.1038/msb.2012.28")</f>
        <v>http://dx.doi.org/10.1038/msb.2012.28</v>
      </c>
      <c r="BG760" t="s">
        <v>74</v>
      </c>
      <c r="BH760" t="s">
        <v>74</v>
      </c>
      <c r="BI760">
        <v>13</v>
      </c>
      <c r="BJ760" t="s">
        <v>3727</v>
      </c>
      <c r="BK760" t="s">
        <v>98</v>
      </c>
      <c r="BL760" t="s">
        <v>3727</v>
      </c>
      <c r="BM760" t="s">
        <v>14273</v>
      </c>
      <c r="BN760">
        <v>22806143</v>
      </c>
      <c r="BO760" t="s">
        <v>8954</v>
      </c>
      <c r="BP760" t="s">
        <v>74</v>
      </c>
      <c r="BQ760" t="s">
        <v>74</v>
      </c>
      <c r="BR760" t="s">
        <v>101</v>
      </c>
      <c r="BS760" t="s">
        <v>14274</v>
      </c>
      <c r="BT760" t="str">
        <f>HYPERLINK("https%3A%2F%2Fwww.webofscience.com%2Fwos%2Fwoscc%2Ffull-record%2FWOS:000307174800005","View Full Record in Web of Science")</f>
        <v>View Full Record in Web of Science</v>
      </c>
    </row>
    <row r="761" spans="1:72" x14ac:dyDescent="0.15">
      <c r="A761" t="s">
        <v>72</v>
      </c>
      <c r="B761" t="s">
        <v>14275</v>
      </c>
      <c r="C761" t="s">
        <v>74</v>
      </c>
      <c r="D761" t="s">
        <v>74</v>
      </c>
      <c r="E761" t="s">
        <v>74</v>
      </c>
      <c r="F761" t="s">
        <v>14276</v>
      </c>
      <c r="G761" t="s">
        <v>74</v>
      </c>
      <c r="H761" t="s">
        <v>74</v>
      </c>
      <c r="I761" t="s">
        <v>14277</v>
      </c>
      <c r="J761" t="s">
        <v>2828</v>
      </c>
      <c r="K761" t="s">
        <v>74</v>
      </c>
      <c r="L761" t="s">
        <v>74</v>
      </c>
      <c r="M761" t="s">
        <v>78</v>
      </c>
      <c r="N761" t="s">
        <v>79</v>
      </c>
      <c r="O761" t="s">
        <v>74</v>
      </c>
      <c r="P761" t="s">
        <v>74</v>
      </c>
      <c r="Q761" t="s">
        <v>74</v>
      </c>
      <c r="R761" t="s">
        <v>74</v>
      </c>
      <c r="S761" t="s">
        <v>74</v>
      </c>
      <c r="T761" t="s">
        <v>74</v>
      </c>
      <c r="U761" t="s">
        <v>14278</v>
      </c>
      <c r="V761" t="s">
        <v>14279</v>
      </c>
      <c r="W761" t="s">
        <v>14280</v>
      </c>
      <c r="X761" t="s">
        <v>14281</v>
      </c>
      <c r="Y761" t="s">
        <v>14282</v>
      </c>
      <c r="Z761" t="s">
        <v>14283</v>
      </c>
      <c r="AA761" t="s">
        <v>14284</v>
      </c>
      <c r="AB761" t="s">
        <v>14285</v>
      </c>
      <c r="AC761" t="s">
        <v>14286</v>
      </c>
      <c r="AD761" t="s">
        <v>14287</v>
      </c>
      <c r="AE761" t="s">
        <v>14288</v>
      </c>
      <c r="AF761" t="s">
        <v>74</v>
      </c>
      <c r="AG761">
        <v>26</v>
      </c>
      <c r="AH761">
        <v>111</v>
      </c>
      <c r="AI761">
        <v>118</v>
      </c>
      <c r="AJ761">
        <v>2</v>
      </c>
      <c r="AK761">
        <v>97</v>
      </c>
      <c r="AL761" t="s">
        <v>433</v>
      </c>
      <c r="AM761" t="s">
        <v>434</v>
      </c>
      <c r="AN761" t="s">
        <v>435</v>
      </c>
      <c r="AO761" t="s">
        <v>2837</v>
      </c>
      <c r="AP761" t="s">
        <v>2838</v>
      </c>
      <c r="AQ761" t="s">
        <v>74</v>
      </c>
      <c r="AR761" t="s">
        <v>2839</v>
      </c>
      <c r="AS761" t="s">
        <v>2840</v>
      </c>
      <c r="AT761" t="s">
        <v>12897</v>
      </c>
      <c r="AU761">
        <v>2012</v>
      </c>
      <c r="AV761">
        <v>2</v>
      </c>
      <c r="AW761">
        <v>7</v>
      </c>
      <c r="AX761" t="s">
        <v>74</v>
      </c>
      <c r="AY761" t="s">
        <v>74</v>
      </c>
      <c r="AZ761" t="s">
        <v>74</v>
      </c>
      <c r="BA761" t="s">
        <v>74</v>
      </c>
      <c r="BB761">
        <v>524</v>
      </c>
      <c r="BC761">
        <v>529</v>
      </c>
      <c r="BD761" t="s">
        <v>74</v>
      </c>
      <c r="BE761" t="s">
        <v>14289</v>
      </c>
      <c r="BF761" t="str">
        <f>HYPERLINK("http://dx.doi.org/10.1038/NCLIMATE1553","http://dx.doi.org/10.1038/NCLIMATE1553")</f>
        <v>http://dx.doi.org/10.1038/NCLIMATE1553</v>
      </c>
      <c r="BG761" t="s">
        <v>74</v>
      </c>
      <c r="BH761" t="s">
        <v>74</v>
      </c>
      <c r="BI761">
        <v>6</v>
      </c>
      <c r="BJ761" t="s">
        <v>2842</v>
      </c>
      <c r="BK761" t="s">
        <v>2843</v>
      </c>
      <c r="BL761" t="s">
        <v>2844</v>
      </c>
      <c r="BM761" t="s">
        <v>14290</v>
      </c>
      <c r="BN761" t="s">
        <v>74</v>
      </c>
      <c r="BO761" t="s">
        <v>74</v>
      </c>
      <c r="BP761" t="s">
        <v>74</v>
      </c>
      <c r="BQ761" t="s">
        <v>74</v>
      </c>
      <c r="BR761" t="s">
        <v>101</v>
      </c>
      <c r="BS761" t="s">
        <v>14291</v>
      </c>
      <c r="BT761" t="str">
        <f>HYPERLINK("https%3A%2F%2Fwww.webofscience.com%2Fwos%2Fwoscc%2Ffull-record%2FWOS:000306249500017","View Full Record in Web of Science")</f>
        <v>View Full Record in Web of Science</v>
      </c>
    </row>
    <row r="762" spans="1:72" x14ac:dyDescent="0.15">
      <c r="A762" t="s">
        <v>72</v>
      </c>
      <c r="B762" t="s">
        <v>14292</v>
      </c>
      <c r="C762" t="s">
        <v>74</v>
      </c>
      <c r="D762" t="s">
        <v>74</v>
      </c>
      <c r="E762" t="s">
        <v>74</v>
      </c>
      <c r="F762" t="s">
        <v>14293</v>
      </c>
      <c r="G762" t="s">
        <v>74</v>
      </c>
      <c r="H762" t="s">
        <v>74</v>
      </c>
      <c r="I762" t="s">
        <v>14294</v>
      </c>
      <c r="J762" t="s">
        <v>1860</v>
      </c>
      <c r="K762" t="s">
        <v>74</v>
      </c>
      <c r="L762" t="s">
        <v>74</v>
      </c>
      <c r="M762" t="s">
        <v>78</v>
      </c>
      <c r="N762" t="s">
        <v>79</v>
      </c>
      <c r="O762" t="s">
        <v>74</v>
      </c>
      <c r="P762" t="s">
        <v>74</v>
      </c>
      <c r="Q762" t="s">
        <v>74</v>
      </c>
      <c r="R762" t="s">
        <v>74</v>
      </c>
      <c r="S762" t="s">
        <v>74</v>
      </c>
      <c r="T762" t="s">
        <v>14295</v>
      </c>
      <c r="U762" t="s">
        <v>14296</v>
      </c>
      <c r="V762" t="s">
        <v>14297</v>
      </c>
      <c r="W762" t="s">
        <v>14298</v>
      </c>
      <c r="X762" t="s">
        <v>14299</v>
      </c>
      <c r="Y762" t="s">
        <v>14300</v>
      </c>
      <c r="Z762" t="s">
        <v>14301</v>
      </c>
      <c r="AA762" t="s">
        <v>74</v>
      </c>
      <c r="AB762" t="s">
        <v>14302</v>
      </c>
      <c r="AC762" t="s">
        <v>14303</v>
      </c>
      <c r="AD762" t="s">
        <v>14304</v>
      </c>
      <c r="AE762" t="s">
        <v>14305</v>
      </c>
      <c r="AF762" t="s">
        <v>74</v>
      </c>
      <c r="AG762">
        <v>54</v>
      </c>
      <c r="AH762">
        <v>21</v>
      </c>
      <c r="AI762">
        <v>21</v>
      </c>
      <c r="AJ762">
        <v>0</v>
      </c>
      <c r="AK762">
        <v>8</v>
      </c>
      <c r="AL762" t="s">
        <v>935</v>
      </c>
      <c r="AM762" t="s">
        <v>371</v>
      </c>
      <c r="AN762" t="s">
        <v>1873</v>
      </c>
      <c r="AO762" t="s">
        <v>1874</v>
      </c>
      <c r="AP762" t="s">
        <v>1875</v>
      </c>
      <c r="AQ762" t="s">
        <v>74</v>
      </c>
      <c r="AR762" t="s">
        <v>1876</v>
      </c>
      <c r="AS762" t="s">
        <v>1877</v>
      </c>
      <c r="AT762" t="s">
        <v>12897</v>
      </c>
      <c r="AU762">
        <v>2012</v>
      </c>
      <c r="AV762">
        <v>35</v>
      </c>
      <c r="AW762">
        <v>7</v>
      </c>
      <c r="AX762" t="s">
        <v>74</v>
      </c>
      <c r="AY762" t="s">
        <v>74</v>
      </c>
      <c r="AZ762" t="s">
        <v>74</v>
      </c>
      <c r="BA762" t="s">
        <v>74</v>
      </c>
      <c r="BB762">
        <v>973</v>
      </c>
      <c r="BC762">
        <v>983</v>
      </c>
      <c r="BD762" t="s">
        <v>74</v>
      </c>
      <c r="BE762" t="s">
        <v>14306</v>
      </c>
      <c r="BF762" t="str">
        <f>HYPERLINK("http://dx.doi.org/10.1007/s00300-011-1144-5","http://dx.doi.org/10.1007/s00300-011-1144-5")</f>
        <v>http://dx.doi.org/10.1007/s00300-011-1144-5</v>
      </c>
      <c r="BG762" t="s">
        <v>74</v>
      </c>
      <c r="BH762" t="s">
        <v>74</v>
      </c>
      <c r="BI762">
        <v>11</v>
      </c>
      <c r="BJ762" t="s">
        <v>1879</v>
      </c>
      <c r="BK762" t="s">
        <v>98</v>
      </c>
      <c r="BL762" t="s">
        <v>1880</v>
      </c>
      <c r="BM762" t="s">
        <v>14307</v>
      </c>
      <c r="BN762" t="s">
        <v>74</v>
      </c>
      <c r="BO762" t="s">
        <v>74</v>
      </c>
      <c r="BP762" t="s">
        <v>74</v>
      </c>
      <c r="BQ762" t="s">
        <v>74</v>
      </c>
      <c r="BR762" t="s">
        <v>101</v>
      </c>
      <c r="BS762" t="s">
        <v>14308</v>
      </c>
      <c r="BT762" t="str">
        <f>HYPERLINK("https%3A%2F%2Fwww.webofscience.com%2Fwos%2Fwoscc%2Ffull-record%2FWOS:000304623600001","View Full Record in Web of Science")</f>
        <v>View Full Record in Web of Science</v>
      </c>
    </row>
    <row r="763" spans="1:72" x14ac:dyDescent="0.15">
      <c r="A763" t="s">
        <v>72</v>
      </c>
      <c r="B763" t="s">
        <v>14309</v>
      </c>
      <c r="C763" t="s">
        <v>74</v>
      </c>
      <c r="D763" t="s">
        <v>74</v>
      </c>
      <c r="E763" t="s">
        <v>74</v>
      </c>
      <c r="F763" t="s">
        <v>14310</v>
      </c>
      <c r="G763" t="s">
        <v>74</v>
      </c>
      <c r="H763" t="s">
        <v>74</v>
      </c>
      <c r="I763" t="s">
        <v>14311</v>
      </c>
      <c r="J763" t="s">
        <v>1860</v>
      </c>
      <c r="K763" t="s">
        <v>74</v>
      </c>
      <c r="L763" t="s">
        <v>74</v>
      </c>
      <c r="M763" t="s">
        <v>78</v>
      </c>
      <c r="N763" t="s">
        <v>79</v>
      </c>
      <c r="O763" t="s">
        <v>74</v>
      </c>
      <c r="P763" t="s">
        <v>74</v>
      </c>
      <c r="Q763" t="s">
        <v>74</v>
      </c>
      <c r="R763" t="s">
        <v>74</v>
      </c>
      <c r="S763" t="s">
        <v>74</v>
      </c>
      <c r="T763" t="s">
        <v>14312</v>
      </c>
      <c r="U763" t="s">
        <v>14313</v>
      </c>
      <c r="V763" t="s">
        <v>14314</v>
      </c>
      <c r="W763" t="s">
        <v>14315</v>
      </c>
      <c r="X763" t="s">
        <v>14316</v>
      </c>
      <c r="Y763" t="s">
        <v>14317</v>
      </c>
      <c r="Z763" t="s">
        <v>14318</v>
      </c>
      <c r="AA763" t="s">
        <v>14319</v>
      </c>
      <c r="AB763" t="s">
        <v>14320</v>
      </c>
      <c r="AC763" t="s">
        <v>14321</v>
      </c>
      <c r="AD763" t="s">
        <v>14321</v>
      </c>
      <c r="AE763" t="s">
        <v>14322</v>
      </c>
      <c r="AF763" t="s">
        <v>74</v>
      </c>
      <c r="AG763">
        <v>59</v>
      </c>
      <c r="AH763">
        <v>67</v>
      </c>
      <c r="AI763">
        <v>76</v>
      </c>
      <c r="AJ763">
        <v>2</v>
      </c>
      <c r="AK763">
        <v>141</v>
      </c>
      <c r="AL763" t="s">
        <v>935</v>
      </c>
      <c r="AM763" t="s">
        <v>371</v>
      </c>
      <c r="AN763" t="s">
        <v>1873</v>
      </c>
      <c r="AO763" t="s">
        <v>1874</v>
      </c>
      <c r="AP763" t="s">
        <v>1875</v>
      </c>
      <c r="AQ763" t="s">
        <v>74</v>
      </c>
      <c r="AR763" t="s">
        <v>1876</v>
      </c>
      <c r="AS763" t="s">
        <v>1877</v>
      </c>
      <c r="AT763" t="s">
        <v>12897</v>
      </c>
      <c r="AU763">
        <v>2012</v>
      </c>
      <c r="AV763">
        <v>35</v>
      </c>
      <c r="AW763">
        <v>7</v>
      </c>
      <c r="AX763" t="s">
        <v>74</v>
      </c>
      <c r="AY763" t="s">
        <v>74</v>
      </c>
      <c r="AZ763" t="s">
        <v>74</v>
      </c>
      <c r="BA763" t="s">
        <v>74</v>
      </c>
      <c r="BB763">
        <v>1027</v>
      </c>
      <c r="BC763">
        <v>1034</v>
      </c>
      <c r="BD763" t="s">
        <v>74</v>
      </c>
      <c r="BE763" t="s">
        <v>14323</v>
      </c>
      <c r="BF763" t="str">
        <f>HYPERLINK("http://dx.doi.org/10.1007/s00300-011-1150-7","http://dx.doi.org/10.1007/s00300-011-1150-7")</f>
        <v>http://dx.doi.org/10.1007/s00300-011-1150-7</v>
      </c>
      <c r="BG763" t="s">
        <v>74</v>
      </c>
      <c r="BH763" t="s">
        <v>74</v>
      </c>
      <c r="BI763">
        <v>8</v>
      </c>
      <c r="BJ763" t="s">
        <v>1879</v>
      </c>
      <c r="BK763" t="s">
        <v>98</v>
      </c>
      <c r="BL763" t="s">
        <v>1880</v>
      </c>
      <c r="BM763" t="s">
        <v>14307</v>
      </c>
      <c r="BN763" t="s">
        <v>74</v>
      </c>
      <c r="BO763" t="s">
        <v>74</v>
      </c>
      <c r="BP763" t="s">
        <v>74</v>
      </c>
      <c r="BQ763" t="s">
        <v>74</v>
      </c>
      <c r="BR763" t="s">
        <v>101</v>
      </c>
      <c r="BS763" t="s">
        <v>14324</v>
      </c>
      <c r="BT763" t="str">
        <f>HYPERLINK("https%3A%2F%2Fwww.webofscience.com%2Fwos%2Fwoscc%2Ffull-record%2FWOS:000304623600006","View Full Record in Web of Science")</f>
        <v>View Full Record in Web of Science</v>
      </c>
    </row>
    <row r="764" spans="1:72" x14ac:dyDescent="0.15">
      <c r="A764" t="s">
        <v>72</v>
      </c>
      <c r="B764" t="s">
        <v>14325</v>
      </c>
      <c r="C764" t="s">
        <v>74</v>
      </c>
      <c r="D764" t="s">
        <v>74</v>
      </c>
      <c r="E764" t="s">
        <v>74</v>
      </c>
      <c r="F764" t="s">
        <v>14326</v>
      </c>
      <c r="G764" t="s">
        <v>74</v>
      </c>
      <c r="H764" t="s">
        <v>74</v>
      </c>
      <c r="I764" t="s">
        <v>14327</v>
      </c>
      <c r="J764" t="s">
        <v>14328</v>
      </c>
      <c r="K764" t="s">
        <v>74</v>
      </c>
      <c r="L764" t="s">
        <v>74</v>
      </c>
      <c r="M764" t="s">
        <v>78</v>
      </c>
      <c r="N764" t="s">
        <v>79</v>
      </c>
      <c r="O764" t="s">
        <v>74</v>
      </c>
      <c r="P764" t="s">
        <v>74</v>
      </c>
      <c r="Q764" t="s">
        <v>74</v>
      </c>
      <c r="R764" t="s">
        <v>74</v>
      </c>
      <c r="S764" t="s">
        <v>74</v>
      </c>
      <c r="T764" t="s">
        <v>14329</v>
      </c>
      <c r="U764" t="s">
        <v>14330</v>
      </c>
      <c r="V764" t="s">
        <v>14331</v>
      </c>
      <c r="W764" t="s">
        <v>14332</v>
      </c>
      <c r="X764" t="s">
        <v>14333</v>
      </c>
      <c r="Y764" t="s">
        <v>14334</v>
      </c>
      <c r="Z764" t="s">
        <v>14335</v>
      </c>
      <c r="AA764" t="s">
        <v>14336</v>
      </c>
      <c r="AB764" t="s">
        <v>14337</v>
      </c>
      <c r="AC764" t="s">
        <v>14338</v>
      </c>
      <c r="AD764" t="s">
        <v>14339</v>
      </c>
      <c r="AE764" t="s">
        <v>14340</v>
      </c>
      <c r="AF764" t="s">
        <v>74</v>
      </c>
      <c r="AG764">
        <v>46</v>
      </c>
      <c r="AH764">
        <v>31</v>
      </c>
      <c r="AI764">
        <v>37</v>
      </c>
      <c r="AJ764">
        <v>1</v>
      </c>
      <c r="AK764">
        <v>25</v>
      </c>
      <c r="AL764" t="s">
        <v>898</v>
      </c>
      <c r="AM764" t="s">
        <v>899</v>
      </c>
      <c r="AN764" t="s">
        <v>900</v>
      </c>
      <c r="AO764" t="s">
        <v>14341</v>
      </c>
      <c r="AP764" t="s">
        <v>14342</v>
      </c>
      <c r="AQ764" t="s">
        <v>74</v>
      </c>
      <c r="AR764" t="s">
        <v>14343</v>
      </c>
      <c r="AS764" t="s">
        <v>14344</v>
      </c>
      <c r="AT764" t="s">
        <v>12897</v>
      </c>
      <c r="AU764">
        <v>2012</v>
      </c>
      <c r="AV764">
        <v>138</v>
      </c>
      <c r="AW764">
        <v>666</v>
      </c>
      <c r="AX764" t="s">
        <v>14345</v>
      </c>
      <c r="AY764" t="s">
        <v>74</v>
      </c>
      <c r="AZ764" t="s">
        <v>74</v>
      </c>
      <c r="BA764" t="s">
        <v>74</v>
      </c>
      <c r="BB764">
        <v>1308</v>
      </c>
      <c r="BC764">
        <v>1324</v>
      </c>
      <c r="BD764" t="s">
        <v>74</v>
      </c>
      <c r="BE764" t="s">
        <v>14346</v>
      </c>
      <c r="BF764" t="str">
        <f>HYPERLINK("http://dx.doi.org/10.1002/qj.1876","http://dx.doi.org/10.1002/qj.1876")</f>
        <v>http://dx.doi.org/10.1002/qj.1876</v>
      </c>
      <c r="BG764" t="s">
        <v>74</v>
      </c>
      <c r="BH764" t="s">
        <v>74</v>
      </c>
      <c r="BI764">
        <v>17</v>
      </c>
      <c r="BJ764" t="s">
        <v>378</v>
      </c>
      <c r="BK764" t="s">
        <v>98</v>
      </c>
      <c r="BL764" t="s">
        <v>378</v>
      </c>
      <c r="BM764" t="s">
        <v>14347</v>
      </c>
      <c r="BN764" t="s">
        <v>74</v>
      </c>
      <c r="BO764" t="s">
        <v>416</v>
      </c>
      <c r="BP764" t="s">
        <v>74</v>
      </c>
      <c r="BQ764" t="s">
        <v>74</v>
      </c>
      <c r="BR764" t="s">
        <v>101</v>
      </c>
      <c r="BS764" t="s">
        <v>14348</v>
      </c>
      <c r="BT764" t="str">
        <f>HYPERLINK("https%3A%2F%2Fwww.webofscience.com%2Fwos%2Fwoscc%2Ffull-record%2FWOS:000306859800014","View Full Record in Web of Science")</f>
        <v>View Full Record in Web of Science</v>
      </c>
    </row>
    <row r="765" spans="1:72" x14ac:dyDescent="0.15">
      <c r="A765" t="s">
        <v>72</v>
      </c>
      <c r="B765" t="s">
        <v>14349</v>
      </c>
      <c r="C765" t="s">
        <v>74</v>
      </c>
      <c r="D765" t="s">
        <v>74</v>
      </c>
      <c r="E765" t="s">
        <v>74</v>
      </c>
      <c r="F765" t="s">
        <v>14350</v>
      </c>
      <c r="G765" t="s">
        <v>74</v>
      </c>
      <c r="H765" t="s">
        <v>74</v>
      </c>
      <c r="I765" t="s">
        <v>14351</v>
      </c>
      <c r="J765" t="s">
        <v>14352</v>
      </c>
      <c r="K765" t="s">
        <v>74</v>
      </c>
      <c r="L765" t="s">
        <v>74</v>
      </c>
      <c r="M765" t="s">
        <v>78</v>
      </c>
      <c r="N765" t="s">
        <v>79</v>
      </c>
      <c r="O765" t="s">
        <v>74</v>
      </c>
      <c r="P765" t="s">
        <v>74</v>
      </c>
      <c r="Q765" t="s">
        <v>74</v>
      </c>
      <c r="R765" t="s">
        <v>74</v>
      </c>
      <c r="S765" t="s">
        <v>74</v>
      </c>
      <c r="T765" t="s">
        <v>14353</v>
      </c>
      <c r="U765" t="s">
        <v>14354</v>
      </c>
      <c r="V765" t="s">
        <v>14355</v>
      </c>
      <c r="W765" t="s">
        <v>14356</v>
      </c>
      <c r="X765" t="s">
        <v>14357</v>
      </c>
      <c r="Y765" t="s">
        <v>14358</v>
      </c>
      <c r="Z765" t="s">
        <v>14359</v>
      </c>
      <c r="AA765" t="s">
        <v>14360</v>
      </c>
      <c r="AB765" t="s">
        <v>14361</v>
      </c>
      <c r="AC765" t="s">
        <v>14362</v>
      </c>
      <c r="AD765" t="s">
        <v>14363</v>
      </c>
      <c r="AE765" t="s">
        <v>14364</v>
      </c>
      <c r="AF765" t="s">
        <v>74</v>
      </c>
      <c r="AG765">
        <v>52</v>
      </c>
      <c r="AH765">
        <v>15</v>
      </c>
      <c r="AI765">
        <v>16</v>
      </c>
      <c r="AJ765">
        <v>1</v>
      </c>
      <c r="AK765">
        <v>27</v>
      </c>
      <c r="AL765" t="s">
        <v>2780</v>
      </c>
      <c r="AM765" t="s">
        <v>371</v>
      </c>
      <c r="AN765" t="s">
        <v>2781</v>
      </c>
      <c r="AO765" t="s">
        <v>14365</v>
      </c>
      <c r="AP765" t="s">
        <v>14366</v>
      </c>
      <c r="AQ765" t="s">
        <v>74</v>
      </c>
      <c r="AR765" t="s">
        <v>14367</v>
      </c>
      <c r="AS765" t="s">
        <v>14368</v>
      </c>
      <c r="AT765" t="s">
        <v>12897</v>
      </c>
      <c r="AU765">
        <v>2012</v>
      </c>
      <c r="AV765">
        <v>78</v>
      </c>
      <c r="AW765">
        <v>1</v>
      </c>
      <c r="AX765" t="s">
        <v>74</v>
      </c>
      <c r="AY765" t="s">
        <v>74</v>
      </c>
      <c r="AZ765" t="s">
        <v>74</v>
      </c>
      <c r="BA765" t="s">
        <v>74</v>
      </c>
      <c r="BB765">
        <v>119</v>
      </c>
      <c r="BC765">
        <v>129</v>
      </c>
      <c r="BD765" t="s">
        <v>74</v>
      </c>
      <c r="BE765" t="s">
        <v>14369</v>
      </c>
      <c r="BF765" t="str">
        <f>HYPERLINK("http://dx.doi.org/10.1016/j.yqres.2012.03.010","http://dx.doi.org/10.1016/j.yqres.2012.03.010")</f>
        <v>http://dx.doi.org/10.1016/j.yqres.2012.03.010</v>
      </c>
      <c r="BG765" t="s">
        <v>74</v>
      </c>
      <c r="BH765" t="s">
        <v>74</v>
      </c>
      <c r="BI765">
        <v>11</v>
      </c>
      <c r="BJ765" t="s">
        <v>97</v>
      </c>
      <c r="BK765" t="s">
        <v>98</v>
      </c>
      <c r="BL765" t="s">
        <v>99</v>
      </c>
      <c r="BM765" t="s">
        <v>14370</v>
      </c>
      <c r="BN765" t="s">
        <v>74</v>
      </c>
      <c r="BO765" t="s">
        <v>74</v>
      </c>
      <c r="BP765" t="s">
        <v>74</v>
      </c>
      <c r="BQ765" t="s">
        <v>74</v>
      </c>
      <c r="BR765" t="s">
        <v>101</v>
      </c>
      <c r="BS765" t="s">
        <v>14371</v>
      </c>
      <c r="BT765" t="str">
        <f>HYPERLINK("https%3A%2F%2Fwww.webofscience.com%2Fwos%2Fwoscc%2Ffull-record%2FWOS:000306096200012","View Full Record in Web of Science")</f>
        <v>View Full Record in Web of Science</v>
      </c>
    </row>
    <row r="766" spans="1:72" x14ac:dyDescent="0.15">
      <c r="A766" t="s">
        <v>72</v>
      </c>
      <c r="B766" t="s">
        <v>14372</v>
      </c>
      <c r="C766" t="s">
        <v>74</v>
      </c>
      <c r="D766" t="s">
        <v>74</v>
      </c>
      <c r="E766" t="s">
        <v>74</v>
      </c>
      <c r="F766" t="s">
        <v>14373</v>
      </c>
      <c r="G766" t="s">
        <v>74</v>
      </c>
      <c r="H766" t="s">
        <v>74</v>
      </c>
      <c r="I766" t="s">
        <v>14374</v>
      </c>
      <c r="J766" t="s">
        <v>6081</v>
      </c>
      <c r="K766" t="s">
        <v>74</v>
      </c>
      <c r="L766" t="s">
        <v>74</v>
      </c>
      <c r="M766" t="s">
        <v>6082</v>
      </c>
      <c r="N766" t="s">
        <v>79</v>
      </c>
      <c r="O766" t="s">
        <v>74</v>
      </c>
      <c r="P766" t="s">
        <v>74</v>
      </c>
      <c r="Q766" t="s">
        <v>74</v>
      </c>
      <c r="R766" t="s">
        <v>74</v>
      </c>
      <c r="S766" t="s">
        <v>74</v>
      </c>
      <c r="T766" t="s">
        <v>14375</v>
      </c>
      <c r="U766" t="s">
        <v>74</v>
      </c>
      <c r="V766" t="s">
        <v>14376</v>
      </c>
      <c r="W766" t="s">
        <v>14377</v>
      </c>
      <c r="X766" t="s">
        <v>6086</v>
      </c>
      <c r="Y766" t="s">
        <v>14378</v>
      </c>
      <c r="Z766" t="s">
        <v>14379</v>
      </c>
      <c r="AA766" t="s">
        <v>14380</v>
      </c>
      <c r="AB766" t="s">
        <v>74</v>
      </c>
      <c r="AC766" t="s">
        <v>74</v>
      </c>
      <c r="AD766" t="s">
        <v>74</v>
      </c>
      <c r="AE766" t="s">
        <v>74</v>
      </c>
      <c r="AF766" t="s">
        <v>74</v>
      </c>
      <c r="AG766">
        <v>37</v>
      </c>
      <c r="AH766">
        <v>0</v>
      </c>
      <c r="AI766">
        <v>0</v>
      </c>
      <c r="AJ766">
        <v>0</v>
      </c>
      <c r="AK766">
        <v>0</v>
      </c>
      <c r="AL766" t="s">
        <v>6089</v>
      </c>
      <c r="AM766" t="s">
        <v>6090</v>
      </c>
      <c r="AN766" t="s">
        <v>6091</v>
      </c>
      <c r="AO766" t="s">
        <v>6092</v>
      </c>
      <c r="AP766" t="s">
        <v>74</v>
      </c>
      <c r="AQ766" t="s">
        <v>74</v>
      </c>
      <c r="AR766" t="s">
        <v>6093</v>
      </c>
      <c r="AS766" t="s">
        <v>6094</v>
      </c>
      <c r="AT766" t="s">
        <v>12965</v>
      </c>
      <c r="AU766">
        <v>2012</v>
      </c>
      <c r="AV766">
        <v>3</v>
      </c>
      <c r="AW766">
        <v>3</v>
      </c>
      <c r="AX766" t="s">
        <v>74</v>
      </c>
      <c r="AY766" t="s">
        <v>74</v>
      </c>
      <c r="AZ766" t="s">
        <v>74</v>
      </c>
      <c r="BA766" t="s">
        <v>74</v>
      </c>
      <c r="BB766">
        <v>137</v>
      </c>
      <c r="BC766">
        <v>150</v>
      </c>
      <c r="BD766" t="s">
        <v>74</v>
      </c>
      <c r="BE766" t="s">
        <v>74</v>
      </c>
      <c r="BF766" t="s">
        <v>74</v>
      </c>
      <c r="BG766" t="s">
        <v>74</v>
      </c>
      <c r="BH766" t="s">
        <v>74</v>
      </c>
      <c r="BI766">
        <v>14</v>
      </c>
      <c r="BJ766" t="s">
        <v>6095</v>
      </c>
      <c r="BK766" t="s">
        <v>2920</v>
      </c>
      <c r="BL766" t="s">
        <v>6095</v>
      </c>
      <c r="BM766" t="s">
        <v>14381</v>
      </c>
      <c r="BN766" t="s">
        <v>74</v>
      </c>
      <c r="BO766" t="s">
        <v>74</v>
      </c>
      <c r="BP766" t="s">
        <v>74</v>
      </c>
      <c r="BQ766" t="s">
        <v>74</v>
      </c>
      <c r="BR766" t="s">
        <v>101</v>
      </c>
      <c r="BS766" t="s">
        <v>14382</v>
      </c>
      <c r="BT766" t="str">
        <f>HYPERLINK("https%3A%2F%2Fwww.webofscience.com%2Fwos%2Fwoscc%2Ffull-record%2FWOS:000215957700002","View Full Record in Web of Science")</f>
        <v>View Full Record in Web of Science</v>
      </c>
    </row>
    <row r="767" spans="1:72" x14ac:dyDescent="0.15">
      <c r="A767" t="s">
        <v>72</v>
      </c>
      <c r="B767" t="s">
        <v>14383</v>
      </c>
      <c r="C767" t="s">
        <v>74</v>
      </c>
      <c r="D767" t="s">
        <v>74</v>
      </c>
      <c r="E767" t="s">
        <v>74</v>
      </c>
      <c r="F767" t="s">
        <v>14384</v>
      </c>
      <c r="G767" t="s">
        <v>74</v>
      </c>
      <c r="H767" t="s">
        <v>74</v>
      </c>
      <c r="I767" t="s">
        <v>14385</v>
      </c>
      <c r="J767" t="s">
        <v>12015</v>
      </c>
      <c r="K767" t="s">
        <v>74</v>
      </c>
      <c r="L767" t="s">
        <v>74</v>
      </c>
      <c r="M767" t="s">
        <v>78</v>
      </c>
      <c r="N767" t="s">
        <v>79</v>
      </c>
      <c r="O767" t="s">
        <v>74</v>
      </c>
      <c r="P767" t="s">
        <v>74</v>
      </c>
      <c r="Q767" t="s">
        <v>74</v>
      </c>
      <c r="R767" t="s">
        <v>74</v>
      </c>
      <c r="S767" t="s">
        <v>74</v>
      </c>
      <c r="T767" t="s">
        <v>14386</v>
      </c>
      <c r="U767" t="s">
        <v>14387</v>
      </c>
      <c r="V767" t="s">
        <v>14388</v>
      </c>
      <c r="W767" t="s">
        <v>14389</v>
      </c>
      <c r="X767" t="s">
        <v>14390</v>
      </c>
      <c r="Y767" t="s">
        <v>14391</v>
      </c>
      <c r="Z767" t="s">
        <v>14392</v>
      </c>
      <c r="AA767" t="s">
        <v>14393</v>
      </c>
      <c r="AB767" t="s">
        <v>14394</v>
      </c>
      <c r="AC767" t="s">
        <v>14395</v>
      </c>
      <c r="AD767" t="s">
        <v>14395</v>
      </c>
      <c r="AE767" t="s">
        <v>14396</v>
      </c>
      <c r="AF767" t="s">
        <v>74</v>
      </c>
      <c r="AG767">
        <v>53</v>
      </c>
      <c r="AH767">
        <v>43</v>
      </c>
      <c r="AI767">
        <v>44</v>
      </c>
      <c r="AJ767">
        <v>1</v>
      </c>
      <c r="AK767">
        <v>15</v>
      </c>
      <c r="AL767" t="s">
        <v>1034</v>
      </c>
      <c r="AM767" t="s">
        <v>90</v>
      </c>
      <c r="AN767" t="s">
        <v>1035</v>
      </c>
      <c r="AO767" t="s">
        <v>12028</v>
      </c>
      <c r="AP767" t="s">
        <v>12029</v>
      </c>
      <c r="AQ767" t="s">
        <v>74</v>
      </c>
      <c r="AR767" t="s">
        <v>12030</v>
      </c>
      <c r="AS767" t="s">
        <v>12031</v>
      </c>
      <c r="AT767" t="s">
        <v>12897</v>
      </c>
      <c r="AU767">
        <v>2012</v>
      </c>
      <c r="AV767">
        <v>51</v>
      </c>
      <c r="AW767" t="s">
        <v>74</v>
      </c>
      <c r="AX767" t="s">
        <v>74</v>
      </c>
      <c r="AY767" t="s">
        <v>74</v>
      </c>
      <c r="AZ767" t="s">
        <v>74</v>
      </c>
      <c r="BA767" t="s">
        <v>74</v>
      </c>
      <c r="BB767">
        <v>1</v>
      </c>
      <c r="BC767">
        <v>18</v>
      </c>
      <c r="BD767" t="s">
        <v>74</v>
      </c>
      <c r="BE767" t="s">
        <v>14397</v>
      </c>
      <c r="BF767" t="str">
        <f>HYPERLINK("http://dx.doi.org/10.1016/j.ocemod.2012.04.002","http://dx.doi.org/10.1016/j.ocemod.2012.04.002")</f>
        <v>http://dx.doi.org/10.1016/j.ocemod.2012.04.002</v>
      </c>
      <c r="BG767" t="s">
        <v>74</v>
      </c>
      <c r="BH767" t="s">
        <v>74</v>
      </c>
      <c r="BI767">
        <v>18</v>
      </c>
      <c r="BJ767" t="s">
        <v>12034</v>
      </c>
      <c r="BK767" t="s">
        <v>98</v>
      </c>
      <c r="BL767" t="s">
        <v>12034</v>
      </c>
      <c r="BM767" t="s">
        <v>14398</v>
      </c>
      <c r="BN767" t="s">
        <v>74</v>
      </c>
      <c r="BO767" t="s">
        <v>74</v>
      </c>
      <c r="BP767" t="s">
        <v>74</v>
      </c>
      <c r="BQ767" t="s">
        <v>74</v>
      </c>
      <c r="BR767" t="s">
        <v>101</v>
      </c>
      <c r="BS767" t="s">
        <v>14399</v>
      </c>
      <c r="BT767" t="str">
        <f>HYPERLINK("https%3A%2F%2Fwww.webofscience.com%2Fwos%2Fwoscc%2Ffull-record%2FWOS:000304613300001","View Full Record in Web of Science")</f>
        <v>View Full Record in Web of Science</v>
      </c>
    </row>
    <row r="768" spans="1:72" x14ac:dyDescent="0.15">
      <c r="A768" t="s">
        <v>72</v>
      </c>
      <c r="B768" t="s">
        <v>14400</v>
      </c>
      <c r="C768" t="s">
        <v>74</v>
      </c>
      <c r="D768" t="s">
        <v>74</v>
      </c>
      <c r="E768" t="s">
        <v>74</v>
      </c>
      <c r="F768" t="s">
        <v>14401</v>
      </c>
      <c r="G768" t="s">
        <v>74</v>
      </c>
      <c r="H768" t="s">
        <v>74</v>
      </c>
      <c r="I768" t="s">
        <v>14402</v>
      </c>
      <c r="J768" t="s">
        <v>1860</v>
      </c>
      <c r="K768" t="s">
        <v>74</v>
      </c>
      <c r="L768" t="s">
        <v>74</v>
      </c>
      <c r="M768" t="s">
        <v>78</v>
      </c>
      <c r="N768" t="s">
        <v>79</v>
      </c>
      <c r="O768" t="s">
        <v>74</v>
      </c>
      <c r="P768" t="s">
        <v>74</v>
      </c>
      <c r="Q768" t="s">
        <v>74</v>
      </c>
      <c r="R768" t="s">
        <v>74</v>
      </c>
      <c r="S768" t="s">
        <v>74</v>
      </c>
      <c r="T768" t="s">
        <v>14403</v>
      </c>
      <c r="U768" t="s">
        <v>14404</v>
      </c>
      <c r="V768" t="s">
        <v>14405</v>
      </c>
      <c r="W768" t="s">
        <v>14406</v>
      </c>
      <c r="X768" t="s">
        <v>14407</v>
      </c>
      <c r="Y768" t="s">
        <v>14408</v>
      </c>
      <c r="Z768" t="s">
        <v>1789</v>
      </c>
      <c r="AA768" t="s">
        <v>14409</v>
      </c>
      <c r="AB768" t="s">
        <v>14410</v>
      </c>
      <c r="AC768" t="s">
        <v>14411</v>
      </c>
      <c r="AD768" t="s">
        <v>14411</v>
      </c>
      <c r="AE768" t="s">
        <v>14412</v>
      </c>
      <c r="AF768" t="s">
        <v>74</v>
      </c>
      <c r="AG768">
        <v>45</v>
      </c>
      <c r="AH768">
        <v>14</v>
      </c>
      <c r="AI768">
        <v>14</v>
      </c>
      <c r="AJ768">
        <v>0</v>
      </c>
      <c r="AK768">
        <v>18</v>
      </c>
      <c r="AL768" t="s">
        <v>935</v>
      </c>
      <c r="AM768" t="s">
        <v>371</v>
      </c>
      <c r="AN768" t="s">
        <v>936</v>
      </c>
      <c r="AO768" t="s">
        <v>1874</v>
      </c>
      <c r="AP768" t="s">
        <v>74</v>
      </c>
      <c r="AQ768" t="s">
        <v>74</v>
      </c>
      <c r="AR768" t="s">
        <v>1876</v>
      </c>
      <c r="AS768" t="s">
        <v>1877</v>
      </c>
      <c r="AT768" t="s">
        <v>12897</v>
      </c>
      <c r="AU768">
        <v>2012</v>
      </c>
      <c r="AV768">
        <v>35</v>
      </c>
      <c r="AW768">
        <v>7</v>
      </c>
      <c r="AX768" t="s">
        <v>74</v>
      </c>
      <c r="AY768" t="s">
        <v>74</v>
      </c>
      <c r="AZ768" t="s">
        <v>74</v>
      </c>
      <c r="BA768" t="s">
        <v>74</v>
      </c>
      <c r="BB768">
        <v>993</v>
      </c>
      <c r="BC768">
        <v>1002</v>
      </c>
      <c r="BD768" t="s">
        <v>74</v>
      </c>
      <c r="BE768" t="s">
        <v>14413</v>
      </c>
      <c r="BF768" t="str">
        <f>HYPERLINK("http://dx.doi.org/10.1007/s00300-011-1146-3","http://dx.doi.org/10.1007/s00300-011-1146-3")</f>
        <v>http://dx.doi.org/10.1007/s00300-011-1146-3</v>
      </c>
      <c r="BG768" t="s">
        <v>74</v>
      </c>
      <c r="BH768" t="s">
        <v>74</v>
      </c>
      <c r="BI768">
        <v>10</v>
      </c>
      <c r="BJ768" t="s">
        <v>1879</v>
      </c>
      <c r="BK768" t="s">
        <v>98</v>
      </c>
      <c r="BL768" t="s">
        <v>1880</v>
      </c>
      <c r="BM768" t="s">
        <v>14307</v>
      </c>
      <c r="BN768" t="s">
        <v>74</v>
      </c>
      <c r="BO768" t="s">
        <v>74</v>
      </c>
      <c r="BP768" t="s">
        <v>74</v>
      </c>
      <c r="BQ768" t="s">
        <v>74</v>
      </c>
      <c r="BR768" t="s">
        <v>101</v>
      </c>
      <c r="BS768" t="s">
        <v>14414</v>
      </c>
      <c r="BT768" t="str">
        <f>HYPERLINK("https%3A%2F%2Fwww.webofscience.com%2Fwos%2Fwoscc%2Ffull-record%2FWOS:000304623600003","View Full Record in Web of Science")</f>
        <v>View Full Record in Web of Science</v>
      </c>
    </row>
    <row r="769" spans="1:72" x14ac:dyDescent="0.15">
      <c r="A769" t="s">
        <v>72</v>
      </c>
      <c r="B769" t="s">
        <v>14415</v>
      </c>
      <c r="C769" t="s">
        <v>74</v>
      </c>
      <c r="D769" t="s">
        <v>74</v>
      </c>
      <c r="E769" t="s">
        <v>74</v>
      </c>
      <c r="F769" t="s">
        <v>14416</v>
      </c>
      <c r="G769" t="s">
        <v>74</v>
      </c>
      <c r="H769" t="s">
        <v>74</v>
      </c>
      <c r="I769" t="s">
        <v>14417</v>
      </c>
      <c r="J769" t="s">
        <v>1860</v>
      </c>
      <c r="K769" t="s">
        <v>74</v>
      </c>
      <c r="L769" t="s">
        <v>74</v>
      </c>
      <c r="M769" t="s">
        <v>78</v>
      </c>
      <c r="N769" t="s">
        <v>79</v>
      </c>
      <c r="O769" t="s">
        <v>74</v>
      </c>
      <c r="P769" t="s">
        <v>74</v>
      </c>
      <c r="Q769" t="s">
        <v>74</v>
      </c>
      <c r="R769" t="s">
        <v>74</v>
      </c>
      <c r="S769" t="s">
        <v>74</v>
      </c>
      <c r="T769" t="s">
        <v>14418</v>
      </c>
      <c r="U769" t="s">
        <v>14419</v>
      </c>
      <c r="V769" t="s">
        <v>14420</v>
      </c>
      <c r="W769" t="s">
        <v>14421</v>
      </c>
      <c r="X769" t="s">
        <v>3762</v>
      </c>
      <c r="Y769" t="s">
        <v>14422</v>
      </c>
      <c r="Z769" t="s">
        <v>14423</v>
      </c>
      <c r="AA769" t="s">
        <v>74</v>
      </c>
      <c r="AB769" t="s">
        <v>14424</v>
      </c>
      <c r="AC769" t="s">
        <v>74</v>
      </c>
      <c r="AD769" t="s">
        <v>74</v>
      </c>
      <c r="AE769" t="s">
        <v>74</v>
      </c>
      <c r="AF769" t="s">
        <v>74</v>
      </c>
      <c r="AG769">
        <v>52</v>
      </c>
      <c r="AH769">
        <v>3</v>
      </c>
      <c r="AI769">
        <v>4</v>
      </c>
      <c r="AJ769">
        <v>5</v>
      </c>
      <c r="AK769">
        <v>31</v>
      </c>
      <c r="AL769" t="s">
        <v>935</v>
      </c>
      <c r="AM769" t="s">
        <v>371</v>
      </c>
      <c r="AN769" t="s">
        <v>936</v>
      </c>
      <c r="AO769" t="s">
        <v>1874</v>
      </c>
      <c r="AP769" t="s">
        <v>1875</v>
      </c>
      <c r="AQ769" t="s">
        <v>74</v>
      </c>
      <c r="AR769" t="s">
        <v>1876</v>
      </c>
      <c r="AS769" t="s">
        <v>1877</v>
      </c>
      <c r="AT769" t="s">
        <v>12897</v>
      </c>
      <c r="AU769">
        <v>2012</v>
      </c>
      <c r="AV769">
        <v>35</v>
      </c>
      <c r="AW769">
        <v>7</v>
      </c>
      <c r="AX769" t="s">
        <v>74</v>
      </c>
      <c r="AY769" t="s">
        <v>74</v>
      </c>
      <c r="AZ769" t="s">
        <v>74</v>
      </c>
      <c r="BA769" t="s">
        <v>74</v>
      </c>
      <c r="BB769">
        <v>1003</v>
      </c>
      <c r="BC769">
        <v>1012</v>
      </c>
      <c r="BD769" t="s">
        <v>74</v>
      </c>
      <c r="BE769" t="s">
        <v>14425</v>
      </c>
      <c r="BF769" t="str">
        <f>HYPERLINK("http://dx.doi.org/10.1007/s00300-011-1147-2","http://dx.doi.org/10.1007/s00300-011-1147-2")</f>
        <v>http://dx.doi.org/10.1007/s00300-011-1147-2</v>
      </c>
      <c r="BG769" t="s">
        <v>74</v>
      </c>
      <c r="BH769" t="s">
        <v>74</v>
      </c>
      <c r="BI769">
        <v>10</v>
      </c>
      <c r="BJ769" t="s">
        <v>1879</v>
      </c>
      <c r="BK769" t="s">
        <v>98</v>
      </c>
      <c r="BL769" t="s">
        <v>1880</v>
      </c>
      <c r="BM769" t="s">
        <v>14307</v>
      </c>
      <c r="BN769" t="s">
        <v>74</v>
      </c>
      <c r="BO769" t="s">
        <v>74</v>
      </c>
      <c r="BP769" t="s">
        <v>74</v>
      </c>
      <c r="BQ769" t="s">
        <v>74</v>
      </c>
      <c r="BR769" t="s">
        <v>101</v>
      </c>
      <c r="BS769" t="s">
        <v>14426</v>
      </c>
      <c r="BT769" t="str">
        <f>HYPERLINK("https%3A%2F%2Fwww.webofscience.com%2Fwos%2Fwoscc%2Ffull-record%2FWOS:000304623600004","View Full Record in Web of Science")</f>
        <v>View Full Record in Web of Science</v>
      </c>
    </row>
    <row r="770" spans="1:72" x14ac:dyDescent="0.15">
      <c r="A770" t="s">
        <v>72</v>
      </c>
      <c r="B770" t="s">
        <v>14427</v>
      </c>
      <c r="C770" t="s">
        <v>74</v>
      </c>
      <c r="D770" t="s">
        <v>74</v>
      </c>
      <c r="E770" t="s">
        <v>74</v>
      </c>
      <c r="F770" t="s">
        <v>14428</v>
      </c>
      <c r="G770" t="s">
        <v>74</v>
      </c>
      <c r="H770" t="s">
        <v>74</v>
      </c>
      <c r="I770" t="s">
        <v>14429</v>
      </c>
      <c r="J770" t="s">
        <v>1860</v>
      </c>
      <c r="K770" t="s">
        <v>74</v>
      </c>
      <c r="L770" t="s">
        <v>74</v>
      </c>
      <c r="M770" t="s">
        <v>78</v>
      </c>
      <c r="N770" t="s">
        <v>79</v>
      </c>
      <c r="O770" t="s">
        <v>74</v>
      </c>
      <c r="P770" t="s">
        <v>74</v>
      </c>
      <c r="Q770" t="s">
        <v>74</v>
      </c>
      <c r="R770" t="s">
        <v>74</v>
      </c>
      <c r="S770" t="s">
        <v>74</v>
      </c>
      <c r="T770" t="s">
        <v>14430</v>
      </c>
      <c r="U770" t="s">
        <v>14431</v>
      </c>
      <c r="V770" t="s">
        <v>14432</v>
      </c>
      <c r="W770" t="s">
        <v>14433</v>
      </c>
      <c r="X770" t="s">
        <v>14434</v>
      </c>
      <c r="Y770" t="s">
        <v>14435</v>
      </c>
      <c r="Z770" t="s">
        <v>14436</v>
      </c>
      <c r="AA770" t="s">
        <v>5127</v>
      </c>
      <c r="AB770" t="s">
        <v>14437</v>
      </c>
      <c r="AC770" t="s">
        <v>14438</v>
      </c>
      <c r="AD770" t="s">
        <v>4477</v>
      </c>
      <c r="AE770" t="s">
        <v>14439</v>
      </c>
      <c r="AF770" t="s">
        <v>74</v>
      </c>
      <c r="AG770">
        <v>29</v>
      </c>
      <c r="AH770">
        <v>7</v>
      </c>
      <c r="AI770">
        <v>7</v>
      </c>
      <c r="AJ770">
        <v>0</v>
      </c>
      <c r="AK770">
        <v>9</v>
      </c>
      <c r="AL770" t="s">
        <v>935</v>
      </c>
      <c r="AM770" t="s">
        <v>371</v>
      </c>
      <c r="AN770" t="s">
        <v>936</v>
      </c>
      <c r="AO770" t="s">
        <v>1874</v>
      </c>
      <c r="AP770" t="s">
        <v>1875</v>
      </c>
      <c r="AQ770" t="s">
        <v>74</v>
      </c>
      <c r="AR770" t="s">
        <v>1876</v>
      </c>
      <c r="AS770" t="s">
        <v>1877</v>
      </c>
      <c r="AT770" t="s">
        <v>12897</v>
      </c>
      <c r="AU770">
        <v>2012</v>
      </c>
      <c r="AV770">
        <v>35</v>
      </c>
      <c r="AW770">
        <v>7</v>
      </c>
      <c r="AX770" t="s">
        <v>74</v>
      </c>
      <c r="AY770" t="s">
        <v>74</v>
      </c>
      <c r="AZ770" t="s">
        <v>74</v>
      </c>
      <c r="BA770" t="s">
        <v>74</v>
      </c>
      <c r="BB770">
        <v>1047</v>
      </c>
      <c r="BC770">
        <v>1056</v>
      </c>
      <c r="BD770" t="s">
        <v>74</v>
      </c>
      <c r="BE770" t="s">
        <v>14440</v>
      </c>
      <c r="BF770" t="str">
        <f>HYPERLINK("http://dx.doi.org/10.1007/s00300-011-1152-5","http://dx.doi.org/10.1007/s00300-011-1152-5")</f>
        <v>http://dx.doi.org/10.1007/s00300-011-1152-5</v>
      </c>
      <c r="BG770" t="s">
        <v>74</v>
      </c>
      <c r="BH770" t="s">
        <v>74</v>
      </c>
      <c r="BI770">
        <v>10</v>
      </c>
      <c r="BJ770" t="s">
        <v>1879</v>
      </c>
      <c r="BK770" t="s">
        <v>98</v>
      </c>
      <c r="BL770" t="s">
        <v>1880</v>
      </c>
      <c r="BM770" t="s">
        <v>14307</v>
      </c>
      <c r="BN770" t="s">
        <v>74</v>
      </c>
      <c r="BO770" t="s">
        <v>74</v>
      </c>
      <c r="BP770" t="s">
        <v>74</v>
      </c>
      <c r="BQ770" t="s">
        <v>74</v>
      </c>
      <c r="BR770" t="s">
        <v>101</v>
      </c>
      <c r="BS770" t="s">
        <v>14441</v>
      </c>
      <c r="BT770" t="str">
        <f>HYPERLINK("https%3A%2F%2Fwww.webofscience.com%2Fwos%2Fwoscc%2Ffull-record%2FWOS:000304623600008","View Full Record in Web of Science")</f>
        <v>View Full Record in Web of Science</v>
      </c>
    </row>
    <row r="771" spans="1:72" x14ac:dyDescent="0.15">
      <c r="A771" t="s">
        <v>72</v>
      </c>
      <c r="B771" t="s">
        <v>14442</v>
      </c>
      <c r="C771" t="s">
        <v>74</v>
      </c>
      <c r="D771" t="s">
        <v>74</v>
      </c>
      <c r="E771" t="s">
        <v>74</v>
      </c>
      <c r="F771" t="s">
        <v>14443</v>
      </c>
      <c r="G771" t="s">
        <v>74</v>
      </c>
      <c r="H771" t="s">
        <v>74</v>
      </c>
      <c r="I771" t="s">
        <v>14444</v>
      </c>
      <c r="J771" t="s">
        <v>1860</v>
      </c>
      <c r="K771" t="s">
        <v>74</v>
      </c>
      <c r="L771" t="s">
        <v>74</v>
      </c>
      <c r="M771" t="s">
        <v>78</v>
      </c>
      <c r="N771" t="s">
        <v>79</v>
      </c>
      <c r="O771" t="s">
        <v>74</v>
      </c>
      <c r="P771" t="s">
        <v>74</v>
      </c>
      <c r="Q771" t="s">
        <v>74</v>
      </c>
      <c r="R771" t="s">
        <v>74</v>
      </c>
      <c r="S771" t="s">
        <v>74</v>
      </c>
      <c r="T771" t="s">
        <v>14445</v>
      </c>
      <c r="U771" t="s">
        <v>14446</v>
      </c>
      <c r="V771" t="s">
        <v>14447</v>
      </c>
      <c r="W771" t="s">
        <v>14448</v>
      </c>
      <c r="X771" t="s">
        <v>14449</v>
      </c>
      <c r="Y771" t="s">
        <v>14450</v>
      </c>
      <c r="Z771" t="s">
        <v>14451</v>
      </c>
      <c r="AA771" t="s">
        <v>14452</v>
      </c>
      <c r="AB771" t="s">
        <v>14453</v>
      </c>
      <c r="AC771" t="s">
        <v>14454</v>
      </c>
      <c r="AD771" t="s">
        <v>14455</v>
      </c>
      <c r="AE771" t="s">
        <v>14456</v>
      </c>
      <c r="AF771" t="s">
        <v>74</v>
      </c>
      <c r="AG771">
        <v>101</v>
      </c>
      <c r="AH771">
        <v>41</v>
      </c>
      <c r="AI771">
        <v>45</v>
      </c>
      <c r="AJ771">
        <v>3</v>
      </c>
      <c r="AK771">
        <v>43</v>
      </c>
      <c r="AL771" t="s">
        <v>935</v>
      </c>
      <c r="AM771" t="s">
        <v>371</v>
      </c>
      <c r="AN771" t="s">
        <v>1873</v>
      </c>
      <c r="AO771" t="s">
        <v>1874</v>
      </c>
      <c r="AP771" t="s">
        <v>1875</v>
      </c>
      <c r="AQ771" t="s">
        <v>74</v>
      </c>
      <c r="AR771" t="s">
        <v>1876</v>
      </c>
      <c r="AS771" t="s">
        <v>1877</v>
      </c>
      <c r="AT771" t="s">
        <v>12897</v>
      </c>
      <c r="AU771">
        <v>2012</v>
      </c>
      <c r="AV771">
        <v>35</v>
      </c>
      <c r="AW771">
        <v>7</v>
      </c>
      <c r="AX771" t="s">
        <v>74</v>
      </c>
      <c r="AY771" t="s">
        <v>74</v>
      </c>
      <c r="AZ771" t="s">
        <v>74</v>
      </c>
      <c r="BA771" t="s">
        <v>74</v>
      </c>
      <c r="BB771">
        <v>1073</v>
      </c>
      <c r="BC771">
        <v>1086</v>
      </c>
      <c r="BD771" t="s">
        <v>74</v>
      </c>
      <c r="BE771" t="s">
        <v>14457</v>
      </c>
      <c r="BF771" t="str">
        <f>HYPERLINK("http://dx.doi.org/10.1007/s00300-012-1155-x","http://dx.doi.org/10.1007/s00300-012-1155-x")</f>
        <v>http://dx.doi.org/10.1007/s00300-012-1155-x</v>
      </c>
      <c r="BG771" t="s">
        <v>74</v>
      </c>
      <c r="BH771" t="s">
        <v>74</v>
      </c>
      <c r="BI771">
        <v>14</v>
      </c>
      <c r="BJ771" t="s">
        <v>1879</v>
      </c>
      <c r="BK771" t="s">
        <v>98</v>
      </c>
      <c r="BL771" t="s">
        <v>1880</v>
      </c>
      <c r="BM771" t="s">
        <v>14307</v>
      </c>
      <c r="BN771" t="s">
        <v>74</v>
      </c>
      <c r="BO771" t="s">
        <v>74</v>
      </c>
      <c r="BP771" t="s">
        <v>74</v>
      </c>
      <c r="BQ771" t="s">
        <v>74</v>
      </c>
      <c r="BR771" t="s">
        <v>101</v>
      </c>
      <c r="BS771" t="s">
        <v>14458</v>
      </c>
      <c r="BT771" t="str">
        <f>HYPERLINK("https%3A%2F%2Fwww.webofscience.com%2Fwos%2Fwoscc%2Ffull-record%2FWOS:000304623600010","View Full Record in Web of Science")</f>
        <v>View Full Record in Web of Science</v>
      </c>
    </row>
    <row r="772" spans="1:72" x14ac:dyDescent="0.15">
      <c r="A772" t="s">
        <v>72</v>
      </c>
      <c r="B772" t="s">
        <v>14459</v>
      </c>
      <c r="C772" t="s">
        <v>74</v>
      </c>
      <c r="D772" t="s">
        <v>74</v>
      </c>
      <c r="E772" t="s">
        <v>74</v>
      </c>
      <c r="F772" t="s">
        <v>14460</v>
      </c>
      <c r="G772" t="s">
        <v>74</v>
      </c>
      <c r="H772" t="s">
        <v>74</v>
      </c>
      <c r="I772" t="s">
        <v>14461</v>
      </c>
      <c r="J772" t="s">
        <v>1860</v>
      </c>
      <c r="K772" t="s">
        <v>74</v>
      </c>
      <c r="L772" t="s">
        <v>74</v>
      </c>
      <c r="M772" t="s">
        <v>78</v>
      </c>
      <c r="N772" t="s">
        <v>79</v>
      </c>
      <c r="O772" t="s">
        <v>74</v>
      </c>
      <c r="P772" t="s">
        <v>74</v>
      </c>
      <c r="Q772" t="s">
        <v>74</v>
      </c>
      <c r="R772" t="s">
        <v>74</v>
      </c>
      <c r="S772" t="s">
        <v>74</v>
      </c>
      <c r="T772" t="s">
        <v>14462</v>
      </c>
      <c r="U772" t="s">
        <v>14463</v>
      </c>
      <c r="V772" t="s">
        <v>14464</v>
      </c>
      <c r="W772" t="s">
        <v>14465</v>
      </c>
      <c r="X772" t="s">
        <v>14466</v>
      </c>
      <c r="Y772" t="s">
        <v>14467</v>
      </c>
      <c r="Z772" t="s">
        <v>14468</v>
      </c>
      <c r="AA772" t="s">
        <v>14469</v>
      </c>
      <c r="AB772" t="s">
        <v>14470</v>
      </c>
      <c r="AC772" t="s">
        <v>14471</v>
      </c>
      <c r="AD772" t="s">
        <v>14472</v>
      </c>
      <c r="AE772" t="s">
        <v>14473</v>
      </c>
      <c r="AF772" t="s">
        <v>74</v>
      </c>
      <c r="AG772">
        <v>32</v>
      </c>
      <c r="AH772">
        <v>16</v>
      </c>
      <c r="AI772">
        <v>18</v>
      </c>
      <c r="AJ772">
        <v>0</v>
      </c>
      <c r="AK772">
        <v>49</v>
      </c>
      <c r="AL772" t="s">
        <v>935</v>
      </c>
      <c r="AM772" t="s">
        <v>371</v>
      </c>
      <c r="AN772" t="s">
        <v>936</v>
      </c>
      <c r="AO772" t="s">
        <v>1874</v>
      </c>
      <c r="AP772" t="s">
        <v>1875</v>
      </c>
      <c r="AQ772" t="s">
        <v>74</v>
      </c>
      <c r="AR772" t="s">
        <v>1876</v>
      </c>
      <c r="AS772" t="s">
        <v>1877</v>
      </c>
      <c r="AT772" t="s">
        <v>12897</v>
      </c>
      <c r="AU772">
        <v>2012</v>
      </c>
      <c r="AV772">
        <v>35</v>
      </c>
      <c r="AW772">
        <v>7</v>
      </c>
      <c r="AX772" t="s">
        <v>74</v>
      </c>
      <c r="AY772" t="s">
        <v>74</v>
      </c>
      <c r="AZ772" t="s">
        <v>74</v>
      </c>
      <c r="BA772" t="s">
        <v>74</v>
      </c>
      <c r="BB772">
        <v>1123</v>
      </c>
      <c r="BC772">
        <v>1128</v>
      </c>
      <c r="BD772" t="s">
        <v>74</v>
      </c>
      <c r="BE772" t="s">
        <v>14474</v>
      </c>
      <c r="BF772" t="str">
        <f>HYPERLINK("http://dx.doi.org/10.1007/s00300-012-1158-7","http://dx.doi.org/10.1007/s00300-012-1158-7")</f>
        <v>http://dx.doi.org/10.1007/s00300-012-1158-7</v>
      </c>
      <c r="BG772" t="s">
        <v>74</v>
      </c>
      <c r="BH772" t="s">
        <v>74</v>
      </c>
      <c r="BI772">
        <v>6</v>
      </c>
      <c r="BJ772" t="s">
        <v>1879</v>
      </c>
      <c r="BK772" t="s">
        <v>98</v>
      </c>
      <c r="BL772" t="s">
        <v>1880</v>
      </c>
      <c r="BM772" t="s">
        <v>14307</v>
      </c>
      <c r="BN772" t="s">
        <v>74</v>
      </c>
      <c r="BO772" t="s">
        <v>74</v>
      </c>
      <c r="BP772" t="s">
        <v>74</v>
      </c>
      <c r="BQ772" t="s">
        <v>74</v>
      </c>
      <c r="BR772" t="s">
        <v>101</v>
      </c>
      <c r="BS772" t="s">
        <v>14475</v>
      </c>
      <c r="BT772" t="str">
        <f>HYPERLINK("https%3A%2F%2Fwww.webofscience.com%2Fwos%2Fwoscc%2Ffull-record%2FWOS:000304623600015","View Full Record in Web of Science")</f>
        <v>View Full Record in Web of Science</v>
      </c>
    </row>
    <row r="773" spans="1:72" x14ac:dyDescent="0.15">
      <c r="A773" t="s">
        <v>72</v>
      </c>
      <c r="B773" t="s">
        <v>14476</v>
      </c>
      <c r="C773" t="s">
        <v>74</v>
      </c>
      <c r="D773" t="s">
        <v>74</v>
      </c>
      <c r="E773" t="s">
        <v>74</v>
      </c>
      <c r="F773" t="s">
        <v>14477</v>
      </c>
      <c r="G773" t="s">
        <v>74</v>
      </c>
      <c r="H773" t="s">
        <v>74</v>
      </c>
      <c r="I773" t="s">
        <v>14478</v>
      </c>
      <c r="J773" t="s">
        <v>6204</v>
      </c>
      <c r="K773" t="s">
        <v>74</v>
      </c>
      <c r="L773" t="s">
        <v>74</v>
      </c>
      <c r="M773" t="s">
        <v>78</v>
      </c>
      <c r="N773" t="s">
        <v>79</v>
      </c>
      <c r="O773" t="s">
        <v>74</v>
      </c>
      <c r="P773" t="s">
        <v>74</v>
      </c>
      <c r="Q773" t="s">
        <v>74</v>
      </c>
      <c r="R773" t="s">
        <v>74</v>
      </c>
      <c r="S773" t="s">
        <v>74</v>
      </c>
      <c r="T773" t="s">
        <v>14479</v>
      </c>
      <c r="U773" t="s">
        <v>14480</v>
      </c>
      <c r="V773" t="s">
        <v>14481</v>
      </c>
      <c r="W773" t="s">
        <v>14482</v>
      </c>
      <c r="X773" t="s">
        <v>14483</v>
      </c>
      <c r="Y773" t="s">
        <v>14484</v>
      </c>
      <c r="Z773" t="s">
        <v>14485</v>
      </c>
      <c r="AA773" t="s">
        <v>14486</v>
      </c>
      <c r="AB773" t="s">
        <v>14487</v>
      </c>
      <c r="AC773" t="s">
        <v>14488</v>
      </c>
      <c r="AD773" t="s">
        <v>14489</v>
      </c>
      <c r="AE773" t="s">
        <v>14490</v>
      </c>
      <c r="AF773" t="s">
        <v>74</v>
      </c>
      <c r="AG773">
        <v>35</v>
      </c>
      <c r="AH773">
        <v>13</v>
      </c>
      <c r="AI773">
        <v>14</v>
      </c>
      <c r="AJ773">
        <v>0</v>
      </c>
      <c r="AK773">
        <v>17</v>
      </c>
      <c r="AL773" t="s">
        <v>259</v>
      </c>
      <c r="AM773" t="s">
        <v>189</v>
      </c>
      <c r="AN773" t="s">
        <v>260</v>
      </c>
      <c r="AO773" t="s">
        <v>6216</v>
      </c>
      <c r="AP773" t="s">
        <v>74</v>
      </c>
      <c r="AQ773" t="s">
        <v>74</v>
      </c>
      <c r="AR773" t="s">
        <v>6218</v>
      </c>
      <c r="AS773" t="s">
        <v>6219</v>
      </c>
      <c r="AT773" t="s">
        <v>12897</v>
      </c>
      <c r="AU773">
        <v>2012</v>
      </c>
      <c r="AV773">
        <v>78</v>
      </c>
      <c r="AW773" t="s">
        <v>74</v>
      </c>
      <c r="AX773" t="s">
        <v>74</v>
      </c>
      <c r="AY773" t="s">
        <v>74</v>
      </c>
      <c r="AZ773" t="s">
        <v>74</v>
      </c>
      <c r="BA773" t="s">
        <v>74</v>
      </c>
      <c r="BB773">
        <v>1</v>
      </c>
      <c r="BC773">
        <v>13</v>
      </c>
      <c r="BD773" t="s">
        <v>74</v>
      </c>
      <c r="BE773" t="s">
        <v>14491</v>
      </c>
      <c r="BF773" t="str">
        <f>HYPERLINK("http://dx.doi.org/10.1016/j.coldregions.2012.03.002","http://dx.doi.org/10.1016/j.coldregions.2012.03.002")</f>
        <v>http://dx.doi.org/10.1016/j.coldregions.2012.03.002</v>
      </c>
      <c r="BG773" t="s">
        <v>74</v>
      </c>
      <c r="BH773" t="s">
        <v>74</v>
      </c>
      <c r="BI773">
        <v>13</v>
      </c>
      <c r="BJ773" t="s">
        <v>6221</v>
      </c>
      <c r="BK773" t="s">
        <v>98</v>
      </c>
      <c r="BL773" t="s">
        <v>6222</v>
      </c>
      <c r="BM773" t="s">
        <v>14492</v>
      </c>
      <c r="BN773" t="s">
        <v>74</v>
      </c>
      <c r="BO773" t="s">
        <v>74</v>
      </c>
      <c r="BP773" t="s">
        <v>74</v>
      </c>
      <c r="BQ773" t="s">
        <v>74</v>
      </c>
      <c r="BR773" t="s">
        <v>101</v>
      </c>
      <c r="BS773" t="s">
        <v>14493</v>
      </c>
      <c r="BT773" t="str">
        <f>HYPERLINK("https%3A%2F%2Fwww.webofscience.com%2Fwos%2Fwoscc%2Ffull-record%2FWOS:000304291000001","View Full Record in Web of Science")</f>
        <v>View Full Record in Web of Science</v>
      </c>
    </row>
    <row r="774" spans="1:72" x14ac:dyDescent="0.15">
      <c r="A774" t="s">
        <v>72</v>
      </c>
      <c r="B774" t="s">
        <v>14494</v>
      </c>
      <c r="C774" t="s">
        <v>74</v>
      </c>
      <c r="D774" t="s">
        <v>74</v>
      </c>
      <c r="E774" t="s">
        <v>74</v>
      </c>
      <c r="F774" t="s">
        <v>14495</v>
      </c>
      <c r="G774" t="s">
        <v>74</v>
      </c>
      <c r="H774" t="s">
        <v>74</v>
      </c>
      <c r="I774" t="s">
        <v>14496</v>
      </c>
      <c r="J774" t="s">
        <v>6204</v>
      </c>
      <c r="K774" t="s">
        <v>74</v>
      </c>
      <c r="L774" t="s">
        <v>74</v>
      </c>
      <c r="M774" t="s">
        <v>78</v>
      </c>
      <c r="N774" t="s">
        <v>79</v>
      </c>
      <c r="O774" t="s">
        <v>74</v>
      </c>
      <c r="P774" t="s">
        <v>74</v>
      </c>
      <c r="Q774" t="s">
        <v>74</v>
      </c>
      <c r="R774" t="s">
        <v>74</v>
      </c>
      <c r="S774" t="s">
        <v>74</v>
      </c>
      <c r="T774" t="s">
        <v>14497</v>
      </c>
      <c r="U774" t="s">
        <v>14498</v>
      </c>
      <c r="V774" t="s">
        <v>14499</v>
      </c>
      <c r="W774" t="s">
        <v>14500</v>
      </c>
      <c r="X774" t="s">
        <v>14501</v>
      </c>
      <c r="Y774" t="s">
        <v>14502</v>
      </c>
      <c r="Z774" t="s">
        <v>14503</v>
      </c>
      <c r="AA774" t="s">
        <v>14504</v>
      </c>
      <c r="AB774" t="s">
        <v>14505</v>
      </c>
      <c r="AC774" t="s">
        <v>14506</v>
      </c>
      <c r="AD774" t="s">
        <v>14507</v>
      </c>
      <c r="AE774" t="s">
        <v>14508</v>
      </c>
      <c r="AF774" t="s">
        <v>74</v>
      </c>
      <c r="AG774">
        <v>33</v>
      </c>
      <c r="AH774">
        <v>1</v>
      </c>
      <c r="AI774">
        <v>2</v>
      </c>
      <c r="AJ774">
        <v>0</v>
      </c>
      <c r="AK774">
        <v>15</v>
      </c>
      <c r="AL774" t="s">
        <v>188</v>
      </c>
      <c r="AM774" t="s">
        <v>189</v>
      </c>
      <c r="AN774" t="s">
        <v>190</v>
      </c>
      <c r="AO774" t="s">
        <v>6216</v>
      </c>
      <c r="AP774" t="s">
        <v>6217</v>
      </c>
      <c r="AQ774" t="s">
        <v>74</v>
      </c>
      <c r="AR774" t="s">
        <v>6218</v>
      </c>
      <c r="AS774" t="s">
        <v>6219</v>
      </c>
      <c r="AT774" t="s">
        <v>12897</v>
      </c>
      <c r="AU774">
        <v>2012</v>
      </c>
      <c r="AV774">
        <v>78</v>
      </c>
      <c r="AW774" t="s">
        <v>74</v>
      </c>
      <c r="AX774" t="s">
        <v>74</v>
      </c>
      <c r="AY774" t="s">
        <v>74</v>
      </c>
      <c r="AZ774" t="s">
        <v>74</v>
      </c>
      <c r="BA774" t="s">
        <v>74</v>
      </c>
      <c r="BB774">
        <v>40</v>
      </c>
      <c r="BC774">
        <v>45</v>
      </c>
      <c r="BD774" t="s">
        <v>74</v>
      </c>
      <c r="BE774" t="s">
        <v>14509</v>
      </c>
      <c r="BF774" t="str">
        <f>HYPERLINK("http://dx.doi.org/10.1016/j.coldregions.2012.01.013","http://dx.doi.org/10.1016/j.coldregions.2012.01.013")</f>
        <v>http://dx.doi.org/10.1016/j.coldregions.2012.01.013</v>
      </c>
      <c r="BG774" t="s">
        <v>74</v>
      </c>
      <c r="BH774" t="s">
        <v>74</v>
      </c>
      <c r="BI774">
        <v>6</v>
      </c>
      <c r="BJ774" t="s">
        <v>6221</v>
      </c>
      <c r="BK774" t="s">
        <v>98</v>
      </c>
      <c r="BL774" t="s">
        <v>6222</v>
      </c>
      <c r="BM774" t="s">
        <v>14492</v>
      </c>
      <c r="BN774" t="s">
        <v>74</v>
      </c>
      <c r="BO774" t="s">
        <v>74</v>
      </c>
      <c r="BP774" t="s">
        <v>74</v>
      </c>
      <c r="BQ774" t="s">
        <v>74</v>
      </c>
      <c r="BR774" t="s">
        <v>101</v>
      </c>
      <c r="BS774" t="s">
        <v>14510</v>
      </c>
      <c r="BT774" t="str">
        <f>HYPERLINK("https%3A%2F%2Fwww.webofscience.com%2Fwos%2Fwoscc%2Ffull-record%2FWOS:000304291000004","View Full Record in Web of Science")</f>
        <v>View Full Record in Web of Science</v>
      </c>
    </row>
    <row r="775" spans="1:72" x14ac:dyDescent="0.15">
      <c r="A775" t="s">
        <v>72</v>
      </c>
      <c r="B775" t="s">
        <v>14511</v>
      </c>
      <c r="C775" t="s">
        <v>74</v>
      </c>
      <c r="D775" t="s">
        <v>74</v>
      </c>
      <c r="E775" t="s">
        <v>74</v>
      </c>
      <c r="F775" t="s">
        <v>14512</v>
      </c>
      <c r="G775" t="s">
        <v>74</v>
      </c>
      <c r="H775" t="s">
        <v>74</v>
      </c>
      <c r="I775" t="s">
        <v>14513</v>
      </c>
      <c r="J775" t="s">
        <v>4956</v>
      </c>
      <c r="K775" t="s">
        <v>74</v>
      </c>
      <c r="L775" t="s">
        <v>74</v>
      </c>
      <c r="M775" t="s">
        <v>78</v>
      </c>
      <c r="N775" t="s">
        <v>79</v>
      </c>
      <c r="O775" t="s">
        <v>74</v>
      </c>
      <c r="P775" t="s">
        <v>74</v>
      </c>
      <c r="Q775" t="s">
        <v>74</v>
      </c>
      <c r="R775" t="s">
        <v>74</v>
      </c>
      <c r="S775" t="s">
        <v>74</v>
      </c>
      <c r="T775" t="s">
        <v>74</v>
      </c>
      <c r="U775" t="s">
        <v>74</v>
      </c>
      <c r="V775" t="s">
        <v>14514</v>
      </c>
      <c r="W775" t="s">
        <v>74</v>
      </c>
      <c r="X775" t="s">
        <v>74</v>
      </c>
      <c r="Y775" t="s">
        <v>14515</v>
      </c>
      <c r="Z775" t="s">
        <v>14516</v>
      </c>
      <c r="AA775" t="s">
        <v>74</v>
      </c>
      <c r="AB775" t="s">
        <v>74</v>
      </c>
      <c r="AC775" t="s">
        <v>74</v>
      </c>
      <c r="AD775" t="s">
        <v>74</v>
      </c>
      <c r="AE775" t="s">
        <v>74</v>
      </c>
      <c r="AF775" t="s">
        <v>74</v>
      </c>
      <c r="AG775">
        <v>9</v>
      </c>
      <c r="AH775">
        <v>2</v>
      </c>
      <c r="AI775">
        <v>2</v>
      </c>
      <c r="AJ775">
        <v>0</v>
      </c>
      <c r="AK775">
        <v>0</v>
      </c>
      <c r="AL775" t="s">
        <v>2780</v>
      </c>
      <c r="AM775" t="s">
        <v>371</v>
      </c>
      <c r="AN775" t="s">
        <v>2781</v>
      </c>
      <c r="AO775" t="s">
        <v>4965</v>
      </c>
      <c r="AP775" t="s">
        <v>74</v>
      </c>
      <c r="AQ775" t="s">
        <v>74</v>
      </c>
      <c r="AR775" t="s">
        <v>4966</v>
      </c>
      <c r="AS775" t="s">
        <v>4967</v>
      </c>
      <c r="AT775" t="s">
        <v>12897</v>
      </c>
      <c r="AU775">
        <v>2012</v>
      </c>
      <c r="AV775">
        <v>48</v>
      </c>
      <c r="AW775">
        <v>246</v>
      </c>
      <c r="AX775" t="s">
        <v>74</v>
      </c>
      <c r="AY775" t="s">
        <v>74</v>
      </c>
      <c r="AZ775" t="s">
        <v>74</v>
      </c>
      <c r="BA775" t="s">
        <v>74</v>
      </c>
      <c r="BB775">
        <v>259</v>
      </c>
      <c r="BC775">
        <v>268</v>
      </c>
      <c r="BD775" t="s">
        <v>74</v>
      </c>
      <c r="BE775" t="s">
        <v>14517</v>
      </c>
      <c r="BF775" t="str">
        <f>HYPERLINK("http://dx.doi.org/10.1017/S0032247410000215","http://dx.doi.org/10.1017/S0032247410000215")</f>
        <v>http://dx.doi.org/10.1017/S0032247410000215</v>
      </c>
      <c r="BG775" t="s">
        <v>74</v>
      </c>
      <c r="BH775" t="s">
        <v>74</v>
      </c>
      <c r="BI775">
        <v>10</v>
      </c>
      <c r="BJ775" t="s">
        <v>4969</v>
      </c>
      <c r="BK775" t="s">
        <v>98</v>
      </c>
      <c r="BL775" t="s">
        <v>333</v>
      </c>
      <c r="BM775" t="s">
        <v>14518</v>
      </c>
      <c r="BN775" t="s">
        <v>74</v>
      </c>
      <c r="BO775" t="s">
        <v>74</v>
      </c>
      <c r="BP775" t="s">
        <v>74</v>
      </c>
      <c r="BQ775" t="s">
        <v>74</v>
      </c>
      <c r="BR775" t="s">
        <v>101</v>
      </c>
      <c r="BS775" t="s">
        <v>14519</v>
      </c>
      <c r="BT775" t="str">
        <f>HYPERLINK("https%3A%2F%2Fwww.webofscience.com%2Fwos%2Fwoscc%2Ffull-record%2FWOS:000304092100010","View Full Record in Web of Science")</f>
        <v>View Full Record in Web of Science</v>
      </c>
    </row>
    <row r="776" spans="1:72" x14ac:dyDescent="0.15">
      <c r="A776" t="s">
        <v>72</v>
      </c>
      <c r="B776" t="s">
        <v>14520</v>
      </c>
      <c r="C776" t="s">
        <v>74</v>
      </c>
      <c r="D776" t="s">
        <v>74</v>
      </c>
      <c r="E776" t="s">
        <v>74</v>
      </c>
      <c r="F776" t="s">
        <v>14521</v>
      </c>
      <c r="G776" t="s">
        <v>74</v>
      </c>
      <c r="H776" t="s">
        <v>74</v>
      </c>
      <c r="I776" t="s">
        <v>14522</v>
      </c>
      <c r="J776" t="s">
        <v>4956</v>
      </c>
      <c r="K776" t="s">
        <v>74</v>
      </c>
      <c r="L776" t="s">
        <v>74</v>
      </c>
      <c r="M776" t="s">
        <v>78</v>
      </c>
      <c r="N776" t="s">
        <v>79</v>
      </c>
      <c r="O776" t="s">
        <v>74</v>
      </c>
      <c r="P776" t="s">
        <v>74</v>
      </c>
      <c r="Q776" t="s">
        <v>74</v>
      </c>
      <c r="R776" t="s">
        <v>74</v>
      </c>
      <c r="S776" t="s">
        <v>74</v>
      </c>
      <c r="T776" t="s">
        <v>74</v>
      </c>
      <c r="U776" t="s">
        <v>74</v>
      </c>
      <c r="V776" t="s">
        <v>14523</v>
      </c>
      <c r="W776" t="s">
        <v>14524</v>
      </c>
      <c r="X776" t="s">
        <v>14525</v>
      </c>
      <c r="Y776" t="s">
        <v>14526</v>
      </c>
      <c r="Z776" t="s">
        <v>14527</v>
      </c>
      <c r="AA776" t="s">
        <v>14528</v>
      </c>
      <c r="AB776" t="s">
        <v>14529</v>
      </c>
      <c r="AC776" t="s">
        <v>14530</v>
      </c>
      <c r="AD776" t="s">
        <v>14531</v>
      </c>
      <c r="AE776" t="s">
        <v>14532</v>
      </c>
      <c r="AF776" t="s">
        <v>74</v>
      </c>
      <c r="AG776">
        <v>45</v>
      </c>
      <c r="AH776">
        <v>11</v>
      </c>
      <c r="AI776">
        <v>13</v>
      </c>
      <c r="AJ776">
        <v>2</v>
      </c>
      <c r="AK776">
        <v>33</v>
      </c>
      <c r="AL776" t="s">
        <v>2780</v>
      </c>
      <c r="AM776" t="s">
        <v>371</v>
      </c>
      <c r="AN776" t="s">
        <v>2781</v>
      </c>
      <c r="AO776" t="s">
        <v>4965</v>
      </c>
      <c r="AP776" t="s">
        <v>5000</v>
      </c>
      <c r="AQ776" t="s">
        <v>74</v>
      </c>
      <c r="AR776" t="s">
        <v>4966</v>
      </c>
      <c r="AS776" t="s">
        <v>4967</v>
      </c>
      <c r="AT776" t="s">
        <v>12897</v>
      </c>
      <c r="AU776">
        <v>2012</v>
      </c>
      <c r="AV776">
        <v>48</v>
      </c>
      <c r="AW776">
        <v>246</v>
      </c>
      <c r="AX776" t="s">
        <v>74</v>
      </c>
      <c r="AY776" t="s">
        <v>74</v>
      </c>
      <c r="AZ776" t="s">
        <v>74</v>
      </c>
      <c r="BA776" t="s">
        <v>74</v>
      </c>
      <c r="BB776">
        <v>280</v>
      </c>
      <c r="BC776">
        <v>290</v>
      </c>
      <c r="BD776" t="s">
        <v>74</v>
      </c>
      <c r="BE776" t="s">
        <v>14533</v>
      </c>
      <c r="BF776" t="str">
        <f>HYPERLINK("http://dx.doi.org/10.1017/S0032247411000246","http://dx.doi.org/10.1017/S0032247411000246")</f>
        <v>http://dx.doi.org/10.1017/S0032247411000246</v>
      </c>
      <c r="BG776" t="s">
        <v>74</v>
      </c>
      <c r="BH776" t="s">
        <v>74</v>
      </c>
      <c r="BI776">
        <v>11</v>
      </c>
      <c r="BJ776" t="s">
        <v>4969</v>
      </c>
      <c r="BK776" t="s">
        <v>2843</v>
      </c>
      <c r="BL776" t="s">
        <v>333</v>
      </c>
      <c r="BM776" t="s">
        <v>14518</v>
      </c>
      <c r="BN776" t="s">
        <v>74</v>
      </c>
      <c r="BO776" t="s">
        <v>74</v>
      </c>
      <c r="BP776" t="s">
        <v>74</v>
      </c>
      <c r="BQ776" t="s">
        <v>74</v>
      </c>
      <c r="BR776" t="s">
        <v>101</v>
      </c>
      <c r="BS776" t="s">
        <v>14534</v>
      </c>
      <c r="BT776" t="str">
        <f>HYPERLINK("https%3A%2F%2Fwww.webofscience.com%2Fwos%2Fwoscc%2Ffull-record%2FWOS:000304092100012","View Full Record in Web of Science")</f>
        <v>View Full Record in Web of Science</v>
      </c>
    </row>
    <row r="777" spans="1:72" x14ac:dyDescent="0.15">
      <c r="A777" t="s">
        <v>72</v>
      </c>
      <c r="B777" t="s">
        <v>6443</v>
      </c>
      <c r="C777" t="s">
        <v>74</v>
      </c>
      <c r="D777" t="s">
        <v>74</v>
      </c>
      <c r="E777" t="s">
        <v>74</v>
      </c>
      <c r="F777" t="s">
        <v>14535</v>
      </c>
      <c r="G777" t="s">
        <v>74</v>
      </c>
      <c r="H777" t="s">
        <v>74</v>
      </c>
      <c r="I777" t="s">
        <v>14536</v>
      </c>
      <c r="J777" t="s">
        <v>14537</v>
      </c>
      <c r="K777" t="s">
        <v>74</v>
      </c>
      <c r="L777" t="s">
        <v>74</v>
      </c>
      <c r="M777" t="s">
        <v>78</v>
      </c>
      <c r="N777" t="s">
        <v>79</v>
      </c>
      <c r="O777" t="s">
        <v>74</v>
      </c>
      <c r="P777" t="s">
        <v>74</v>
      </c>
      <c r="Q777" t="s">
        <v>74</v>
      </c>
      <c r="R777" t="s">
        <v>74</v>
      </c>
      <c r="S777" t="s">
        <v>74</v>
      </c>
      <c r="T777" t="s">
        <v>14538</v>
      </c>
      <c r="U777" t="s">
        <v>14539</v>
      </c>
      <c r="V777" t="s">
        <v>14540</v>
      </c>
      <c r="W777" t="s">
        <v>14541</v>
      </c>
      <c r="X777" t="s">
        <v>6451</v>
      </c>
      <c r="Y777" t="s">
        <v>6452</v>
      </c>
      <c r="Z777" t="s">
        <v>6453</v>
      </c>
      <c r="AA777" t="s">
        <v>74</v>
      </c>
      <c r="AB777" t="s">
        <v>74</v>
      </c>
      <c r="AC777" t="s">
        <v>14542</v>
      </c>
      <c r="AD777" t="s">
        <v>14542</v>
      </c>
      <c r="AE777" t="s">
        <v>14543</v>
      </c>
      <c r="AF777" t="s">
        <v>74</v>
      </c>
      <c r="AG777">
        <v>35</v>
      </c>
      <c r="AH777">
        <v>4</v>
      </c>
      <c r="AI777">
        <v>4</v>
      </c>
      <c r="AJ777">
        <v>0</v>
      </c>
      <c r="AK777">
        <v>17</v>
      </c>
      <c r="AL777" t="s">
        <v>14544</v>
      </c>
      <c r="AM777" t="s">
        <v>14545</v>
      </c>
      <c r="AN777" t="s">
        <v>14546</v>
      </c>
      <c r="AO777" t="s">
        <v>14547</v>
      </c>
      <c r="AP777" t="s">
        <v>14548</v>
      </c>
      <c r="AQ777" t="s">
        <v>74</v>
      </c>
      <c r="AR777" t="s">
        <v>14549</v>
      </c>
      <c r="AS777" t="s">
        <v>14550</v>
      </c>
      <c r="AT777" t="s">
        <v>14551</v>
      </c>
      <c r="AU777">
        <v>2012</v>
      </c>
      <c r="AV777">
        <v>8</v>
      </c>
      <c r="AW777">
        <v>2</v>
      </c>
      <c r="AX777" t="s">
        <v>74</v>
      </c>
      <c r="AY777" t="s">
        <v>74</v>
      </c>
      <c r="AZ777" t="s">
        <v>74</v>
      </c>
      <c r="BA777" t="s">
        <v>74</v>
      </c>
      <c r="BB777">
        <v>163</v>
      </c>
      <c r="BC777">
        <v>169</v>
      </c>
      <c r="BD777" t="s">
        <v>74</v>
      </c>
      <c r="BE777" t="s">
        <v>14552</v>
      </c>
      <c r="BF777" t="str">
        <f>HYPERLINK("http://dx.doi.org/10.1007/s13273-012-0020-x","http://dx.doi.org/10.1007/s13273-012-0020-x")</f>
        <v>http://dx.doi.org/10.1007/s13273-012-0020-x</v>
      </c>
      <c r="BG777" t="s">
        <v>74</v>
      </c>
      <c r="BH777" t="s">
        <v>74</v>
      </c>
      <c r="BI777">
        <v>7</v>
      </c>
      <c r="BJ777" t="s">
        <v>14553</v>
      </c>
      <c r="BK777" t="s">
        <v>98</v>
      </c>
      <c r="BL777" t="s">
        <v>14553</v>
      </c>
      <c r="BM777" t="s">
        <v>14554</v>
      </c>
      <c r="BN777" t="s">
        <v>74</v>
      </c>
      <c r="BO777" t="s">
        <v>74</v>
      </c>
      <c r="BP777" t="s">
        <v>74</v>
      </c>
      <c r="BQ777" t="s">
        <v>74</v>
      </c>
      <c r="BR777" t="s">
        <v>101</v>
      </c>
      <c r="BS777" t="s">
        <v>14555</v>
      </c>
      <c r="BT777" t="str">
        <f>HYPERLINK("https%3A%2F%2Fwww.webofscience.com%2Fwos%2Fwoscc%2Ffull-record%2FWOS:000305863500007","View Full Record in Web of Science")</f>
        <v>View Full Record in Web of Science</v>
      </c>
    </row>
    <row r="778" spans="1:72" x14ac:dyDescent="0.15">
      <c r="A778" t="s">
        <v>72</v>
      </c>
      <c r="B778" t="s">
        <v>14556</v>
      </c>
      <c r="C778" t="s">
        <v>74</v>
      </c>
      <c r="D778" t="s">
        <v>74</v>
      </c>
      <c r="E778" t="s">
        <v>74</v>
      </c>
      <c r="F778" t="s">
        <v>14557</v>
      </c>
      <c r="G778" t="s">
        <v>74</v>
      </c>
      <c r="H778" t="s">
        <v>74</v>
      </c>
      <c r="I778" t="s">
        <v>14558</v>
      </c>
      <c r="J778" t="s">
        <v>3207</v>
      </c>
      <c r="K778" t="s">
        <v>74</v>
      </c>
      <c r="L778" t="s">
        <v>74</v>
      </c>
      <c r="M778" t="s">
        <v>78</v>
      </c>
      <c r="N778" t="s">
        <v>79</v>
      </c>
      <c r="O778" t="s">
        <v>74</v>
      </c>
      <c r="P778" t="s">
        <v>74</v>
      </c>
      <c r="Q778" t="s">
        <v>74</v>
      </c>
      <c r="R778" t="s">
        <v>74</v>
      </c>
      <c r="S778" t="s">
        <v>74</v>
      </c>
      <c r="T778" t="s">
        <v>74</v>
      </c>
      <c r="U778" t="s">
        <v>14559</v>
      </c>
      <c r="V778" t="s">
        <v>14560</v>
      </c>
      <c r="W778" t="s">
        <v>14561</v>
      </c>
      <c r="X778" t="s">
        <v>14562</v>
      </c>
      <c r="Y778" t="s">
        <v>14563</v>
      </c>
      <c r="Z778" t="s">
        <v>14564</v>
      </c>
      <c r="AA778" t="s">
        <v>14565</v>
      </c>
      <c r="AB778" t="s">
        <v>14566</v>
      </c>
      <c r="AC778" t="s">
        <v>14567</v>
      </c>
      <c r="AD778" t="s">
        <v>14568</v>
      </c>
      <c r="AE778" t="s">
        <v>14569</v>
      </c>
      <c r="AF778" t="s">
        <v>74</v>
      </c>
      <c r="AG778">
        <v>52</v>
      </c>
      <c r="AH778">
        <v>20</v>
      </c>
      <c r="AI778">
        <v>20</v>
      </c>
      <c r="AJ778">
        <v>3</v>
      </c>
      <c r="AK778">
        <v>39</v>
      </c>
      <c r="AL778" t="s">
        <v>118</v>
      </c>
      <c r="AM778" t="s">
        <v>119</v>
      </c>
      <c r="AN778" t="s">
        <v>120</v>
      </c>
      <c r="AO778" t="s">
        <v>3219</v>
      </c>
      <c r="AP778" t="s">
        <v>3220</v>
      </c>
      <c r="AQ778" t="s">
        <v>74</v>
      </c>
      <c r="AR778" t="s">
        <v>3221</v>
      </c>
      <c r="AS778" t="s">
        <v>3222</v>
      </c>
      <c r="AT778" t="s">
        <v>14570</v>
      </c>
      <c r="AU778">
        <v>2012</v>
      </c>
      <c r="AV778">
        <v>117</v>
      </c>
      <c r="AW778" t="s">
        <v>74</v>
      </c>
      <c r="AX778" t="s">
        <v>74</v>
      </c>
      <c r="AY778" t="s">
        <v>74</v>
      </c>
      <c r="AZ778" t="s">
        <v>74</v>
      </c>
      <c r="BA778" t="s">
        <v>74</v>
      </c>
      <c r="BB778" t="s">
        <v>74</v>
      </c>
      <c r="BC778" t="s">
        <v>74</v>
      </c>
      <c r="BD778" t="s">
        <v>14571</v>
      </c>
      <c r="BE778" t="s">
        <v>14572</v>
      </c>
      <c r="BF778" t="str">
        <f>HYPERLINK("http://dx.doi.org/10.1029/2012JD017614","http://dx.doi.org/10.1029/2012JD017614")</f>
        <v>http://dx.doi.org/10.1029/2012JD017614</v>
      </c>
      <c r="BG778" t="s">
        <v>74</v>
      </c>
      <c r="BH778" t="s">
        <v>74</v>
      </c>
      <c r="BI778">
        <v>15</v>
      </c>
      <c r="BJ778" t="s">
        <v>378</v>
      </c>
      <c r="BK778" t="s">
        <v>98</v>
      </c>
      <c r="BL778" t="s">
        <v>378</v>
      </c>
      <c r="BM778" t="s">
        <v>14573</v>
      </c>
      <c r="BN778" t="s">
        <v>74</v>
      </c>
      <c r="BO778" t="s">
        <v>1458</v>
      </c>
      <c r="BP778" t="s">
        <v>74</v>
      </c>
      <c r="BQ778" t="s">
        <v>74</v>
      </c>
      <c r="BR778" t="s">
        <v>101</v>
      </c>
      <c r="BS778" t="s">
        <v>14574</v>
      </c>
      <c r="BT778" t="str">
        <f>HYPERLINK("https%3A%2F%2Fwww.webofscience.com%2Fwos%2Fwoscc%2Ffull-record%2FWOS:000305994800007","View Full Record in Web of Science")</f>
        <v>View Full Record in Web of Science</v>
      </c>
    </row>
    <row r="779" spans="1:72" x14ac:dyDescent="0.15">
      <c r="A779" t="s">
        <v>72</v>
      </c>
      <c r="B779" t="s">
        <v>14575</v>
      </c>
      <c r="C779" t="s">
        <v>74</v>
      </c>
      <c r="D779" t="s">
        <v>74</v>
      </c>
      <c r="E779" t="s">
        <v>74</v>
      </c>
      <c r="F779" t="s">
        <v>14576</v>
      </c>
      <c r="G779" t="s">
        <v>74</v>
      </c>
      <c r="H779" t="s">
        <v>74</v>
      </c>
      <c r="I779" t="s">
        <v>14577</v>
      </c>
      <c r="J779" t="s">
        <v>551</v>
      </c>
      <c r="K779" t="s">
        <v>74</v>
      </c>
      <c r="L779" t="s">
        <v>74</v>
      </c>
      <c r="M779" t="s">
        <v>78</v>
      </c>
      <c r="N779" t="s">
        <v>79</v>
      </c>
      <c r="O779" t="s">
        <v>74</v>
      </c>
      <c r="P779" t="s">
        <v>74</v>
      </c>
      <c r="Q779" t="s">
        <v>74</v>
      </c>
      <c r="R779" t="s">
        <v>74</v>
      </c>
      <c r="S779" t="s">
        <v>74</v>
      </c>
      <c r="T779" t="s">
        <v>74</v>
      </c>
      <c r="U779" t="s">
        <v>14578</v>
      </c>
      <c r="V779" t="s">
        <v>14579</v>
      </c>
      <c r="W779" t="s">
        <v>14580</v>
      </c>
      <c r="X779" t="s">
        <v>14581</v>
      </c>
      <c r="Y779" t="s">
        <v>14582</v>
      </c>
      <c r="Z779" t="s">
        <v>14583</v>
      </c>
      <c r="AA779" t="s">
        <v>14584</v>
      </c>
      <c r="AB779" t="s">
        <v>14585</v>
      </c>
      <c r="AC779" t="s">
        <v>14586</v>
      </c>
      <c r="AD779" t="s">
        <v>14587</v>
      </c>
      <c r="AE779" t="s">
        <v>14588</v>
      </c>
      <c r="AF779" t="s">
        <v>74</v>
      </c>
      <c r="AG779">
        <v>32</v>
      </c>
      <c r="AH779">
        <v>28</v>
      </c>
      <c r="AI779">
        <v>28</v>
      </c>
      <c r="AJ779">
        <v>0</v>
      </c>
      <c r="AK779">
        <v>17</v>
      </c>
      <c r="AL779" t="s">
        <v>118</v>
      </c>
      <c r="AM779" t="s">
        <v>119</v>
      </c>
      <c r="AN779" t="s">
        <v>120</v>
      </c>
      <c r="AO779" t="s">
        <v>563</v>
      </c>
      <c r="AP779" t="s">
        <v>564</v>
      </c>
      <c r="AQ779" t="s">
        <v>74</v>
      </c>
      <c r="AR779" t="s">
        <v>565</v>
      </c>
      <c r="AS779" t="s">
        <v>566</v>
      </c>
      <c r="AT779" t="s">
        <v>14570</v>
      </c>
      <c r="AU779">
        <v>2012</v>
      </c>
      <c r="AV779">
        <v>117</v>
      </c>
      <c r="AW779" t="s">
        <v>74</v>
      </c>
      <c r="AX779" t="s">
        <v>74</v>
      </c>
      <c r="AY779" t="s">
        <v>74</v>
      </c>
      <c r="AZ779" t="s">
        <v>74</v>
      </c>
      <c r="BA779" t="s">
        <v>74</v>
      </c>
      <c r="BB779" t="s">
        <v>74</v>
      </c>
      <c r="BC779" t="s">
        <v>74</v>
      </c>
      <c r="BD779" t="s">
        <v>14589</v>
      </c>
      <c r="BE779" t="s">
        <v>14590</v>
      </c>
      <c r="BF779" t="str">
        <f>HYPERLINK("http://dx.doi.org/10.1029/2011JF002247","http://dx.doi.org/10.1029/2011JF002247")</f>
        <v>http://dx.doi.org/10.1029/2011JF002247</v>
      </c>
      <c r="BG779" t="s">
        <v>74</v>
      </c>
      <c r="BH779" t="s">
        <v>74</v>
      </c>
      <c r="BI779">
        <v>11</v>
      </c>
      <c r="BJ779" t="s">
        <v>461</v>
      </c>
      <c r="BK779" t="s">
        <v>98</v>
      </c>
      <c r="BL779" t="s">
        <v>462</v>
      </c>
      <c r="BM779" t="s">
        <v>14591</v>
      </c>
      <c r="BN779" t="s">
        <v>74</v>
      </c>
      <c r="BO779" t="s">
        <v>74</v>
      </c>
      <c r="BP779" t="s">
        <v>74</v>
      </c>
      <c r="BQ779" t="s">
        <v>74</v>
      </c>
      <c r="BR779" t="s">
        <v>101</v>
      </c>
      <c r="BS779" t="s">
        <v>14592</v>
      </c>
      <c r="BT779" t="str">
        <f>HYPERLINK("https%3A%2F%2Fwww.webofscience.com%2Fwos%2Fwoscc%2Ffull-record%2FWOS:000305994300002","View Full Record in Web of Science")</f>
        <v>View Full Record in Web of Science</v>
      </c>
    </row>
    <row r="780" spans="1:72" x14ac:dyDescent="0.15">
      <c r="A780" t="s">
        <v>72</v>
      </c>
      <c r="B780" t="s">
        <v>14575</v>
      </c>
      <c r="C780" t="s">
        <v>74</v>
      </c>
      <c r="D780" t="s">
        <v>74</v>
      </c>
      <c r="E780" t="s">
        <v>74</v>
      </c>
      <c r="F780" t="s">
        <v>14576</v>
      </c>
      <c r="G780" t="s">
        <v>74</v>
      </c>
      <c r="H780" t="s">
        <v>74</v>
      </c>
      <c r="I780" t="s">
        <v>14593</v>
      </c>
      <c r="J780" t="s">
        <v>551</v>
      </c>
      <c r="K780" t="s">
        <v>74</v>
      </c>
      <c r="L780" t="s">
        <v>74</v>
      </c>
      <c r="M780" t="s">
        <v>78</v>
      </c>
      <c r="N780" t="s">
        <v>79</v>
      </c>
      <c r="O780" t="s">
        <v>74</v>
      </c>
      <c r="P780" t="s">
        <v>74</v>
      </c>
      <c r="Q780" t="s">
        <v>74</v>
      </c>
      <c r="R780" t="s">
        <v>74</v>
      </c>
      <c r="S780" t="s">
        <v>74</v>
      </c>
      <c r="T780" t="s">
        <v>74</v>
      </c>
      <c r="U780" t="s">
        <v>14594</v>
      </c>
      <c r="V780" t="s">
        <v>14595</v>
      </c>
      <c r="W780" t="s">
        <v>14580</v>
      </c>
      <c r="X780" t="s">
        <v>14581</v>
      </c>
      <c r="Y780" t="s">
        <v>14582</v>
      </c>
      <c r="Z780" t="s">
        <v>14583</v>
      </c>
      <c r="AA780" t="s">
        <v>14584</v>
      </c>
      <c r="AB780" t="s">
        <v>14585</v>
      </c>
      <c r="AC780" t="s">
        <v>14596</v>
      </c>
      <c r="AD780" t="s">
        <v>14597</v>
      </c>
      <c r="AE780" t="s">
        <v>14588</v>
      </c>
      <c r="AF780" t="s">
        <v>74</v>
      </c>
      <c r="AG780">
        <v>57</v>
      </c>
      <c r="AH780">
        <v>37</v>
      </c>
      <c r="AI780">
        <v>39</v>
      </c>
      <c r="AJ780">
        <v>0</v>
      </c>
      <c r="AK780">
        <v>18</v>
      </c>
      <c r="AL780" t="s">
        <v>118</v>
      </c>
      <c r="AM780" t="s">
        <v>119</v>
      </c>
      <c r="AN780" t="s">
        <v>120</v>
      </c>
      <c r="AO780" t="s">
        <v>563</v>
      </c>
      <c r="AP780" t="s">
        <v>564</v>
      </c>
      <c r="AQ780" t="s">
        <v>74</v>
      </c>
      <c r="AR780" t="s">
        <v>565</v>
      </c>
      <c r="AS780" t="s">
        <v>566</v>
      </c>
      <c r="AT780" t="s">
        <v>14570</v>
      </c>
      <c r="AU780">
        <v>2012</v>
      </c>
      <c r="AV780">
        <v>117</v>
      </c>
      <c r="AW780" t="s">
        <v>74</v>
      </c>
      <c r="AX780" t="s">
        <v>74</v>
      </c>
      <c r="AY780" t="s">
        <v>74</v>
      </c>
      <c r="AZ780" t="s">
        <v>74</v>
      </c>
      <c r="BA780" t="s">
        <v>74</v>
      </c>
      <c r="BB780" t="s">
        <v>74</v>
      </c>
      <c r="BC780" t="s">
        <v>74</v>
      </c>
      <c r="BD780" t="s">
        <v>14598</v>
      </c>
      <c r="BE780" t="s">
        <v>14599</v>
      </c>
      <c r="BF780" t="str">
        <f>HYPERLINK("http://dx.doi.org/10.1029/2011JF002246","http://dx.doi.org/10.1029/2011JF002246")</f>
        <v>http://dx.doi.org/10.1029/2011JF002246</v>
      </c>
      <c r="BG780" t="s">
        <v>74</v>
      </c>
      <c r="BH780" t="s">
        <v>74</v>
      </c>
      <c r="BI780">
        <v>16</v>
      </c>
      <c r="BJ780" t="s">
        <v>461</v>
      </c>
      <c r="BK780" t="s">
        <v>98</v>
      </c>
      <c r="BL780" t="s">
        <v>462</v>
      </c>
      <c r="BM780" t="s">
        <v>14591</v>
      </c>
      <c r="BN780" t="s">
        <v>74</v>
      </c>
      <c r="BO780" t="s">
        <v>607</v>
      </c>
      <c r="BP780" t="s">
        <v>74</v>
      </c>
      <c r="BQ780" t="s">
        <v>74</v>
      </c>
      <c r="BR780" t="s">
        <v>101</v>
      </c>
      <c r="BS780" t="s">
        <v>14600</v>
      </c>
      <c r="BT780" t="str">
        <f>HYPERLINK("https%3A%2F%2Fwww.webofscience.com%2Fwos%2Fwoscc%2Ffull-record%2FWOS:000305994300001","View Full Record in Web of Science")</f>
        <v>View Full Record in Web of Science</v>
      </c>
    </row>
    <row r="781" spans="1:72" x14ac:dyDescent="0.15">
      <c r="A781" t="s">
        <v>72</v>
      </c>
      <c r="B781" t="s">
        <v>14601</v>
      </c>
      <c r="C781" t="s">
        <v>74</v>
      </c>
      <c r="D781" t="s">
        <v>74</v>
      </c>
      <c r="E781" t="s">
        <v>74</v>
      </c>
      <c r="F781" t="s">
        <v>14602</v>
      </c>
      <c r="G781" t="s">
        <v>74</v>
      </c>
      <c r="H781" t="s">
        <v>74</v>
      </c>
      <c r="I781" t="s">
        <v>14603</v>
      </c>
      <c r="J781" t="s">
        <v>3666</v>
      </c>
      <c r="K781" t="s">
        <v>74</v>
      </c>
      <c r="L781" t="s">
        <v>74</v>
      </c>
      <c r="M781" t="s">
        <v>78</v>
      </c>
      <c r="N781" t="s">
        <v>79</v>
      </c>
      <c r="O781" t="s">
        <v>74</v>
      </c>
      <c r="P781" t="s">
        <v>74</v>
      </c>
      <c r="Q781" t="s">
        <v>74</v>
      </c>
      <c r="R781" t="s">
        <v>74</v>
      </c>
      <c r="S781" t="s">
        <v>74</v>
      </c>
      <c r="T781" t="s">
        <v>74</v>
      </c>
      <c r="U781" t="s">
        <v>14604</v>
      </c>
      <c r="V781" t="s">
        <v>14605</v>
      </c>
      <c r="W781" t="s">
        <v>14606</v>
      </c>
      <c r="X781" t="s">
        <v>14607</v>
      </c>
      <c r="Y781" t="s">
        <v>14608</v>
      </c>
      <c r="Z781" t="s">
        <v>14609</v>
      </c>
      <c r="AA781" t="s">
        <v>14610</v>
      </c>
      <c r="AB781" t="s">
        <v>14611</v>
      </c>
      <c r="AC781" t="s">
        <v>14612</v>
      </c>
      <c r="AD781" t="s">
        <v>14613</v>
      </c>
      <c r="AE781" t="s">
        <v>14614</v>
      </c>
      <c r="AF781" t="s">
        <v>74</v>
      </c>
      <c r="AG781">
        <v>51</v>
      </c>
      <c r="AH781">
        <v>49</v>
      </c>
      <c r="AI781">
        <v>50</v>
      </c>
      <c r="AJ781">
        <v>0</v>
      </c>
      <c r="AK781">
        <v>22</v>
      </c>
      <c r="AL781" t="s">
        <v>118</v>
      </c>
      <c r="AM781" t="s">
        <v>119</v>
      </c>
      <c r="AN781" t="s">
        <v>120</v>
      </c>
      <c r="AO781" t="s">
        <v>3678</v>
      </c>
      <c r="AP781" t="s">
        <v>3679</v>
      </c>
      <c r="AQ781" t="s">
        <v>74</v>
      </c>
      <c r="AR781" t="s">
        <v>3680</v>
      </c>
      <c r="AS781" t="s">
        <v>3681</v>
      </c>
      <c r="AT781" t="s">
        <v>14570</v>
      </c>
      <c r="AU781">
        <v>2012</v>
      </c>
      <c r="AV781">
        <v>117</v>
      </c>
      <c r="AW781" t="s">
        <v>74</v>
      </c>
      <c r="AX781" t="s">
        <v>74</v>
      </c>
      <c r="AY781" t="s">
        <v>74</v>
      </c>
      <c r="AZ781" t="s">
        <v>74</v>
      </c>
      <c r="BA781" t="s">
        <v>74</v>
      </c>
      <c r="BB781" t="s">
        <v>74</v>
      </c>
      <c r="BC781" t="s">
        <v>74</v>
      </c>
      <c r="BD781" t="s">
        <v>14615</v>
      </c>
      <c r="BE781" t="s">
        <v>14616</v>
      </c>
      <c r="BF781" t="str">
        <f>HYPERLINK("http://dx.doi.org/10.1029/2011JC007838","http://dx.doi.org/10.1029/2011JC007838")</f>
        <v>http://dx.doi.org/10.1029/2011JC007838</v>
      </c>
      <c r="BG781" t="s">
        <v>74</v>
      </c>
      <c r="BH781" t="s">
        <v>74</v>
      </c>
      <c r="BI781">
        <v>16</v>
      </c>
      <c r="BJ781" t="s">
        <v>941</v>
      </c>
      <c r="BK781" t="s">
        <v>98</v>
      </c>
      <c r="BL781" t="s">
        <v>941</v>
      </c>
      <c r="BM781" t="s">
        <v>14617</v>
      </c>
      <c r="BN781" t="s">
        <v>74</v>
      </c>
      <c r="BO781" t="s">
        <v>464</v>
      </c>
      <c r="BP781" t="s">
        <v>74</v>
      </c>
      <c r="BQ781" t="s">
        <v>74</v>
      </c>
      <c r="BR781" t="s">
        <v>101</v>
      </c>
      <c r="BS781" t="s">
        <v>14618</v>
      </c>
      <c r="BT781" t="str">
        <f>HYPERLINK("https%3A%2F%2Fwww.webofscience.com%2Fwos%2Fwoscc%2Ffull-record%2FWOS:000306003400001","View Full Record in Web of Science")</f>
        <v>View Full Record in Web of Science</v>
      </c>
    </row>
    <row r="782" spans="1:72" x14ac:dyDescent="0.15">
      <c r="A782" t="s">
        <v>72</v>
      </c>
      <c r="B782" t="s">
        <v>14619</v>
      </c>
      <c r="C782" t="s">
        <v>74</v>
      </c>
      <c r="D782" t="s">
        <v>74</v>
      </c>
      <c r="E782" t="s">
        <v>74</v>
      </c>
      <c r="F782" t="s">
        <v>14620</v>
      </c>
      <c r="G782" t="s">
        <v>74</v>
      </c>
      <c r="H782" t="s">
        <v>74</v>
      </c>
      <c r="I782" t="s">
        <v>14621</v>
      </c>
      <c r="J782" t="s">
        <v>421</v>
      </c>
      <c r="K782" t="s">
        <v>74</v>
      </c>
      <c r="L782" t="s">
        <v>74</v>
      </c>
      <c r="M782" t="s">
        <v>78</v>
      </c>
      <c r="N782" t="s">
        <v>807</v>
      </c>
      <c r="O782" t="s">
        <v>74</v>
      </c>
      <c r="P782" t="s">
        <v>74</v>
      </c>
      <c r="Q782" t="s">
        <v>74</v>
      </c>
      <c r="R782" t="s">
        <v>74</v>
      </c>
      <c r="S782" t="s">
        <v>74</v>
      </c>
      <c r="T782" t="s">
        <v>74</v>
      </c>
      <c r="U782" t="s">
        <v>14622</v>
      </c>
      <c r="V782" t="s">
        <v>74</v>
      </c>
      <c r="W782" t="s">
        <v>14623</v>
      </c>
      <c r="X782" t="s">
        <v>14624</v>
      </c>
      <c r="Y782" t="s">
        <v>14625</v>
      </c>
      <c r="Z782" t="s">
        <v>14626</v>
      </c>
      <c r="AA782" t="s">
        <v>14627</v>
      </c>
      <c r="AB782" t="s">
        <v>14628</v>
      </c>
      <c r="AC782" t="s">
        <v>74</v>
      </c>
      <c r="AD782" t="s">
        <v>74</v>
      </c>
      <c r="AE782" t="s">
        <v>74</v>
      </c>
      <c r="AF782" t="s">
        <v>74</v>
      </c>
      <c r="AG782">
        <v>9</v>
      </c>
      <c r="AH782">
        <v>50</v>
      </c>
      <c r="AI782">
        <v>55</v>
      </c>
      <c r="AJ782">
        <v>1</v>
      </c>
      <c r="AK782">
        <v>54</v>
      </c>
      <c r="AL782" t="s">
        <v>6956</v>
      </c>
      <c r="AM782" t="s">
        <v>6957</v>
      </c>
      <c r="AN782" t="s">
        <v>6958</v>
      </c>
      <c r="AO782" t="s">
        <v>436</v>
      </c>
      <c r="AP782" t="s">
        <v>3383</v>
      </c>
      <c r="AQ782" t="s">
        <v>74</v>
      </c>
      <c r="AR782" t="s">
        <v>421</v>
      </c>
      <c r="AS782" t="s">
        <v>437</v>
      </c>
      <c r="AT782" t="s">
        <v>14629</v>
      </c>
      <c r="AU782">
        <v>2012</v>
      </c>
      <c r="AV782">
        <v>486</v>
      </c>
      <c r="AW782">
        <v>7404</v>
      </c>
      <c r="AX782" t="s">
        <v>74</v>
      </c>
      <c r="AY782" t="s">
        <v>74</v>
      </c>
      <c r="AZ782" t="s">
        <v>74</v>
      </c>
      <c r="BA782" t="s">
        <v>74</v>
      </c>
      <c r="BB782" t="s">
        <v>14630</v>
      </c>
      <c r="BC782" t="s">
        <v>14631</v>
      </c>
      <c r="BD782" t="s">
        <v>74</v>
      </c>
      <c r="BE782" t="s">
        <v>14632</v>
      </c>
      <c r="BF782" t="str">
        <f>HYPERLINK("http://dx.doi.org/10.1038/nature11175","http://dx.doi.org/10.1038/nature11175")</f>
        <v>http://dx.doi.org/10.1038/nature11175</v>
      </c>
      <c r="BG782" t="s">
        <v>74</v>
      </c>
      <c r="BH782" t="s">
        <v>74</v>
      </c>
      <c r="BI782">
        <v>2</v>
      </c>
      <c r="BJ782" t="s">
        <v>153</v>
      </c>
      <c r="BK782" t="s">
        <v>98</v>
      </c>
      <c r="BL782" t="s">
        <v>154</v>
      </c>
      <c r="BM782" t="s">
        <v>14633</v>
      </c>
      <c r="BN782">
        <v>22739319</v>
      </c>
      <c r="BO782" t="s">
        <v>74</v>
      </c>
      <c r="BP782" t="s">
        <v>74</v>
      </c>
      <c r="BQ782" t="s">
        <v>74</v>
      </c>
      <c r="BR782" t="s">
        <v>101</v>
      </c>
      <c r="BS782" t="s">
        <v>14634</v>
      </c>
      <c r="BT782" t="str">
        <f>HYPERLINK("https%3A%2F%2Fwww.webofscience.com%2Fwos%2Fwoscc%2Ffull-record%2FWOS:000305760600001","View Full Record in Web of Science")</f>
        <v>View Full Record in Web of Science</v>
      </c>
    </row>
    <row r="783" spans="1:72" x14ac:dyDescent="0.15">
      <c r="A783" t="s">
        <v>72</v>
      </c>
      <c r="B783" t="s">
        <v>14635</v>
      </c>
      <c r="C783" t="s">
        <v>74</v>
      </c>
      <c r="D783" t="s">
        <v>74</v>
      </c>
      <c r="E783" t="s">
        <v>74</v>
      </c>
      <c r="F783" t="s">
        <v>14636</v>
      </c>
      <c r="G783" t="s">
        <v>74</v>
      </c>
      <c r="H783" t="s">
        <v>74</v>
      </c>
      <c r="I783" t="s">
        <v>14637</v>
      </c>
      <c r="J783" t="s">
        <v>444</v>
      </c>
      <c r="K783" t="s">
        <v>74</v>
      </c>
      <c r="L783" t="s">
        <v>74</v>
      </c>
      <c r="M783" t="s">
        <v>78</v>
      </c>
      <c r="N783" t="s">
        <v>79</v>
      </c>
      <c r="O783" t="s">
        <v>74</v>
      </c>
      <c r="P783" t="s">
        <v>74</v>
      </c>
      <c r="Q783" t="s">
        <v>74</v>
      </c>
      <c r="R783" t="s">
        <v>74</v>
      </c>
      <c r="S783" t="s">
        <v>74</v>
      </c>
      <c r="T783" t="s">
        <v>74</v>
      </c>
      <c r="U783" t="s">
        <v>14638</v>
      </c>
      <c r="V783" t="s">
        <v>14639</v>
      </c>
      <c r="W783" t="s">
        <v>14640</v>
      </c>
      <c r="X783" t="s">
        <v>14641</v>
      </c>
      <c r="Y783" t="s">
        <v>14642</v>
      </c>
      <c r="Z783" t="s">
        <v>14643</v>
      </c>
      <c r="AA783" t="s">
        <v>14644</v>
      </c>
      <c r="AB783" t="s">
        <v>14645</v>
      </c>
      <c r="AC783" t="s">
        <v>14646</v>
      </c>
      <c r="AD783" t="s">
        <v>14647</v>
      </c>
      <c r="AE783" t="s">
        <v>14648</v>
      </c>
      <c r="AF783" t="s">
        <v>74</v>
      </c>
      <c r="AG783">
        <v>40</v>
      </c>
      <c r="AH783">
        <v>15</v>
      </c>
      <c r="AI783">
        <v>17</v>
      </c>
      <c r="AJ783">
        <v>1</v>
      </c>
      <c r="AK783">
        <v>33</v>
      </c>
      <c r="AL783" t="s">
        <v>118</v>
      </c>
      <c r="AM783" t="s">
        <v>119</v>
      </c>
      <c r="AN783" t="s">
        <v>120</v>
      </c>
      <c r="AO783" t="s">
        <v>454</v>
      </c>
      <c r="AP783" t="s">
        <v>74</v>
      </c>
      <c r="AQ783" t="s">
        <v>74</v>
      </c>
      <c r="AR783" t="s">
        <v>456</v>
      </c>
      <c r="AS783" t="s">
        <v>457</v>
      </c>
      <c r="AT783" t="s">
        <v>14629</v>
      </c>
      <c r="AU783">
        <v>2012</v>
      </c>
      <c r="AV783">
        <v>39</v>
      </c>
      <c r="AW783" t="s">
        <v>74</v>
      </c>
      <c r="AX783" t="s">
        <v>74</v>
      </c>
      <c r="AY783" t="s">
        <v>74</v>
      </c>
      <c r="AZ783" t="s">
        <v>74</v>
      </c>
      <c r="BA783" t="s">
        <v>74</v>
      </c>
      <c r="BB783" t="s">
        <v>74</v>
      </c>
      <c r="BC783" t="s">
        <v>74</v>
      </c>
      <c r="BD783" t="s">
        <v>14649</v>
      </c>
      <c r="BE783" t="s">
        <v>14650</v>
      </c>
      <c r="BF783" t="str">
        <f>HYPERLINK("http://dx.doi.org/10.1029/2012GL051866","http://dx.doi.org/10.1029/2012GL051866")</f>
        <v>http://dx.doi.org/10.1029/2012GL051866</v>
      </c>
      <c r="BG783" t="s">
        <v>74</v>
      </c>
      <c r="BH783" t="s">
        <v>74</v>
      </c>
      <c r="BI783">
        <v>7</v>
      </c>
      <c r="BJ783" t="s">
        <v>461</v>
      </c>
      <c r="BK783" t="s">
        <v>98</v>
      </c>
      <c r="BL783" t="s">
        <v>462</v>
      </c>
      <c r="BM783" t="s">
        <v>14651</v>
      </c>
      <c r="BN783" t="s">
        <v>74</v>
      </c>
      <c r="BO783" t="s">
        <v>464</v>
      </c>
      <c r="BP783" t="s">
        <v>74</v>
      </c>
      <c r="BQ783" t="s">
        <v>74</v>
      </c>
      <c r="BR783" t="s">
        <v>101</v>
      </c>
      <c r="BS783" t="s">
        <v>14652</v>
      </c>
      <c r="BT783" t="str">
        <f>HYPERLINK("https%3A%2F%2Fwww.webofscience.com%2Fwos%2Fwoscc%2Ffull-record%2FWOS:000305989600004","View Full Record in Web of Science")</f>
        <v>View Full Record in Web of Science</v>
      </c>
    </row>
    <row r="784" spans="1:72" x14ac:dyDescent="0.15">
      <c r="A784" t="s">
        <v>72</v>
      </c>
      <c r="B784" t="s">
        <v>14653</v>
      </c>
      <c r="C784" t="s">
        <v>74</v>
      </c>
      <c r="D784" t="s">
        <v>74</v>
      </c>
      <c r="E784" t="s">
        <v>74</v>
      </c>
      <c r="F784" t="s">
        <v>14654</v>
      </c>
      <c r="G784" t="s">
        <v>74</v>
      </c>
      <c r="H784" t="s">
        <v>74</v>
      </c>
      <c r="I784" t="s">
        <v>14655</v>
      </c>
      <c r="J784" t="s">
        <v>3666</v>
      </c>
      <c r="K784" t="s">
        <v>74</v>
      </c>
      <c r="L784" t="s">
        <v>74</v>
      </c>
      <c r="M784" t="s">
        <v>78</v>
      </c>
      <c r="N784" t="s">
        <v>79</v>
      </c>
      <c r="O784" t="s">
        <v>74</v>
      </c>
      <c r="P784" t="s">
        <v>74</v>
      </c>
      <c r="Q784" t="s">
        <v>74</v>
      </c>
      <c r="R784" t="s">
        <v>74</v>
      </c>
      <c r="S784" t="s">
        <v>74</v>
      </c>
      <c r="T784" t="s">
        <v>74</v>
      </c>
      <c r="U784" t="s">
        <v>14656</v>
      </c>
      <c r="V784" t="s">
        <v>14657</v>
      </c>
      <c r="W784" t="s">
        <v>14658</v>
      </c>
      <c r="X784" t="s">
        <v>14659</v>
      </c>
      <c r="Y784" t="s">
        <v>14660</v>
      </c>
      <c r="Z784" t="s">
        <v>14661</v>
      </c>
      <c r="AA784" t="s">
        <v>14662</v>
      </c>
      <c r="AB784" t="s">
        <v>14663</v>
      </c>
      <c r="AC784" t="s">
        <v>14664</v>
      </c>
      <c r="AD784" t="s">
        <v>14665</v>
      </c>
      <c r="AE784" t="s">
        <v>14666</v>
      </c>
      <c r="AF784" t="s">
        <v>74</v>
      </c>
      <c r="AG784">
        <v>28</v>
      </c>
      <c r="AH784">
        <v>19</v>
      </c>
      <c r="AI784">
        <v>25</v>
      </c>
      <c r="AJ784">
        <v>1</v>
      </c>
      <c r="AK784">
        <v>25</v>
      </c>
      <c r="AL784" t="s">
        <v>118</v>
      </c>
      <c r="AM784" t="s">
        <v>119</v>
      </c>
      <c r="AN784" t="s">
        <v>120</v>
      </c>
      <c r="AO784" t="s">
        <v>74</v>
      </c>
      <c r="AP784" t="s">
        <v>3679</v>
      </c>
      <c r="AQ784" t="s">
        <v>74</v>
      </c>
      <c r="AR784" t="s">
        <v>3680</v>
      </c>
      <c r="AS784" t="s">
        <v>3681</v>
      </c>
      <c r="AT784" t="s">
        <v>14629</v>
      </c>
      <c r="AU784">
        <v>2012</v>
      </c>
      <c r="AV784">
        <v>117</v>
      </c>
      <c r="AW784" t="s">
        <v>74</v>
      </c>
      <c r="AX784" t="s">
        <v>74</v>
      </c>
      <c r="AY784" t="s">
        <v>74</v>
      </c>
      <c r="AZ784" t="s">
        <v>74</v>
      </c>
      <c r="BA784" t="s">
        <v>74</v>
      </c>
      <c r="BB784" t="s">
        <v>74</v>
      </c>
      <c r="BC784" t="s">
        <v>74</v>
      </c>
      <c r="BD784" t="s">
        <v>14667</v>
      </c>
      <c r="BE784" t="s">
        <v>14668</v>
      </c>
      <c r="BF784" t="str">
        <f>HYPERLINK("http://dx.doi.org/10.1029/2011JC007800","http://dx.doi.org/10.1029/2011JC007800")</f>
        <v>http://dx.doi.org/10.1029/2011JC007800</v>
      </c>
      <c r="BG784" t="s">
        <v>74</v>
      </c>
      <c r="BH784" t="s">
        <v>74</v>
      </c>
      <c r="BI784">
        <v>13</v>
      </c>
      <c r="BJ784" t="s">
        <v>941</v>
      </c>
      <c r="BK784" t="s">
        <v>98</v>
      </c>
      <c r="BL784" t="s">
        <v>941</v>
      </c>
      <c r="BM784" t="s">
        <v>14669</v>
      </c>
      <c r="BN784" t="s">
        <v>74</v>
      </c>
      <c r="BO784" t="s">
        <v>1458</v>
      </c>
      <c r="BP784" t="s">
        <v>74</v>
      </c>
      <c r="BQ784" t="s">
        <v>74</v>
      </c>
      <c r="BR784" t="s">
        <v>101</v>
      </c>
      <c r="BS784" t="s">
        <v>14670</v>
      </c>
      <c r="BT784" t="str">
        <f>HYPERLINK("https%3A%2F%2Fwww.webofscience.com%2Fwos%2Fwoscc%2Ffull-record%2FWOS:000306003300002","View Full Record in Web of Science")</f>
        <v>View Full Record in Web of Science</v>
      </c>
    </row>
    <row r="785" spans="1:72" x14ac:dyDescent="0.15">
      <c r="A785" t="s">
        <v>72</v>
      </c>
      <c r="B785" t="s">
        <v>14671</v>
      </c>
      <c r="C785" t="s">
        <v>74</v>
      </c>
      <c r="D785" t="s">
        <v>74</v>
      </c>
      <c r="E785" t="s">
        <v>74</v>
      </c>
      <c r="F785" t="s">
        <v>14672</v>
      </c>
      <c r="G785" t="s">
        <v>74</v>
      </c>
      <c r="H785" t="s">
        <v>74</v>
      </c>
      <c r="I785" t="s">
        <v>14673</v>
      </c>
      <c r="J785" t="s">
        <v>3733</v>
      </c>
      <c r="K785" t="s">
        <v>74</v>
      </c>
      <c r="L785" t="s">
        <v>74</v>
      </c>
      <c r="M785" t="s">
        <v>78</v>
      </c>
      <c r="N785" t="s">
        <v>79</v>
      </c>
      <c r="O785" t="s">
        <v>74</v>
      </c>
      <c r="P785" t="s">
        <v>74</v>
      </c>
      <c r="Q785" t="s">
        <v>74</v>
      </c>
      <c r="R785" t="s">
        <v>74</v>
      </c>
      <c r="S785" t="s">
        <v>74</v>
      </c>
      <c r="T785" t="s">
        <v>74</v>
      </c>
      <c r="U785" t="s">
        <v>14674</v>
      </c>
      <c r="V785" t="s">
        <v>14675</v>
      </c>
      <c r="W785" t="s">
        <v>14676</v>
      </c>
      <c r="X785" t="s">
        <v>14677</v>
      </c>
      <c r="Y785" t="s">
        <v>14678</v>
      </c>
      <c r="Z785" t="s">
        <v>14679</v>
      </c>
      <c r="AA785" t="s">
        <v>14680</v>
      </c>
      <c r="AB785" t="s">
        <v>14681</v>
      </c>
      <c r="AC785" t="s">
        <v>14682</v>
      </c>
      <c r="AD785" t="s">
        <v>14683</v>
      </c>
      <c r="AE785" t="s">
        <v>14684</v>
      </c>
      <c r="AF785" t="s">
        <v>74</v>
      </c>
      <c r="AG785">
        <v>40</v>
      </c>
      <c r="AH785">
        <v>61</v>
      </c>
      <c r="AI785">
        <v>69</v>
      </c>
      <c r="AJ785">
        <v>1</v>
      </c>
      <c r="AK785">
        <v>43</v>
      </c>
      <c r="AL785" t="s">
        <v>118</v>
      </c>
      <c r="AM785" t="s">
        <v>119</v>
      </c>
      <c r="AN785" t="s">
        <v>120</v>
      </c>
      <c r="AO785" t="s">
        <v>3745</v>
      </c>
      <c r="AP785" t="s">
        <v>3746</v>
      </c>
      <c r="AQ785" t="s">
        <v>74</v>
      </c>
      <c r="AR785" t="s">
        <v>3733</v>
      </c>
      <c r="AS785" t="s">
        <v>3747</v>
      </c>
      <c r="AT785" t="s">
        <v>14629</v>
      </c>
      <c r="AU785">
        <v>2012</v>
      </c>
      <c r="AV785">
        <v>27</v>
      </c>
      <c r="AW785" t="s">
        <v>74</v>
      </c>
      <c r="AX785" t="s">
        <v>74</v>
      </c>
      <c r="AY785" t="s">
        <v>74</v>
      </c>
      <c r="AZ785" t="s">
        <v>74</v>
      </c>
      <c r="BA785" t="s">
        <v>74</v>
      </c>
      <c r="BB785" t="s">
        <v>74</v>
      </c>
      <c r="BC785" t="s">
        <v>74</v>
      </c>
      <c r="BD785" t="s">
        <v>14685</v>
      </c>
      <c r="BE785" t="s">
        <v>14686</v>
      </c>
      <c r="BF785" t="str">
        <f>HYPERLINK("http://dx.doi.org/10.1029/2012PA002308","http://dx.doi.org/10.1029/2012PA002308")</f>
        <v>http://dx.doi.org/10.1029/2012PA002308</v>
      </c>
      <c r="BG785" t="s">
        <v>74</v>
      </c>
      <c r="BH785" t="s">
        <v>74</v>
      </c>
      <c r="BI785">
        <v>19</v>
      </c>
      <c r="BJ785" t="s">
        <v>3750</v>
      </c>
      <c r="BK785" t="s">
        <v>98</v>
      </c>
      <c r="BL785" t="s">
        <v>3751</v>
      </c>
      <c r="BM785" t="s">
        <v>14687</v>
      </c>
      <c r="BN785" t="s">
        <v>74</v>
      </c>
      <c r="BO785" t="s">
        <v>607</v>
      </c>
      <c r="BP785" t="s">
        <v>74</v>
      </c>
      <c r="BQ785" t="s">
        <v>74</v>
      </c>
      <c r="BR785" t="s">
        <v>101</v>
      </c>
      <c r="BS785" t="s">
        <v>14688</v>
      </c>
      <c r="BT785" t="str">
        <f>HYPERLINK("https%3A%2F%2Fwww.webofscience.com%2Fwos%2Fwoscc%2Ffull-record%2FWOS:000305998200001","View Full Record in Web of Science")</f>
        <v>View Full Record in Web of Science</v>
      </c>
    </row>
    <row r="786" spans="1:72" x14ac:dyDescent="0.15">
      <c r="A786" t="s">
        <v>72</v>
      </c>
      <c r="B786" t="s">
        <v>14689</v>
      </c>
      <c r="C786" t="s">
        <v>74</v>
      </c>
      <c r="D786" t="s">
        <v>74</v>
      </c>
      <c r="E786" t="s">
        <v>74</v>
      </c>
      <c r="F786" t="s">
        <v>14690</v>
      </c>
      <c r="G786" t="s">
        <v>74</v>
      </c>
      <c r="H786" t="s">
        <v>74</v>
      </c>
      <c r="I786" t="s">
        <v>14691</v>
      </c>
      <c r="J786" t="s">
        <v>9536</v>
      </c>
      <c r="K786" t="s">
        <v>74</v>
      </c>
      <c r="L786" t="s">
        <v>74</v>
      </c>
      <c r="M786" t="s">
        <v>78</v>
      </c>
      <c r="N786" t="s">
        <v>79</v>
      </c>
      <c r="O786" t="s">
        <v>74</v>
      </c>
      <c r="P786" t="s">
        <v>74</v>
      </c>
      <c r="Q786" t="s">
        <v>74</v>
      </c>
      <c r="R786" t="s">
        <v>74</v>
      </c>
      <c r="S786" t="s">
        <v>74</v>
      </c>
      <c r="T786" t="s">
        <v>74</v>
      </c>
      <c r="U786" t="s">
        <v>14692</v>
      </c>
      <c r="V786" t="s">
        <v>14693</v>
      </c>
      <c r="W786" t="s">
        <v>14694</v>
      </c>
      <c r="X786" t="s">
        <v>14695</v>
      </c>
      <c r="Y786" t="s">
        <v>14696</v>
      </c>
      <c r="Z786" t="s">
        <v>14697</v>
      </c>
      <c r="AA786" t="s">
        <v>14698</v>
      </c>
      <c r="AB786" t="s">
        <v>14699</v>
      </c>
      <c r="AC786" t="s">
        <v>14700</v>
      </c>
      <c r="AD786" t="s">
        <v>14701</v>
      </c>
      <c r="AE786" t="s">
        <v>14702</v>
      </c>
      <c r="AF786" t="s">
        <v>74</v>
      </c>
      <c r="AG786">
        <v>55</v>
      </c>
      <c r="AH786">
        <v>28</v>
      </c>
      <c r="AI786">
        <v>28</v>
      </c>
      <c r="AJ786">
        <v>1</v>
      </c>
      <c r="AK786">
        <v>22</v>
      </c>
      <c r="AL786" t="s">
        <v>118</v>
      </c>
      <c r="AM786" t="s">
        <v>119</v>
      </c>
      <c r="AN786" t="s">
        <v>120</v>
      </c>
      <c r="AO786" t="s">
        <v>9548</v>
      </c>
      <c r="AP786" t="s">
        <v>9549</v>
      </c>
      <c r="AQ786" t="s">
        <v>74</v>
      </c>
      <c r="AR786" t="s">
        <v>9550</v>
      </c>
      <c r="AS786" t="s">
        <v>9551</v>
      </c>
      <c r="AT786" t="s">
        <v>14703</v>
      </c>
      <c r="AU786">
        <v>2012</v>
      </c>
      <c r="AV786">
        <v>26</v>
      </c>
      <c r="AW786" t="s">
        <v>74</v>
      </c>
      <c r="AX786" t="s">
        <v>74</v>
      </c>
      <c r="AY786" t="s">
        <v>74</v>
      </c>
      <c r="AZ786" t="s">
        <v>74</v>
      </c>
      <c r="BA786" t="s">
        <v>74</v>
      </c>
      <c r="BB786" t="s">
        <v>74</v>
      </c>
      <c r="BC786" t="s">
        <v>74</v>
      </c>
      <c r="BD786" t="s">
        <v>14704</v>
      </c>
      <c r="BE786" t="s">
        <v>14705</v>
      </c>
      <c r="BF786" t="str">
        <f>HYPERLINK("http://dx.doi.org/10.1029/2010GB004017","http://dx.doi.org/10.1029/2010GB004017")</f>
        <v>http://dx.doi.org/10.1029/2010GB004017</v>
      </c>
      <c r="BG786" t="s">
        <v>74</v>
      </c>
      <c r="BH786" t="s">
        <v>74</v>
      </c>
      <c r="BI786">
        <v>12</v>
      </c>
      <c r="BJ786" t="s">
        <v>9554</v>
      </c>
      <c r="BK786" t="s">
        <v>98</v>
      </c>
      <c r="BL786" t="s">
        <v>9555</v>
      </c>
      <c r="BM786" t="s">
        <v>14706</v>
      </c>
      <c r="BN786" t="s">
        <v>74</v>
      </c>
      <c r="BO786" t="s">
        <v>14707</v>
      </c>
      <c r="BP786" t="s">
        <v>74</v>
      </c>
      <c r="BQ786" t="s">
        <v>74</v>
      </c>
      <c r="BR786" t="s">
        <v>101</v>
      </c>
      <c r="BS786" t="s">
        <v>14708</v>
      </c>
      <c r="BT786" t="str">
        <f>HYPERLINK("https%3A%2F%2Fwww.webofscience.com%2Fwos%2Fwoscc%2Ffull-record%2FWOS:000305992200001","View Full Record in Web of Science")</f>
        <v>View Full Record in Web of Science</v>
      </c>
    </row>
    <row r="787" spans="1:72" x14ac:dyDescent="0.15">
      <c r="A787" t="s">
        <v>72</v>
      </c>
      <c r="B787" t="s">
        <v>14709</v>
      </c>
      <c r="C787" t="s">
        <v>74</v>
      </c>
      <c r="D787" t="s">
        <v>74</v>
      </c>
      <c r="E787" t="s">
        <v>74</v>
      </c>
      <c r="F787" t="s">
        <v>14710</v>
      </c>
      <c r="G787" t="s">
        <v>74</v>
      </c>
      <c r="H787" t="s">
        <v>74</v>
      </c>
      <c r="I787" t="s">
        <v>14711</v>
      </c>
      <c r="J787" t="s">
        <v>14712</v>
      </c>
      <c r="K787" t="s">
        <v>74</v>
      </c>
      <c r="L787" t="s">
        <v>74</v>
      </c>
      <c r="M787" t="s">
        <v>78</v>
      </c>
      <c r="N787" t="s">
        <v>79</v>
      </c>
      <c r="O787" t="s">
        <v>74</v>
      </c>
      <c r="P787" t="s">
        <v>74</v>
      </c>
      <c r="Q787" t="s">
        <v>74</v>
      </c>
      <c r="R787" t="s">
        <v>74</v>
      </c>
      <c r="S787" t="s">
        <v>74</v>
      </c>
      <c r="T787" t="s">
        <v>74</v>
      </c>
      <c r="U787" t="s">
        <v>14713</v>
      </c>
      <c r="V787" t="s">
        <v>14714</v>
      </c>
      <c r="W787" t="s">
        <v>14715</v>
      </c>
      <c r="X787" t="s">
        <v>14716</v>
      </c>
      <c r="Y787" t="s">
        <v>14717</v>
      </c>
      <c r="Z787" t="s">
        <v>11770</v>
      </c>
      <c r="AA787" t="s">
        <v>14718</v>
      </c>
      <c r="AB787" t="s">
        <v>14719</v>
      </c>
      <c r="AC787" t="s">
        <v>14720</v>
      </c>
      <c r="AD787" t="s">
        <v>14721</v>
      </c>
      <c r="AE787" t="s">
        <v>14722</v>
      </c>
      <c r="AF787" t="s">
        <v>74</v>
      </c>
      <c r="AG787">
        <v>64</v>
      </c>
      <c r="AH787">
        <v>76</v>
      </c>
      <c r="AI787">
        <v>80</v>
      </c>
      <c r="AJ787">
        <v>0</v>
      </c>
      <c r="AK787">
        <v>60</v>
      </c>
      <c r="AL787" t="s">
        <v>118</v>
      </c>
      <c r="AM787" t="s">
        <v>119</v>
      </c>
      <c r="AN787" t="s">
        <v>120</v>
      </c>
      <c r="AO787" t="s">
        <v>14723</v>
      </c>
      <c r="AP787" t="s">
        <v>14724</v>
      </c>
      <c r="AQ787" t="s">
        <v>74</v>
      </c>
      <c r="AR787" t="s">
        <v>14725</v>
      </c>
      <c r="AS787" t="s">
        <v>14726</v>
      </c>
      <c r="AT787" t="s">
        <v>14727</v>
      </c>
      <c r="AU787">
        <v>2012</v>
      </c>
      <c r="AV787">
        <v>117</v>
      </c>
      <c r="AW787" t="s">
        <v>74</v>
      </c>
      <c r="AX787" t="s">
        <v>74</v>
      </c>
      <c r="AY787" t="s">
        <v>74</v>
      </c>
      <c r="AZ787" t="s">
        <v>74</v>
      </c>
      <c r="BA787" t="s">
        <v>74</v>
      </c>
      <c r="BB787" t="s">
        <v>74</v>
      </c>
      <c r="BC787" t="s">
        <v>74</v>
      </c>
      <c r="BD787" t="s">
        <v>14728</v>
      </c>
      <c r="BE787" t="s">
        <v>14729</v>
      </c>
      <c r="BF787" t="str">
        <f>HYPERLINK("http://dx.doi.org/10.1029/2012JG001961","http://dx.doi.org/10.1029/2012JG001961")</f>
        <v>http://dx.doi.org/10.1029/2012JG001961</v>
      </c>
      <c r="BG787" t="s">
        <v>74</v>
      </c>
      <c r="BH787" t="s">
        <v>74</v>
      </c>
      <c r="BI787">
        <v>10</v>
      </c>
      <c r="BJ787" t="s">
        <v>7550</v>
      </c>
      <c r="BK787" t="s">
        <v>98</v>
      </c>
      <c r="BL787" t="s">
        <v>7551</v>
      </c>
      <c r="BM787" t="s">
        <v>14730</v>
      </c>
      <c r="BN787" t="s">
        <v>74</v>
      </c>
      <c r="BO787" t="s">
        <v>607</v>
      </c>
      <c r="BP787" t="s">
        <v>74</v>
      </c>
      <c r="BQ787" t="s">
        <v>74</v>
      </c>
      <c r="BR787" t="s">
        <v>101</v>
      </c>
      <c r="BS787" t="s">
        <v>14731</v>
      </c>
      <c r="BT787" t="str">
        <f>HYPERLINK("https%3A%2F%2Fwww.webofscience.com%2Fwos%2Fwoscc%2Ffull-record%2FWOS:000306002200002","View Full Record in Web of Science")</f>
        <v>View Full Record in Web of Science</v>
      </c>
    </row>
    <row r="788" spans="1:72" x14ac:dyDescent="0.15">
      <c r="A788" t="s">
        <v>72</v>
      </c>
      <c r="B788" t="s">
        <v>14732</v>
      </c>
      <c r="C788" t="s">
        <v>74</v>
      </c>
      <c r="D788" t="s">
        <v>74</v>
      </c>
      <c r="E788" t="s">
        <v>74</v>
      </c>
      <c r="F788" t="s">
        <v>14733</v>
      </c>
      <c r="G788" t="s">
        <v>74</v>
      </c>
      <c r="H788" t="s">
        <v>74</v>
      </c>
      <c r="I788" t="s">
        <v>14734</v>
      </c>
      <c r="J788" t="s">
        <v>3145</v>
      </c>
      <c r="K788" t="s">
        <v>74</v>
      </c>
      <c r="L788" t="s">
        <v>74</v>
      </c>
      <c r="M788" t="s">
        <v>78</v>
      </c>
      <c r="N788" t="s">
        <v>79</v>
      </c>
      <c r="O788" t="s">
        <v>74</v>
      </c>
      <c r="P788" t="s">
        <v>74</v>
      </c>
      <c r="Q788" t="s">
        <v>74</v>
      </c>
      <c r="R788" t="s">
        <v>74</v>
      </c>
      <c r="S788" t="s">
        <v>74</v>
      </c>
      <c r="T788" t="s">
        <v>14735</v>
      </c>
      <c r="U788" t="s">
        <v>14736</v>
      </c>
      <c r="V788" t="s">
        <v>14737</v>
      </c>
      <c r="W788" t="s">
        <v>14738</v>
      </c>
      <c r="X788" t="s">
        <v>14739</v>
      </c>
      <c r="Y788" t="s">
        <v>14740</v>
      </c>
      <c r="Z788" t="s">
        <v>14741</v>
      </c>
      <c r="AA788" t="s">
        <v>14742</v>
      </c>
      <c r="AB788" t="s">
        <v>14743</v>
      </c>
      <c r="AC788" t="s">
        <v>14744</v>
      </c>
      <c r="AD788" t="s">
        <v>14745</v>
      </c>
      <c r="AE788" t="s">
        <v>14746</v>
      </c>
      <c r="AF788" t="s">
        <v>74</v>
      </c>
      <c r="AG788">
        <v>58</v>
      </c>
      <c r="AH788">
        <v>91</v>
      </c>
      <c r="AI788">
        <v>108</v>
      </c>
      <c r="AJ788">
        <v>2</v>
      </c>
      <c r="AK788">
        <v>70</v>
      </c>
      <c r="AL788" t="s">
        <v>3158</v>
      </c>
      <c r="AM788" t="s">
        <v>119</v>
      </c>
      <c r="AN788" t="s">
        <v>3159</v>
      </c>
      <c r="AO788" t="s">
        <v>3160</v>
      </c>
      <c r="AP788" t="s">
        <v>74</v>
      </c>
      <c r="AQ788" t="s">
        <v>74</v>
      </c>
      <c r="AR788" t="s">
        <v>3161</v>
      </c>
      <c r="AS788" t="s">
        <v>3162</v>
      </c>
      <c r="AT788" t="s">
        <v>14727</v>
      </c>
      <c r="AU788">
        <v>2012</v>
      </c>
      <c r="AV788">
        <v>109</v>
      </c>
      <c r="AW788">
        <v>26</v>
      </c>
      <c r="AX788" t="s">
        <v>74</v>
      </c>
      <c r="AY788" t="s">
        <v>74</v>
      </c>
      <c r="AZ788" t="s">
        <v>74</v>
      </c>
      <c r="BA788" t="s">
        <v>74</v>
      </c>
      <c r="BB788" t="s">
        <v>14747</v>
      </c>
      <c r="BC788" t="s">
        <v>14748</v>
      </c>
      <c r="BD788" t="s">
        <v>74</v>
      </c>
      <c r="BE788" t="s">
        <v>14749</v>
      </c>
      <c r="BF788" t="str">
        <f>HYPERLINK("http://dx.doi.org/10.1073/pnas.1201731109","http://dx.doi.org/10.1073/pnas.1201731109")</f>
        <v>http://dx.doi.org/10.1073/pnas.1201731109</v>
      </c>
      <c r="BG788" t="s">
        <v>74</v>
      </c>
      <c r="BH788" t="s">
        <v>74</v>
      </c>
      <c r="BI788">
        <v>10</v>
      </c>
      <c r="BJ788" t="s">
        <v>153</v>
      </c>
      <c r="BK788" t="s">
        <v>98</v>
      </c>
      <c r="BL788" t="s">
        <v>154</v>
      </c>
      <c r="BM788" t="s">
        <v>14750</v>
      </c>
      <c r="BN788">
        <v>22652568</v>
      </c>
      <c r="BO788" t="s">
        <v>1458</v>
      </c>
      <c r="BP788" t="s">
        <v>74</v>
      </c>
      <c r="BQ788" t="s">
        <v>74</v>
      </c>
      <c r="BR788" t="s">
        <v>101</v>
      </c>
      <c r="BS788" t="s">
        <v>14751</v>
      </c>
      <c r="BT788" t="str">
        <f>HYPERLINK("https%3A%2F%2Fwww.webofscience.com%2Fwos%2Fwoscc%2Ffull-record%2FWOS:000306291400013","View Full Record in Web of Science")</f>
        <v>View Full Record in Web of Science</v>
      </c>
    </row>
    <row r="789" spans="1:72" x14ac:dyDescent="0.15">
      <c r="A789" t="s">
        <v>72</v>
      </c>
      <c r="B789" t="s">
        <v>14752</v>
      </c>
      <c r="C789" t="s">
        <v>74</v>
      </c>
      <c r="D789" t="s">
        <v>74</v>
      </c>
      <c r="E789" t="s">
        <v>74</v>
      </c>
      <c r="F789" t="s">
        <v>14753</v>
      </c>
      <c r="G789" t="s">
        <v>74</v>
      </c>
      <c r="H789" t="s">
        <v>74</v>
      </c>
      <c r="I789" t="s">
        <v>14754</v>
      </c>
      <c r="J789" t="s">
        <v>14755</v>
      </c>
      <c r="K789" t="s">
        <v>74</v>
      </c>
      <c r="L789" t="s">
        <v>74</v>
      </c>
      <c r="M789" t="s">
        <v>78</v>
      </c>
      <c r="N789" t="s">
        <v>79</v>
      </c>
      <c r="O789" t="s">
        <v>74</v>
      </c>
      <c r="P789" t="s">
        <v>74</v>
      </c>
      <c r="Q789" t="s">
        <v>74</v>
      </c>
      <c r="R789" t="s">
        <v>74</v>
      </c>
      <c r="S789" t="s">
        <v>74</v>
      </c>
      <c r="T789" t="s">
        <v>14756</v>
      </c>
      <c r="U789" t="s">
        <v>74</v>
      </c>
      <c r="V789" t="s">
        <v>14757</v>
      </c>
      <c r="W789" t="s">
        <v>14758</v>
      </c>
      <c r="X789" t="s">
        <v>14759</v>
      </c>
      <c r="Y789" t="s">
        <v>14760</v>
      </c>
      <c r="Z789" t="s">
        <v>14761</v>
      </c>
      <c r="AA789" t="s">
        <v>14762</v>
      </c>
      <c r="AB789" t="s">
        <v>14763</v>
      </c>
      <c r="AC789" t="s">
        <v>14764</v>
      </c>
      <c r="AD789" t="s">
        <v>14765</v>
      </c>
      <c r="AE789" t="s">
        <v>14766</v>
      </c>
      <c r="AF789" t="s">
        <v>74</v>
      </c>
      <c r="AG789">
        <v>16</v>
      </c>
      <c r="AH789">
        <v>2</v>
      </c>
      <c r="AI789">
        <v>3</v>
      </c>
      <c r="AJ789">
        <v>0</v>
      </c>
      <c r="AK789">
        <v>5</v>
      </c>
      <c r="AL789" t="s">
        <v>1932</v>
      </c>
      <c r="AM789" t="s">
        <v>1933</v>
      </c>
      <c r="AN789" t="s">
        <v>14767</v>
      </c>
      <c r="AO789" t="s">
        <v>14768</v>
      </c>
      <c r="AP789" t="s">
        <v>74</v>
      </c>
      <c r="AQ789" t="s">
        <v>74</v>
      </c>
      <c r="AR789" t="s">
        <v>14769</v>
      </c>
      <c r="AS789" t="s">
        <v>14770</v>
      </c>
      <c r="AT789" t="s">
        <v>14771</v>
      </c>
      <c r="AU789">
        <v>2012</v>
      </c>
      <c r="AV789">
        <v>3</v>
      </c>
      <c r="AW789">
        <v>2</v>
      </c>
      <c r="AX789" t="s">
        <v>74</v>
      </c>
      <c r="AY789" t="s">
        <v>74</v>
      </c>
      <c r="AZ789" t="s">
        <v>74</v>
      </c>
      <c r="BA789" t="s">
        <v>74</v>
      </c>
      <c r="BB789">
        <v>68</v>
      </c>
      <c r="BC789">
        <v>75</v>
      </c>
      <c r="BD789" t="s">
        <v>74</v>
      </c>
      <c r="BE789" t="s">
        <v>14772</v>
      </c>
      <c r="BF789" t="str">
        <f>HYPERLINK("http://dx.doi.org/10.3724/SP.J.1248.2012.00068","http://dx.doi.org/10.3724/SP.J.1248.2012.00068")</f>
        <v>http://dx.doi.org/10.3724/SP.J.1248.2012.00068</v>
      </c>
      <c r="BG789" t="s">
        <v>74</v>
      </c>
      <c r="BH789" t="s">
        <v>74</v>
      </c>
      <c r="BI789">
        <v>8</v>
      </c>
      <c r="BJ789" t="s">
        <v>4129</v>
      </c>
      <c r="BK789" t="s">
        <v>2920</v>
      </c>
      <c r="BL789" t="s">
        <v>2844</v>
      </c>
      <c r="BM789" t="s">
        <v>14773</v>
      </c>
      <c r="BN789" t="s">
        <v>74</v>
      </c>
      <c r="BO789" t="s">
        <v>7420</v>
      </c>
      <c r="BP789" t="s">
        <v>74</v>
      </c>
      <c r="BQ789" t="s">
        <v>74</v>
      </c>
      <c r="BR789" t="s">
        <v>101</v>
      </c>
      <c r="BS789" t="s">
        <v>14774</v>
      </c>
      <c r="BT789" t="str">
        <f>HYPERLINK("https%3A%2F%2Fwww.webofscience.com%2Fwos%2Fwoscc%2Ffull-record%2FWOS:000434524800002","View Full Record in Web of Science")</f>
        <v>View Full Record in Web of Science</v>
      </c>
    </row>
    <row r="790" spans="1:72" x14ac:dyDescent="0.15">
      <c r="A790" t="s">
        <v>72</v>
      </c>
      <c r="B790" t="s">
        <v>14775</v>
      </c>
      <c r="C790" t="s">
        <v>74</v>
      </c>
      <c r="D790" t="s">
        <v>74</v>
      </c>
      <c r="E790" t="s">
        <v>74</v>
      </c>
      <c r="F790" t="s">
        <v>14776</v>
      </c>
      <c r="G790" t="s">
        <v>74</v>
      </c>
      <c r="H790" t="s">
        <v>74</v>
      </c>
      <c r="I790" t="s">
        <v>14777</v>
      </c>
      <c r="J790" t="s">
        <v>444</v>
      </c>
      <c r="K790" t="s">
        <v>74</v>
      </c>
      <c r="L790" t="s">
        <v>74</v>
      </c>
      <c r="M790" t="s">
        <v>78</v>
      </c>
      <c r="N790" t="s">
        <v>79</v>
      </c>
      <c r="O790" t="s">
        <v>74</v>
      </c>
      <c r="P790" t="s">
        <v>74</v>
      </c>
      <c r="Q790" t="s">
        <v>74</v>
      </c>
      <c r="R790" t="s">
        <v>74</v>
      </c>
      <c r="S790" t="s">
        <v>74</v>
      </c>
      <c r="T790" t="s">
        <v>74</v>
      </c>
      <c r="U790" t="s">
        <v>14778</v>
      </c>
      <c r="V790" t="s">
        <v>14779</v>
      </c>
      <c r="W790" t="s">
        <v>14780</v>
      </c>
      <c r="X790" t="s">
        <v>14781</v>
      </c>
      <c r="Y790" t="s">
        <v>14782</v>
      </c>
      <c r="Z790" t="s">
        <v>14783</v>
      </c>
      <c r="AA790" t="s">
        <v>14784</v>
      </c>
      <c r="AB790" t="s">
        <v>14785</v>
      </c>
      <c r="AC790" t="s">
        <v>14786</v>
      </c>
      <c r="AD790" t="s">
        <v>2296</v>
      </c>
      <c r="AE790" t="s">
        <v>74</v>
      </c>
      <c r="AF790" t="s">
        <v>74</v>
      </c>
      <c r="AG790">
        <v>38</v>
      </c>
      <c r="AH790">
        <v>12</v>
      </c>
      <c r="AI790">
        <v>12</v>
      </c>
      <c r="AJ790">
        <v>1</v>
      </c>
      <c r="AK790">
        <v>23</v>
      </c>
      <c r="AL790" t="s">
        <v>118</v>
      </c>
      <c r="AM790" t="s">
        <v>119</v>
      </c>
      <c r="AN790" t="s">
        <v>120</v>
      </c>
      <c r="AO790" t="s">
        <v>454</v>
      </c>
      <c r="AP790" t="s">
        <v>455</v>
      </c>
      <c r="AQ790" t="s">
        <v>74</v>
      </c>
      <c r="AR790" t="s">
        <v>456</v>
      </c>
      <c r="AS790" t="s">
        <v>457</v>
      </c>
      <c r="AT790" t="s">
        <v>14787</v>
      </c>
      <c r="AU790">
        <v>2012</v>
      </c>
      <c r="AV790">
        <v>39</v>
      </c>
      <c r="AW790" t="s">
        <v>74</v>
      </c>
      <c r="AX790" t="s">
        <v>74</v>
      </c>
      <c r="AY790" t="s">
        <v>74</v>
      </c>
      <c r="AZ790" t="s">
        <v>74</v>
      </c>
      <c r="BA790" t="s">
        <v>74</v>
      </c>
      <c r="BB790" t="s">
        <v>74</v>
      </c>
      <c r="BC790" t="s">
        <v>74</v>
      </c>
      <c r="BD790" t="s">
        <v>14788</v>
      </c>
      <c r="BE790" t="s">
        <v>14789</v>
      </c>
      <c r="BF790" t="str">
        <f>HYPERLINK("http://dx.doi.org/10.1029/2012GL051651","http://dx.doi.org/10.1029/2012GL051651")</f>
        <v>http://dx.doi.org/10.1029/2012GL051651</v>
      </c>
      <c r="BG790" t="s">
        <v>74</v>
      </c>
      <c r="BH790" t="s">
        <v>74</v>
      </c>
      <c r="BI790">
        <v>5</v>
      </c>
      <c r="BJ790" t="s">
        <v>461</v>
      </c>
      <c r="BK790" t="s">
        <v>98</v>
      </c>
      <c r="BL790" t="s">
        <v>462</v>
      </c>
      <c r="BM790" t="s">
        <v>14790</v>
      </c>
      <c r="BN790" t="s">
        <v>74</v>
      </c>
      <c r="BO790" t="s">
        <v>535</v>
      </c>
      <c r="BP790" t="s">
        <v>74</v>
      </c>
      <c r="BQ790" t="s">
        <v>74</v>
      </c>
      <c r="BR790" t="s">
        <v>101</v>
      </c>
      <c r="BS790" t="s">
        <v>14791</v>
      </c>
      <c r="BT790" t="str">
        <f>HYPERLINK("https%3A%2F%2Fwww.webofscience.com%2Fwos%2Fwoscc%2Ffull-record%2FWOS:000305648400001","View Full Record in Web of Science")</f>
        <v>View Full Record in Web of Science</v>
      </c>
    </row>
    <row r="791" spans="1:72" x14ac:dyDescent="0.15">
      <c r="A791" t="s">
        <v>72</v>
      </c>
      <c r="B791" t="s">
        <v>14792</v>
      </c>
      <c r="C791" t="s">
        <v>74</v>
      </c>
      <c r="D791" t="s">
        <v>74</v>
      </c>
      <c r="E791" t="s">
        <v>74</v>
      </c>
      <c r="F791" t="s">
        <v>14793</v>
      </c>
      <c r="G791" t="s">
        <v>74</v>
      </c>
      <c r="H791" t="s">
        <v>74</v>
      </c>
      <c r="I791" t="s">
        <v>14794</v>
      </c>
      <c r="J791" t="s">
        <v>444</v>
      </c>
      <c r="K791" t="s">
        <v>74</v>
      </c>
      <c r="L791" t="s">
        <v>74</v>
      </c>
      <c r="M791" t="s">
        <v>78</v>
      </c>
      <c r="N791" t="s">
        <v>79</v>
      </c>
      <c r="O791" t="s">
        <v>74</v>
      </c>
      <c r="P791" t="s">
        <v>74</v>
      </c>
      <c r="Q791" t="s">
        <v>74</v>
      </c>
      <c r="R791" t="s">
        <v>74</v>
      </c>
      <c r="S791" t="s">
        <v>74</v>
      </c>
      <c r="T791" t="s">
        <v>74</v>
      </c>
      <c r="U791" t="s">
        <v>14795</v>
      </c>
      <c r="V791" t="s">
        <v>14796</v>
      </c>
      <c r="W791" t="s">
        <v>14797</v>
      </c>
      <c r="X791" t="s">
        <v>14798</v>
      </c>
      <c r="Y791" t="s">
        <v>14799</v>
      </c>
      <c r="Z791" t="s">
        <v>14800</v>
      </c>
      <c r="AA791" t="s">
        <v>14801</v>
      </c>
      <c r="AB791" t="s">
        <v>14802</v>
      </c>
      <c r="AC791" t="s">
        <v>14803</v>
      </c>
      <c r="AD791" t="s">
        <v>14804</v>
      </c>
      <c r="AE791" t="s">
        <v>14805</v>
      </c>
      <c r="AF791" t="s">
        <v>74</v>
      </c>
      <c r="AG791">
        <v>31</v>
      </c>
      <c r="AH791">
        <v>67</v>
      </c>
      <c r="AI791">
        <v>70</v>
      </c>
      <c r="AJ791">
        <v>0</v>
      </c>
      <c r="AK791">
        <v>27</v>
      </c>
      <c r="AL791" t="s">
        <v>118</v>
      </c>
      <c r="AM791" t="s">
        <v>119</v>
      </c>
      <c r="AN791" t="s">
        <v>120</v>
      </c>
      <c r="AO791" t="s">
        <v>454</v>
      </c>
      <c r="AP791" t="s">
        <v>74</v>
      </c>
      <c r="AQ791" t="s">
        <v>74</v>
      </c>
      <c r="AR791" t="s">
        <v>456</v>
      </c>
      <c r="AS791" t="s">
        <v>457</v>
      </c>
      <c r="AT791" t="s">
        <v>14806</v>
      </c>
      <c r="AU791">
        <v>2012</v>
      </c>
      <c r="AV791">
        <v>39</v>
      </c>
      <c r="AW791" t="s">
        <v>74</v>
      </c>
      <c r="AX791" t="s">
        <v>74</v>
      </c>
      <c r="AY791" t="s">
        <v>74</v>
      </c>
      <c r="AZ791" t="s">
        <v>74</v>
      </c>
      <c r="BA791" t="s">
        <v>74</v>
      </c>
      <c r="BB791" t="s">
        <v>74</v>
      </c>
      <c r="BC791" t="s">
        <v>74</v>
      </c>
      <c r="BD791" t="s">
        <v>14807</v>
      </c>
      <c r="BE791" t="s">
        <v>14808</v>
      </c>
      <c r="BF791" t="str">
        <f>HYPERLINK("http://dx.doi.org/10.1029/2012GL051012","http://dx.doi.org/10.1029/2012GL051012")</f>
        <v>http://dx.doi.org/10.1029/2012GL051012</v>
      </c>
      <c r="BG791" t="s">
        <v>74</v>
      </c>
      <c r="BH791" t="s">
        <v>74</v>
      </c>
      <c r="BI791">
        <v>6</v>
      </c>
      <c r="BJ791" t="s">
        <v>461</v>
      </c>
      <c r="BK791" t="s">
        <v>98</v>
      </c>
      <c r="BL791" t="s">
        <v>462</v>
      </c>
      <c r="BM791" t="s">
        <v>14809</v>
      </c>
      <c r="BN791" t="s">
        <v>74</v>
      </c>
      <c r="BO791" t="s">
        <v>74</v>
      </c>
      <c r="BP791" t="s">
        <v>74</v>
      </c>
      <c r="BQ791" t="s">
        <v>74</v>
      </c>
      <c r="BR791" t="s">
        <v>101</v>
      </c>
      <c r="BS791" t="s">
        <v>14810</v>
      </c>
      <c r="BT791" t="str">
        <f>HYPERLINK("https%3A%2F%2Fwww.webofscience.com%2Fwos%2Fwoscc%2Ffull-record%2FWOS:000305647700001","View Full Record in Web of Science")</f>
        <v>View Full Record in Web of Science</v>
      </c>
    </row>
    <row r="792" spans="1:72" x14ac:dyDescent="0.15">
      <c r="A792" t="s">
        <v>72</v>
      </c>
      <c r="B792" t="s">
        <v>14811</v>
      </c>
      <c r="C792" t="s">
        <v>74</v>
      </c>
      <c r="D792" t="s">
        <v>74</v>
      </c>
      <c r="E792" t="s">
        <v>74</v>
      </c>
      <c r="F792" t="s">
        <v>14812</v>
      </c>
      <c r="G792" t="s">
        <v>74</v>
      </c>
      <c r="H792" t="s">
        <v>74</v>
      </c>
      <c r="I792" t="s">
        <v>14813</v>
      </c>
      <c r="J792" t="s">
        <v>12776</v>
      </c>
      <c r="K792" t="s">
        <v>74</v>
      </c>
      <c r="L792" t="s">
        <v>74</v>
      </c>
      <c r="M792" t="s">
        <v>78</v>
      </c>
      <c r="N792" t="s">
        <v>79</v>
      </c>
      <c r="O792" t="s">
        <v>74</v>
      </c>
      <c r="P792" t="s">
        <v>74</v>
      </c>
      <c r="Q792" t="s">
        <v>74</v>
      </c>
      <c r="R792" t="s">
        <v>74</v>
      </c>
      <c r="S792" t="s">
        <v>74</v>
      </c>
      <c r="T792" t="s">
        <v>14814</v>
      </c>
      <c r="U792" t="s">
        <v>14815</v>
      </c>
      <c r="V792" t="s">
        <v>14816</v>
      </c>
      <c r="W792" t="s">
        <v>14817</v>
      </c>
      <c r="X792" t="s">
        <v>14818</v>
      </c>
      <c r="Y792" t="s">
        <v>14819</v>
      </c>
      <c r="Z792" t="s">
        <v>14820</v>
      </c>
      <c r="AA792" t="s">
        <v>14821</v>
      </c>
      <c r="AB792" t="s">
        <v>14822</v>
      </c>
      <c r="AC792" t="s">
        <v>14823</v>
      </c>
      <c r="AD792" t="s">
        <v>14824</v>
      </c>
      <c r="AE792" t="s">
        <v>14825</v>
      </c>
      <c r="AF792" t="s">
        <v>74</v>
      </c>
      <c r="AG792">
        <v>44</v>
      </c>
      <c r="AH792">
        <v>9</v>
      </c>
      <c r="AI792">
        <v>12</v>
      </c>
      <c r="AJ792">
        <v>1</v>
      </c>
      <c r="AK792">
        <v>37</v>
      </c>
      <c r="AL792" t="s">
        <v>644</v>
      </c>
      <c r="AM792" t="s">
        <v>434</v>
      </c>
      <c r="AN792" t="s">
        <v>645</v>
      </c>
      <c r="AO792" t="s">
        <v>12788</v>
      </c>
      <c r="AP792" t="s">
        <v>14826</v>
      </c>
      <c r="AQ792" t="s">
        <v>74</v>
      </c>
      <c r="AR792" t="s">
        <v>12789</v>
      </c>
      <c r="AS792" t="s">
        <v>12790</v>
      </c>
      <c r="AT792" t="s">
        <v>14806</v>
      </c>
      <c r="AU792">
        <v>2012</v>
      </c>
      <c r="AV792">
        <v>279</v>
      </c>
      <c r="AW792">
        <v>1737</v>
      </c>
      <c r="AX792" t="s">
        <v>74</v>
      </c>
      <c r="AY792" t="s">
        <v>74</v>
      </c>
      <c r="AZ792" t="s">
        <v>74</v>
      </c>
      <c r="BA792" t="s">
        <v>74</v>
      </c>
      <c r="BB792">
        <v>2426</v>
      </c>
      <c r="BC792">
        <v>2432</v>
      </c>
      <c r="BD792" t="s">
        <v>74</v>
      </c>
      <c r="BE792" t="s">
        <v>14827</v>
      </c>
      <c r="BF792" t="str">
        <f>HYPERLINK("http://dx.doi.org/10.1098/rspb.2011.2679","http://dx.doi.org/10.1098/rspb.2011.2679")</f>
        <v>http://dx.doi.org/10.1098/rspb.2011.2679</v>
      </c>
      <c r="BG792" t="s">
        <v>74</v>
      </c>
      <c r="BH792" t="s">
        <v>74</v>
      </c>
      <c r="BI792">
        <v>7</v>
      </c>
      <c r="BJ792" t="s">
        <v>9631</v>
      </c>
      <c r="BK792" t="s">
        <v>98</v>
      </c>
      <c r="BL792" t="s">
        <v>9632</v>
      </c>
      <c r="BM792" t="s">
        <v>14828</v>
      </c>
      <c r="BN792">
        <v>22319124</v>
      </c>
      <c r="BO792" t="s">
        <v>1458</v>
      </c>
      <c r="BP792" t="s">
        <v>74</v>
      </c>
      <c r="BQ792" t="s">
        <v>74</v>
      </c>
      <c r="BR792" t="s">
        <v>101</v>
      </c>
      <c r="BS792" t="s">
        <v>14829</v>
      </c>
      <c r="BT792" t="str">
        <f>HYPERLINK("https%3A%2F%2Fwww.webofscience.com%2Fwos%2Fwoscc%2Ffull-record%2FWOS:000303888500019","View Full Record in Web of Science")</f>
        <v>View Full Record in Web of Science</v>
      </c>
    </row>
    <row r="793" spans="1:72" x14ac:dyDescent="0.15">
      <c r="A793" t="s">
        <v>72</v>
      </c>
      <c r="B793" t="s">
        <v>14830</v>
      </c>
      <c r="C793" t="s">
        <v>74</v>
      </c>
      <c r="D793" t="s">
        <v>74</v>
      </c>
      <c r="E793" t="s">
        <v>74</v>
      </c>
      <c r="F793" t="s">
        <v>14831</v>
      </c>
      <c r="G793" t="s">
        <v>74</v>
      </c>
      <c r="H793" t="s">
        <v>74</v>
      </c>
      <c r="I793" t="s">
        <v>14832</v>
      </c>
      <c r="J793" t="s">
        <v>77</v>
      </c>
      <c r="K793" t="s">
        <v>74</v>
      </c>
      <c r="L793" t="s">
        <v>74</v>
      </c>
      <c r="M793" t="s">
        <v>78</v>
      </c>
      <c r="N793" t="s">
        <v>79</v>
      </c>
      <c r="O793" t="s">
        <v>74</v>
      </c>
      <c r="P793" t="s">
        <v>74</v>
      </c>
      <c r="Q793" t="s">
        <v>74</v>
      </c>
      <c r="R793" t="s">
        <v>74</v>
      </c>
      <c r="S793" t="s">
        <v>74</v>
      </c>
      <c r="T793" t="s">
        <v>74</v>
      </c>
      <c r="U793" t="s">
        <v>14833</v>
      </c>
      <c r="V793" t="s">
        <v>14834</v>
      </c>
      <c r="W793" t="s">
        <v>14835</v>
      </c>
      <c r="X793" t="s">
        <v>14836</v>
      </c>
      <c r="Y793" t="s">
        <v>14837</v>
      </c>
      <c r="Z793" t="s">
        <v>14838</v>
      </c>
      <c r="AA793" t="s">
        <v>14839</v>
      </c>
      <c r="AB793" t="s">
        <v>14840</v>
      </c>
      <c r="AC793" t="s">
        <v>14841</v>
      </c>
      <c r="AD793" t="s">
        <v>14841</v>
      </c>
      <c r="AE793" t="s">
        <v>14842</v>
      </c>
      <c r="AF793" t="s">
        <v>74</v>
      </c>
      <c r="AG793">
        <v>80</v>
      </c>
      <c r="AH793">
        <v>12</v>
      </c>
      <c r="AI793">
        <v>13</v>
      </c>
      <c r="AJ793">
        <v>1</v>
      </c>
      <c r="AK793">
        <v>22</v>
      </c>
      <c r="AL793" t="s">
        <v>89</v>
      </c>
      <c r="AM793" t="s">
        <v>90</v>
      </c>
      <c r="AN793" t="s">
        <v>91</v>
      </c>
      <c r="AO793" t="s">
        <v>92</v>
      </c>
      <c r="AP793" t="s">
        <v>74</v>
      </c>
      <c r="AQ793" t="s">
        <v>74</v>
      </c>
      <c r="AR793" t="s">
        <v>93</v>
      </c>
      <c r="AS793" t="s">
        <v>94</v>
      </c>
      <c r="AT793" t="s">
        <v>14843</v>
      </c>
      <c r="AU793">
        <v>2012</v>
      </c>
      <c r="AV793">
        <v>44</v>
      </c>
      <c r="AW793" t="s">
        <v>74</v>
      </c>
      <c r="AX793" t="s">
        <v>74</v>
      </c>
      <c r="AY793" t="s">
        <v>74</v>
      </c>
      <c r="AZ793" t="s">
        <v>1019</v>
      </c>
      <c r="BA793" t="s">
        <v>74</v>
      </c>
      <c r="BB793">
        <v>96</v>
      </c>
      <c r="BC793">
        <v>111</v>
      </c>
      <c r="BD793" t="s">
        <v>74</v>
      </c>
      <c r="BE793" t="s">
        <v>14844</v>
      </c>
      <c r="BF793" t="str">
        <f>HYPERLINK("http://dx.doi.org/10.1016/j.quascirev.2010.10.007","http://dx.doi.org/10.1016/j.quascirev.2010.10.007")</f>
        <v>http://dx.doi.org/10.1016/j.quascirev.2010.10.007</v>
      </c>
      <c r="BG793" t="s">
        <v>74</v>
      </c>
      <c r="BH793" t="s">
        <v>74</v>
      </c>
      <c r="BI793">
        <v>16</v>
      </c>
      <c r="BJ793" t="s">
        <v>97</v>
      </c>
      <c r="BK793" t="s">
        <v>98</v>
      </c>
      <c r="BL793" t="s">
        <v>99</v>
      </c>
      <c r="BM793" t="s">
        <v>14845</v>
      </c>
      <c r="BN793" t="s">
        <v>74</v>
      </c>
      <c r="BO793" t="s">
        <v>74</v>
      </c>
      <c r="BP793" t="s">
        <v>74</v>
      </c>
      <c r="BQ793" t="s">
        <v>74</v>
      </c>
      <c r="BR793" t="s">
        <v>101</v>
      </c>
      <c r="BS793" t="s">
        <v>14846</v>
      </c>
      <c r="BT793" t="str">
        <f>HYPERLINK("https%3A%2F%2Fwww.webofscience.com%2Fwos%2Fwoscc%2Ffull-record%2FWOS:000307202200009","View Full Record in Web of Science")</f>
        <v>View Full Record in Web of Science</v>
      </c>
    </row>
    <row r="794" spans="1:72" x14ac:dyDescent="0.15">
      <c r="A794" t="s">
        <v>72</v>
      </c>
      <c r="B794" t="s">
        <v>14847</v>
      </c>
      <c r="C794" t="s">
        <v>74</v>
      </c>
      <c r="D794" t="s">
        <v>74</v>
      </c>
      <c r="E794" t="s">
        <v>74</v>
      </c>
      <c r="F794" t="s">
        <v>14848</v>
      </c>
      <c r="G794" t="s">
        <v>74</v>
      </c>
      <c r="H794" t="s">
        <v>74</v>
      </c>
      <c r="I794" t="s">
        <v>14849</v>
      </c>
      <c r="J794" t="s">
        <v>444</v>
      </c>
      <c r="K794" t="s">
        <v>74</v>
      </c>
      <c r="L794" t="s">
        <v>74</v>
      </c>
      <c r="M794" t="s">
        <v>78</v>
      </c>
      <c r="N794" t="s">
        <v>79</v>
      </c>
      <c r="O794" t="s">
        <v>74</v>
      </c>
      <c r="P794" t="s">
        <v>74</v>
      </c>
      <c r="Q794" t="s">
        <v>74</v>
      </c>
      <c r="R794" t="s">
        <v>74</v>
      </c>
      <c r="S794" t="s">
        <v>74</v>
      </c>
      <c r="T794" t="s">
        <v>74</v>
      </c>
      <c r="U794" t="s">
        <v>14850</v>
      </c>
      <c r="V794" t="s">
        <v>14851</v>
      </c>
      <c r="W794" t="s">
        <v>14852</v>
      </c>
      <c r="X794" t="s">
        <v>14853</v>
      </c>
      <c r="Y794" t="s">
        <v>14854</v>
      </c>
      <c r="Z794" t="s">
        <v>14855</v>
      </c>
      <c r="AA794" t="s">
        <v>74</v>
      </c>
      <c r="AB794" t="s">
        <v>14856</v>
      </c>
      <c r="AC794" t="s">
        <v>14857</v>
      </c>
      <c r="AD794" t="s">
        <v>14858</v>
      </c>
      <c r="AE794" t="s">
        <v>14859</v>
      </c>
      <c r="AF794" t="s">
        <v>74</v>
      </c>
      <c r="AG794">
        <v>28</v>
      </c>
      <c r="AH794">
        <v>98</v>
      </c>
      <c r="AI794">
        <v>107</v>
      </c>
      <c r="AJ794">
        <v>0</v>
      </c>
      <c r="AK794">
        <v>51</v>
      </c>
      <c r="AL794" t="s">
        <v>118</v>
      </c>
      <c r="AM794" t="s">
        <v>119</v>
      </c>
      <c r="AN794" t="s">
        <v>120</v>
      </c>
      <c r="AO794" t="s">
        <v>454</v>
      </c>
      <c r="AP794" t="s">
        <v>74</v>
      </c>
      <c r="AQ794" t="s">
        <v>74</v>
      </c>
      <c r="AR794" t="s">
        <v>456</v>
      </c>
      <c r="AS794" t="s">
        <v>457</v>
      </c>
      <c r="AT794" t="s">
        <v>14843</v>
      </c>
      <c r="AU794">
        <v>2012</v>
      </c>
      <c r="AV794">
        <v>39</v>
      </c>
      <c r="AW794" t="s">
        <v>74</v>
      </c>
      <c r="AX794" t="s">
        <v>74</v>
      </c>
      <c r="AY794" t="s">
        <v>74</v>
      </c>
      <c r="AZ794" t="s">
        <v>74</v>
      </c>
      <c r="BA794" t="s">
        <v>74</v>
      </c>
      <c r="BB794" t="s">
        <v>74</v>
      </c>
      <c r="BC794" t="s">
        <v>74</v>
      </c>
      <c r="BD794" t="s">
        <v>14860</v>
      </c>
      <c r="BE794" t="s">
        <v>14861</v>
      </c>
      <c r="BF794" t="str">
        <f>HYPERLINK("http://dx.doi.org/10.1029/2012GL051172","http://dx.doi.org/10.1029/2012GL051172")</f>
        <v>http://dx.doi.org/10.1029/2012GL051172</v>
      </c>
      <c r="BG794" t="s">
        <v>74</v>
      </c>
      <c r="BH794" t="s">
        <v>74</v>
      </c>
      <c r="BI794">
        <v>5</v>
      </c>
      <c r="BJ794" t="s">
        <v>461</v>
      </c>
      <c r="BK794" t="s">
        <v>98</v>
      </c>
      <c r="BL794" t="s">
        <v>462</v>
      </c>
      <c r="BM794" t="s">
        <v>14862</v>
      </c>
      <c r="BN794" t="s">
        <v>74</v>
      </c>
      <c r="BO794" t="s">
        <v>1347</v>
      </c>
      <c r="BP794" t="s">
        <v>74</v>
      </c>
      <c r="BQ794" t="s">
        <v>74</v>
      </c>
      <c r="BR794" t="s">
        <v>101</v>
      </c>
      <c r="BS794" t="s">
        <v>14863</v>
      </c>
      <c r="BT794" t="str">
        <f>HYPERLINK("https%3A%2F%2Fwww.webofscience.com%2Fwos%2Fwoscc%2Ffull-record%2FWOS:000305647100001","View Full Record in Web of Science")</f>
        <v>View Full Record in Web of Science</v>
      </c>
    </row>
    <row r="795" spans="1:72" x14ac:dyDescent="0.15">
      <c r="A795" t="s">
        <v>72</v>
      </c>
      <c r="B795" t="s">
        <v>14864</v>
      </c>
      <c r="C795" t="s">
        <v>74</v>
      </c>
      <c r="D795" t="s">
        <v>74</v>
      </c>
      <c r="E795" t="s">
        <v>74</v>
      </c>
      <c r="F795" t="s">
        <v>14865</v>
      </c>
      <c r="G795" t="s">
        <v>74</v>
      </c>
      <c r="H795" t="s">
        <v>74</v>
      </c>
      <c r="I795" t="s">
        <v>14866</v>
      </c>
      <c r="J795" t="s">
        <v>77</v>
      </c>
      <c r="K795" t="s">
        <v>74</v>
      </c>
      <c r="L795" t="s">
        <v>74</v>
      </c>
      <c r="M795" t="s">
        <v>78</v>
      </c>
      <c r="N795" t="s">
        <v>79</v>
      </c>
      <c r="O795" t="s">
        <v>74</v>
      </c>
      <c r="P795" t="s">
        <v>74</v>
      </c>
      <c r="Q795" t="s">
        <v>74</v>
      </c>
      <c r="R795" t="s">
        <v>74</v>
      </c>
      <c r="S795" t="s">
        <v>74</v>
      </c>
      <c r="T795" t="s">
        <v>74</v>
      </c>
      <c r="U795" t="s">
        <v>14867</v>
      </c>
      <c r="V795" t="s">
        <v>14868</v>
      </c>
      <c r="W795" t="s">
        <v>14869</v>
      </c>
      <c r="X795" t="s">
        <v>14870</v>
      </c>
      <c r="Y795" t="s">
        <v>14871</v>
      </c>
      <c r="Z795" t="s">
        <v>14872</v>
      </c>
      <c r="AA795" t="s">
        <v>14873</v>
      </c>
      <c r="AB795" t="s">
        <v>14874</v>
      </c>
      <c r="AC795" t="s">
        <v>14875</v>
      </c>
      <c r="AD795" t="s">
        <v>14876</v>
      </c>
      <c r="AE795" t="s">
        <v>14877</v>
      </c>
      <c r="AF795" t="s">
        <v>74</v>
      </c>
      <c r="AG795">
        <v>167</v>
      </c>
      <c r="AH795">
        <v>384</v>
      </c>
      <c r="AI795">
        <v>405</v>
      </c>
      <c r="AJ795">
        <v>7</v>
      </c>
      <c r="AK795">
        <v>369</v>
      </c>
      <c r="AL795" t="s">
        <v>89</v>
      </c>
      <c r="AM795" t="s">
        <v>90</v>
      </c>
      <c r="AN795" t="s">
        <v>91</v>
      </c>
      <c r="AO795" t="s">
        <v>92</v>
      </c>
      <c r="AP795" t="s">
        <v>74</v>
      </c>
      <c r="AQ795" t="s">
        <v>74</v>
      </c>
      <c r="AR795" t="s">
        <v>93</v>
      </c>
      <c r="AS795" t="s">
        <v>94</v>
      </c>
      <c r="AT795" t="s">
        <v>14843</v>
      </c>
      <c r="AU795">
        <v>2012</v>
      </c>
      <c r="AV795">
        <v>44</v>
      </c>
      <c r="AW795" t="s">
        <v>74</v>
      </c>
      <c r="AX795" t="s">
        <v>74</v>
      </c>
      <c r="AY795" t="s">
        <v>74</v>
      </c>
      <c r="AZ795" t="s">
        <v>1019</v>
      </c>
      <c r="BA795" t="s">
        <v>74</v>
      </c>
      <c r="BB795">
        <v>112</v>
      </c>
      <c r="BC795">
        <v>146</v>
      </c>
      <c r="BD795" t="s">
        <v>74</v>
      </c>
      <c r="BE795" t="s">
        <v>14878</v>
      </c>
      <c r="BF795" t="str">
        <f>HYPERLINK("http://dx.doi.org/10.1016/j.quascirev.2010.07.019","http://dx.doi.org/10.1016/j.quascirev.2010.07.019")</f>
        <v>http://dx.doi.org/10.1016/j.quascirev.2010.07.019</v>
      </c>
      <c r="BG795" t="s">
        <v>74</v>
      </c>
      <c r="BH795" t="s">
        <v>74</v>
      </c>
      <c r="BI795">
        <v>35</v>
      </c>
      <c r="BJ795" t="s">
        <v>97</v>
      </c>
      <c r="BK795" t="s">
        <v>98</v>
      </c>
      <c r="BL795" t="s">
        <v>99</v>
      </c>
      <c r="BM795" t="s">
        <v>14845</v>
      </c>
      <c r="BN795" t="s">
        <v>74</v>
      </c>
      <c r="BO795" t="s">
        <v>1499</v>
      </c>
      <c r="BP795" t="s">
        <v>74</v>
      </c>
      <c r="BQ795" t="s">
        <v>74</v>
      </c>
      <c r="BR795" t="s">
        <v>101</v>
      </c>
      <c r="BS795" t="s">
        <v>14879</v>
      </c>
      <c r="BT795" t="str">
        <f>HYPERLINK("https%3A%2F%2Fwww.webofscience.com%2Fwos%2Fwoscc%2Ffull-record%2FWOS:000307202200010","View Full Record in Web of Science")</f>
        <v>View Full Record in Web of Science</v>
      </c>
    </row>
    <row r="796" spans="1:72" x14ac:dyDescent="0.15">
      <c r="A796" t="s">
        <v>72</v>
      </c>
      <c r="B796" t="s">
        <v>14880</v>
      </c>
      <c r="C796" t="s">
        <v>74</v>
      </c>
      <c r="D796" t="s">
        <v>74</v>
      </c>
      <c r="E796" t="s">
        <v>74</v>
      </c>
      <c r="F796" t="s">
        <v>14881</v>
      </c>
      <c r="G796" t="s">
        <v>74</v>
      </c>
      <c r="H796" t="s">
        <v>74</v>
      </c>
      <c r="I796" t="s">
        <v>14882</v>
      </c>
      <c r="J796" t="s">
        <v>4632</v>
      </c>
      <c r="K796" t="s">
        <v>74</v>
      </c>
      <c r="L796" t="s">
        <v>74</v>
      </c>
      <c r="M796" t="s">
        <v>78</v>
      </c>
      <c r="N796" t="s">
        <v>79</v>
      </c>
      <c r="O796" t="s">
        <v>74</v>
      </c>
      <c r="P796" t="s">
        <v>74</v>
      </c>
      <c r="Q796" t="s">
        <v>74</v>
      </c>
      <c r="R796" t="s">
        <v>74</v>
      </c>
      <c r="S796" t="s">
        <v>74</v>
      </c>
      <c r="T796" t="s">
        <v>14883</v>
      </c>
      <c r="U796" t="s">
        <v>14884</v>
      </c>
      <c r="V796" t="s">
        <v>14885</v>
      </c>
      <c r="W796" t="s">
        <v>14886</v>
      </c>
      <c r="X796" t="s">
        <v>14887</v>
      </c>
      <c r="Y796" t="s">
        <v>14888</v>
      </c>
      <c r="Z796" t="s">
        <v>14889</v>
      </c>
      <c r="AA796" t="s">
        <v>14890</v>
      </c>
      <c r="AB796" t="s">
        <v>14891</v>
      </c>
      <c r="AC796" t="s">
        <v>14892</v>
      </c>
      <c r="AD796" t="s">
        <v>14892</v>
      </c>
      <c r="AE796" t="s">
        <v>14893</v>
      </c>
      <c r="AF796" t="s">
        <v>74</v>
      </c>
      <c r="AG796">
        <v>79</v>
      </c>
      <c r="AH796">
        <v>8</v>
      </c>
      <c r="AI796">
        <v>8</v>
      </c>
      <c r="AJ796">
        <v>0</v>
      </c>
      <c r="AK796">
        <v>28</v>
      </c>
      <c r="AL796" t="s">
        <v>1517</v>
      </c>
      <c r="AM796" t="s">
        <v>434</v>
      </c>
      <c r="AN796" t="s">
        <v>1518</v>
      </c>
      <c r="AO796" t="s">
        <v>4645</v>
      </c>
      <c r="AP796" t="s">
        <v>4646</v>
      </c>
      <c r="AQ796" t="s">
        <v>74</v>
      </c>
      <c r="AR796" t="s">
        <v>4647</v>
      </c>
      <c r="AS796" t="s">
        <v>4648</v>
      </c>
      <c r="AT796" t="s">
        <v>14894</v>
      </c>
      <c r="AU796">
        <v>2012</v>
      </c>
      <c r="AV796">
        <v>106</v>
      </c>
      <c r="AW796" t="s">
        <v>74</v>
      </c>
      <c r="AX796" t="s">
        <v>74</v>
      </c>
      <c r="AY796" t="s">
        <v>74</v>
      </c>
      <c r="AZ796" t="s">
        <v>74</v>
      </c>
      <c r="BA796" t="s">
        <v>74</v>
      </c>
      <c r="BB796">
        <v>69</v>
      </c>
      <c r="BC796">
        <v>79</v>
      </c>
      <c r="BD796" t="s">
        <v>74</v>
      </c>
      <c r="BE796" t="s">
        <v>14895</v>
      </c>
      <c r="BF796" t="str">
        <f>HYPERLINK("http://dx.doi.org/10.1016/j.ecss.2012.04.031","http://dx.doi.org/10.1016/j.ecss.2012.04.031")</f>
        <v>http://dx.doi.org/10.1016/j.ecss.2012.04.031</v>
      </c>
      <c r="BG796" t="s">
        <v>74</v>
      </c>
      <c r="BH796" t="s">
        <v>74</v>
      </c>
      <c r="BI796">
        <v>11</v>
      </c>
      <c r="BJ796" t="s">
        <v>1161</v>
      </c>
      <c r="BK796" t="s">
        <v>98</v>
      </c>
      <c r="BL796" t="s">
        <v>1161</v>
      </c>
      <c r="BM796" t="s">
        <v>14896</v>
      </c>
      <c r="BN796" t="s">
        <v>74</v>
      </c>
      <c r="BO796" t="s">
        <v>1499</v>
      </c>
      <c r="BP796" t="s">
        <v>74</v>
      </c>
      <c r="BQ796" t="s">
        <v>74</v>
      </c>
      <c r="BR796" t="s">
        <v>101</v>
      </c>
      <c r="BS796" t="s">
        <v>14897</v>
      </c>
      <c r="BT796" t="str">
        <f>HYPERLINK("https%3A%2F%2Fwww.webofscience.com%2Fwos%2Fwoscc%2Ffull-record%2FWOS:000305862800007","View Full Record in Web of Science")</f>
        <v>View Full Record in Web of Science</v>
      </c>
    </row>
    <row r="797" spans="1:72" x14ac:dyDescent="0.15">
      <c r="A797" t="s">
        <v>72</v>
      </c>
      <c r="B797" t="s">
        <v>14898</v>
      </c>
      <c r="C797" t="s">
        <v>74</v>
      </c>
      <c r="D797" t="s">
        <v>74</v>
      </c>
      <c r="E797" t="s">
        <v>74</v>
      </c>
      <c r="F797" t="s">
        <v>14899</v>
      </c>
      <c r="G797" t="s">
        <v>74</v>
      </c>
      <c r="H797" t="s">
        <v>74</v>
      </c>
      <c r="I797" t="s">
        <v>14900</v>
      </c>
      <c r="J797" t="s">
        <v>134</v>
      </c>
      <c r="K797" t="s">
        <v>74</v>
      </c>
      <c r="L797" t="s">
        <v>74</v>
      </c>
      <c r="M797" t="s">
        <v>78</v>
      </c>
      <c r="N797" t="s">
        <v>79</v>
      </c>
      <c r="O797" t="s">
        <v>74</v>
      </c>
      <c r="P797" t="s">
        <v>74</v>
      </c>
      <c r="Q797" t="s">
        <v>74</v>
      </c>
      <c r="R797" t="s">
        <v>74</v>
      </c>
      <c r="S797" t="s">
        <v>74</v>
      </c>
      <c r="T797" t="s">
        <v>74</v>
      </c>
      <c r="U797" t="s">
        <v>74</v>
      </c>
      <c r="V797" t="s">
        <v>14901</v>
      </c>
      <c r="W797" t="s">
        <v>14902</v>
      </c>
      <c r="X797" t="s">
        <v>14903</v>
      </c>
      <c r="Y797" t="s">
        <v>14904</v>
      </c>
      <c r="Z797" t="s">
        <v>14905</v>
      </c>
      <c r="AA797" t="s">
        <v>14906</v>
      </c>
      <c r="AB797" t="s">
        <v>14907</v>
      </c>
      <c r="AC797" t="s">
        <v>14908</v>
      </c>
      <c r="AD797" t="s">
        <v>14908</v>
      </c>
      <c r="AE797" t="s">
        <v>14909</v>
      </c>
      <c r="AF797" t="s">
        <v>74</v>
      </c>
      <c r="AG797">
        <v>21</v>
      </c>
      <c r="AH797">
        <v>12</v>
      </c>
      <c r="AI797">
        <v>14</v>
      </c>
      <c r="AJ797">
        <v>0</v>
      </c>
      <c r="AK797">
        <v>14</v>
      </c>
      <c r="AL797" t="s">
        <v>146</v>
      </c>
      <c r="AM797" t="s">
        <v>147</v>
      </c>
      <c r="AN797" t="s">
        <v>148</v>
      </c>
      <c r="AO797" t="s">
        <v>149</v>
      </c>
      <c r="AP797" t="s">
        <v>74</v>
      </c>
      <c r="AQ797" t="s">
        <v>74</v>
      </c>
      <c r="AR797" t="s">
        <v>134</v>
      </c>
      <c r="AS797" t="s">
        <v>150</v>
      </c>
      <c r="AT797" t="s">
        <v>14894</v>
      </c>
      <c r="AU797">
        <v>2012</v>
      </c>
      <c r="AV797">
        <v>7</v>
      </c>
      <c r="AW797">
        <v>6</v>
      </c>
      <c r="AX797" t="s">
        <v>74</v>
      </c>
      <c r="AY797" t="s">
        <v>74</v>
      </c>
      <c r="AZ797" t="s">
        <v>74</v>
      </c>
      <c r="BA797" t="s">
        <v>74</v>
      </c>
      <c r="BB797" t="s">
        <v>74</v>
      </c>
      <c r="BC797" t="s">
        <v>74</v>
      </c>
      <c r="BD797" t="s">
        <v>14910</v>
      </c>
      <c r="BE797" t="s">
        <v>14911</v>
      </c>
      <c r="BF797" t="str">
        <f>HYPERLINK("http://dx.doi.org/10.1371/journal.pone.0039181","http://dx.doi.org/10.1371/journal.pone.0039181")</f>
        <v>http://dx.doi.org/10.1371/journal.pone.0039181</v>
      </c>
      <c r="BG797" t="s">
        <v>74</v>
      </c>
      <c r="BH797" t="s">
        <v>74</v>
      </c>
      <c r="BI797">
        <v>9</v>
      </c>
      <c r="BJ797" t="s">
        <v>153</v>
      </c>
      <c r="BK797" t="s">
        <v>98</v>
      </c>
      <c r="BL797" t="s">
        <v>154</v>
      </c>
      <c r="BM797" t="s">
        <v>14912</v>
      </c>
      <c r="BN797">
        <v>22745712</v>
      </c>
      <c r="BO797" t="s">
        <v>7372</v>
      </c>
      <c r="BP797" t="s">
        <v>74</v>
      </c>
      <c r="BQ797" t="s">
        <v>74</v>
      </c>
      <c r="BR797" t="s">
        <v>101</v>
      </c>
      <c r="BS797" t="s">
        <v>14913</v>
      </c>
      <c r="BT797" t="str">
        <f>HYPERLINK("https%3A%2F%2Fwww.webofscience.com%2Fwos%2Fwoscc%2Ffull-record%2FWOS:000305693200046","View Full Record in Web of Science")</f>
        <v>View Full Record in Web of Science</v>
      </c>
    </row>
    <row r="798" spans="1:72" x14ac:dyDescent="0.15">
      <c r="A798" t="s">
        <v>72</v>
      </c>
      <c r="B798" t="s">
        <v>14914</v>
      </c>
      <c r="C798" t="s">
        <v>74</v>
      </c>
      <c r="D798" t="s">
        <v>74</v>
      </c>
      <c r="E798" t="s">
        <v>74</v>
      </c>
      <c r="F798" t="s">
        <v>14915</v>
      </c>
      <c r="G798" t="s">
        <v>74</v>
      </c>
      <c r="H798" t="s">
        <v>74</v>
      </c>
      <c r="I798" t="s">
        <v>14916</v>
      </c>
      <c r="J798" t="s">
        <v>11463</v>
      </c>
      <c r="K798" t="s">
        <v>74</v>
      </c>
      <c r="L798" t="s">
        <v>74</v>
      </c>
      <c r="M798" t="s">
        <v>78</v>
      </c>
      <c r="N798" t="s">
        <v>79</v>
      </c>
      <c r="O798" t="s">
        <v>74</v>
      </c>
      <c r="P798" t="s">
        <v>74</v>
      </c>
      <c r="Q798" t="s">
        <v>74</v>
      </c>
      <c r="R798" t="s">
        <v>74</v>
      </c>
      <c r="S798" t="s">
        <v>74</v>
      </c>
      <c r="T798" t="s">
        <v>14917</v>
      </c>
      <c r="U798" t="s">
        <v>14918</v>
      </c>
      <c r="V798" t="s">
        <v>14919</v>
      </c>
      <c r="W798" t="s">
        <v>14920</v>
      </c>
      <c r="X798" t="s">
        <v>13704</v>
      </c>
      <c r="Y798" t="s">
        <v>14921</v>
      </c>
      <c r="Z798" t="s">
        <v>14922</v>
      </c>
      <c r="AA798" t="s">
        <v>14923</v>
      </c>
      <c r="AB798" t="s">
        <v>14924</v>
      </c>
      <c r="AC798" t="s">
        <v>14925</v>
      </c>
      <c r="AD798" t="s">
        <v>14925</v>
      </c>
      <c r="AE798" t="s">
        <v>14926</v>
      </c>
      <c r="AF798" t="s">
        <v>74</v>
      </c>
      <c r="AG798">
        <v>59</v>
      </c>
      <c r="AH798">
        <v>5</v>
      </c>
      <c r="AI798">
        <v>5</v>
      </c>
      <c r="AJ798">
        <v>0</v>
      </c>
      <c r="AK798">
        <v>37</v>
      </c>
      <c r="AL798" t="s">
        <v>188</v>
      </c>
      <c r="AM798" t="s">
        <v>189</v>
      </c>
      <c r="AN798" t="s">
        <v>190</v>
      </c>
      <c r="AO798" t="s">
        <v>11476</v>
      </c>
      <c r="AP798" t="s">
        <v>11477</v>
      </c>
      <c r="AQ798" t="s">
        <v>74</v>
      </c>
      <c r="AR798" t="s">
        <v>11463</v>
      </c>
      <c r="AS798" t="s">
        <v>11478</v>
      </c>
      <c r="AT798" t="s">
        <v>14894</v>
      </c>
      <c r="AU798">
        <v>2012</v>
      </c>
      <c r="AV798">
        <v>350</v>
      </c>
      <c r="AW798" t="s">
        <v>74</v>
      </c>
      <c r="AX798" t="s">
        <v>74</v>
      </c>
      <c r="AY798" t="s">
        <v>74</v>
      </c>
      <c r="AZ798" t="s">
        <v>74</v>
      </c>
      <c r="BA798" t="s">
        <v>74</v>
      </c>
      <c r="BB798">
        <v>162</v>
      </c>
      <c r="BC798">
        <v>168</v>
      </c>
      <c r="BD798" t="s">
        <v>74</v>
      </c>
      <c r="BE798" t="s">
        <v>14927</v>
      </c>
      <c r="BF798" t="str">
        <f>HYPERLINK("http://dx.doi.org/10.1016/j.aquaculture.2012.03.043","http://dx.doi.org/10.1016/j.aquaculture.2012.03.043")</f>
        <v>http://dx.doi.org/10.1016/j.aquaculture.2012.03.043</v>
      </c>
      <c r="BG798" t="s">
        <v>74</v>
      </c>
      <c r="BH798" t="s">
        <v>74</v>
      </c>
      <c r="BI798">
        <v>7</v>
      </c>
      <c r="BJ798" t="s">
        <v>4156</v>
      </c>
      <c r="BK798" t="s">
        <v>98</v>
      </c>
      <c r="BL798" t="s">
        <v>4156</v>
      </c>
      <c r="BM798" t="s">
        <v>14928</v>
      </c>
      <c r="BN798" t="s">
        <v>74</v>
      </c>
      <c r="BO798" t="s">
        <v>74</v>
      </c>
      <c r="BP798" t="s">
        <v>74</v>
      </c>
      <c r="BQ798" t="s">
        <v>74</v>
      </c>
      <c r="BR798" t="s">
        <v>101</v>
      </c>
      <c r="BS798" t="s">
        <v>14929</v>
      </c>
      <c r="BT798" t="str">
        <f>HYPERLINK("https%3A%2F%2Fwww.webofscience.com%2Fwos%2Fwoscc%2Ffull-record%2FWOS:000305068800023","View Full Record in Web of Science")</f>
        <v>View Full Record in Web of Science</v>
      </c>
    </row>
    <row r="799" spans="1:72" x14ac:dyDescent="0.15">
      <c r="A799" t="s">
        <v>72</v>
      </c>
      <c r="B799" t="s">
        <v>14930</v>
      </c>
      <c r="C799" t="s">
        <v>74</v>
      </c>
      <c r="D799" t="s">
        <v>74</v>
      </c>
      <c r="E799" t="s">
        <v>74</v>
      </c>
      <c r="F799" t="s">
        <v>14931</v>
      </c>
      <c r="G799" t="s">
        <v>74</v>
      </c>
      <c r="H799" t="s">
        <v>74</v>
      </c>
      <c r="I799" t="s">
        <v>14932</v>
      </c>
      <c r="J799" t="s">
        <v>3145</v>
      </c>
      <c r="K799" t="s">
        <v>74</v>
      </c>
      <c r="L799" t="s">
        <v>74</v>
      </c>
      <c r="M799" t="s">
        <v>78</v>
      </c>
      <c r="N799" t="s">
        <v>79</v>
      </c>
      <c r="O799" t="s">
        <v>74</v>
      </c>
      <c r="P799" t="s">
        <v>74</v>
      </c>
      <c r="Q799" t="s">
        <v>74</v>
      </c>
      <c r="R799" t="s">
        <v>74</v>
      </c>
      <c r="S799" t="s">
        <v>74</v>
      </c>
      <c r="T799" t="s">
        <v>14933</v>
      </c>
      <c r="U799" t="s">
        <v>14934</v>
      </c>
      <c r="V799" t="s">
        <v>14935</v>
      </c>
      <c r="W799" t="s">
        <v>14936</v>
      </c>
      <c r="X799" t="s">
        <v>13569</v>
      </c>
      <c r="Y799" t="s">
        <v>14937</v>
      </c>
      <c r="Z799" t="s">
        <v>14938</v>
      </c>
      <c r="AA799" t="s">
        <v>14939</v>
      </c>
      <c r="AB799" t="s">
        <v>14940</v>
      </c>
      <c r="AC799" t="s">
        <v>14941</v>
      </c>
      <c r="AD799" t="s">
        <v>14942</v>
      </c>
      <c r="AE799" t="s">
        <v>14943</v>
      </c>
      <c r="AF799" t="s">
        <v>74</v>
      </c>
      <c r="AG799">
        <v>41</v>
      </c>
      <c r="AH799">
        <v>120</v>
      </c>
      <c r="AI799">
        <v>128</v>
      </c>
      <c r="AJ799">
        <v>0</v>
      </c>
      <c r="AK799">
        <v>59</v>
      </c>
      <c r="AL799" t="s">
        <v>3158</v>
      </c>
      <c r="AM799" t="s">
        <v>119</v>
      </c>
      <c r="AN799" t="s">
        <v>3159</v>
      </c>
      <c r="AO799" t="s">
        <v>3160</v>
      </c>
      <c r="AP799" t="s">
        <v>74</v>
      </c>
      <c r="AQ799" t="s">
        <v>74</v>
      </c>
      <c r="AR799" t="s">
        <v>3161</v>
      </c>
      <c r="AS799" t="s">
        <v>3162</v>
      </c>
      <c r="AT799" t="s">
        <v>14944</v>
      </c>
      <c r="AU799">
        <v>2012</v>
      </c>
      <c r="AV799">
        <v>109</v>
      </c>
      <c r="AW799">
        <v>25</v>
      </c>
      <c r="AX799" t="s">
        <v>74</v>
      </c>
      <c r="AY799" t="s">
        <v>74</v>
      </c>
      <c r="AZ799" t="s">
        <v>74</v>
      </c>
      <c r="BA799" t="s">
        <v>74</v>
      </c>
      <c r="BB799">
        <v>9755</v>
      </c>
      <c r="BC799">
        <v>9760</v>
      </c>
      <c r="BD799" t="s">
        <v>74</v>
      </c>
      <c r="BE799" t="s">
        <v>14945</v>
      </c>
      <c r="BF799" t="str">
        <f>HYPERLINK("http://dx.doi.org/10.1073/pnas.1204069109","http://dx.doi.org/10.1073/pnas.1204069109")</f>
        <v>http://dx.doi.org/10.1073/pnas.1204069109</v>
      </c>
      <c r="BG799" t="s">
        <v>74</v>
      </c>
      <c r="BH799" t="s">
        <v>74</v>
      </c>
      <c r="BI799">
        <v>6</v>
      </c>
      <c r="BJ799" t="s">
        <v>153</v>
      </c>
      <c r="BK799" t="s">
        <v>98</v>
      </c>
      <c r="BL799" t="s">
        <v>154</v>
      </c>
      <c r="BM799" t="s">
        <v>14946</v>
      </c>
      <c r="BN799">
        <v>22675123</v>
      </c>
      <c r="BO799" t="s">
        <v>1458</v>
      </c>
      <c r="BP799" t="s">
        <v>74</v>
      </c>
      <c r="BQ799" t="s">
        <v>74</v>
      </c>
      <c r="BR799" t="s">
        <v>101</v>
      </c>
      <c r="BS799" t="s">
        <v>14947</v>
      </c>
      <c r="BT799" t="str">
        <f>HYPERLINK("https%3A%2F%2Fwww.webofscience.com%2Fwos%2Fwoscc%2Ffull-record%2FWOS:000306061400027","View Full Record in Web of Science")</f>
        <v>View Full Record in Web of Science</v>
      </c>
    </row>
    <row r="800" spans="1:72" x14ac:dyDescent="0.15">
      <c r="A800" t="s">
        <v>72</v>
      </c>
      <c r="B800" t="s">
        <v>14948</v>
      </c>
      <c r="C800" t="s">
        <v>74</v>
      </c>
      <c r="D800" t="s">
        <v>74</v>
      </c>
      <c r="E800" t="s">
        <v>74</v>
      </c>
      <c r="F800" t="s">
        <v>14949</v>
      </c>
      <c r="G800" t="s">
        <v>74</v>
      </c>
      <c r="H800" t="s">
        <v>74</v>
      </c>
      <c r="I800" t="s">
        <v>14950</v>
      </c>
      <c r="J800" t="s">
        <v>9536</v>
      </c>
      <c r="K800" t="s">
        <v>74</v>
      </c>
      <c r="L800" t="s">
        <v>74</v>
      </c>
      <c r="M800" t="s">
        <v>78</v>
      </c>
      <c r="N800" t="s">
        <v>79</v>
      </c>
      <c r="O800" t="s">
        <v>74</v>
      </c>
      <c r="P800" t="s">
        <v>74</v>
      </c>
      <c r="Q800" t="s">
        <v>74</v>
      </c>
      <c r="R800" t="s">
        <v>74</v>
      </c>
      <c r="S800" t="s">
        <v>74</v>
      </c>
      <c r="T800" t="s">
        <v>74</v>
      </c>
      <c r="U800" t="s">
        <v>14951</v>
      </c>
      <c r="V800" t="s">
        <v>14952</v>
      </c>
      <c r="W800" t="s">
        <v>14953</v>
      </c>
      <c r="X800" t="s">
        <v>14954</v>
      </c>
      <c r="Y800" t="s">
        <v>14955</v>
      </c>
      <c r="Z800" t="s">
        <v>14956</v>
      </c>
      <c r="AA800" t="s">
        <v>14957</v>
      </c>
      <c r="AB800" t="s">
        <v>14958</v>
      </c>
      <c r="AC800" t="s">
        <v>14959</v>
      </c>
      <c r="AD800" t="s">
        <v>14960</v>
      </c>
      <c r="AE800" t="s">
        <v>14961</v>
      </c>
      <c r="AF800" t="s">
        <v>74</v>
      </c>
      <c r="AG800">
        <v>99</v>
      </c>
      <c r="AH800">
        <v>72</v>
      </c>
      <c r="AI800">
        <v>75</v>
      </c>
      <c r="AJ800">
        <v>1</v>
      </c>
      <c r="AK800">
        <v>57</v>
      </c>
      <c r="AL800" t="s">
        <v>118</v>
      </c>
      <c r="AM800" t="s">
        <v>119</v>
      </c>
      <c r="AN800" t="s">
        <v>120</v>
      </c>
      <c r="AO800" t="s">
        <v>9548</v>
      </c>
      <c r="AP800" t="s">
        <v>74</v>
      </c>
      <c r="AQ800" t="s">
        <v>74</v>
      </c>
      <c r="AR800" t="s">
        <v>9550</v>
      </c>
      <c r="AS800" t="s">
        <v>9551</v>
      </c>
      <c r="AT800" t="s">
        <v>14944</v>
      </c>
      <c r="AU800">
        <v>2012</v>
      </c>
      <c r="AV800">
        <v>26</v>
      </c>
      <c r="AW800" t="s">
        <v>74</v>
      </c>
      <c r="AX800" t="s">
        <v>74</v>
      </c>
      <c r="AY800" t="s">
        <v>74</v>
      </c>
      <c r="AZ800" t="s">
        <v>74</v>
      </c>
      <c r="BA800" t="s">
        <v>74</v>
      </c>
      <c r="BB800" t="s">
        <v>74</v>
      </c>
      <c r="BC800" t="s">
        <v>74</v>
      </c>
      <c r="BD800" t="s">
        <v>14962</v>
      </c>
      <c r="BE800" t="s">
        <v>14963</v>
      </c>
      <c r="BF800" t="str">
        <f>HYPERLINK("http://dx.doi.org/10.1029/2011GB004141","http://dx.doi.org/10.1029/2011GB004141")</f>
        <v>http://dx.doi.org/10.1029/2011GB004141</v>
      </c>
      <c r="BG800" t="s">
        <v>74</v>
      </c>
      <c r="BH800" t="s">
        <v>74</v>
      </c>
      <c r="BI800">
        <v>13</v>
      </c>
      <c r="BJ800" t="s">
        <v>9554</v>
      </c>
      <c r="BK800" t="s">
        <v>98</v>
      </c>
      <c r="BL800" t="s">
        <v>9555</v>
      </c>
      <c r="BM800" t="s">
        <v>14964</v>
      </c>
      <c r="BN800" t="s">
        <v>74</v>
      </c>
      <c r="BO800" t="s">
        <v>14965</v>
      </c>
      <c r="BP800" t="s">
        <v>74</v>
      </c>
      <c r="BQ800" t="s">
        <v>74</v>
      </c>
      <c r="BR800" t="s">
        <v>101</v>
      </c>
      <c r="BS800" t="s">
        <v>14966</v>
      </c>
      <c r="BT800" t="str">
        <f>HYPERLINK("https%3A%2F%2Fwww.webofscience.com%2Fwos%2Fwoscc%2Ffull-record%2FWOS:000305636600001","View Full Record in Web of Science")</f>
        <v>View Full Record in Web of Science</v>
      </c>
    </row>
    <row r="801" spans="1:72" x14ac:dyDescent="0.15">
      <c r="A801" t="s">
        <v>72</v>
      </c>
      <c r="B801" t="s">
        <v>14967</v>
      </c>
      <c r="C801" t="s">
        <v>74</v>
      </c>
      <c r="D801" t="s">
        <v>74</v>
      </c>
      <c r="E801" t="s">
        <v>74</v>
      </c>
      <c r="F801" t="s">
        <v>14968</v>
      </c>
      <c r="G801" t="s">
        <v>74</v>
      </c>
      <c r="H801" t="s">
        <v>74</v>
      </c>
      <c r="I801" t="s">
        <v>14969</v>
      </c>
      <c r="J801" t="s">
        <v>6654</v>
      </c>
      <c r="K801" t="s">
        <v>74</v>
      </c>
      <c r="L801" t="s">
        <v>74</v>
      </c>
      <c r="M801" t="s">
        <v>78</v>
      </c>
      <c r="N801" t="s">
        <v>79</v>
      </c>
      <c r="O801" t="s">
        <v>74</v>
      </c>
      <c r="P801" t="s">
        <v>74</v>
      </c>
      <c r="Q801" t="s">
        <v>74</v>
      </c>
      <c r="R801" t="s">
        <v>74</v>
      </c>
      <c r="S801" t="s">
        <v>74</v>
      </c>
      <c r="T801" t="s">
        <v>14970</v>
      </c>
      <c r="U801" t="s">
        <v>14971</v>
      </c>
      <c r="V801" t="s">
        <v>14972</v>
      </c>
      <c r="W801" t="s">
        <v>14973</v>
      </c>
      <c r="X801" t="s">
        <v>14974</v>
      </c>
      <c r="Y801" t="s">
        <v>14975</v>
      </c>
      <c r="Z801" t="s">
        <v>14976</v>
      </c>
      <c r="AA801" t="s">
        <v>74</v>
      </c>
      <c r="AB801" t="s">
        <v>74</v>
      </c>
      <c r="AC801" t="s">
        <v>74</v>
      </c>
      <c r="AD801" t="s">
        <v>74</v>
      </c>
      <c r="AE801" t="s">
        <v>74</v>
      </c>
      <c r="AF801" t="s">
        <v>74</v>
      </c>
      <c r="AG801">
        <v>62</v>
      </c>
      <c r="AH801">
        <v>28</v>
      </c>
      <c r="AI801">
        <v>29</v>
      </c>
      <c r="AJ801">
        <v>0</v>
      </c>
      <c r="AK801">
        <v>23</v>
      </c>
      <c r="AL801" t="s">
        <v>89</v>
      </c>
      <c r="AM801" t="s">
        <v>90</v>
      </c>
      <c r="AN801" t="s">
        <v>91</v>
      </c>
      <c r="AO801" t="s">
        <v>6667</v>
      </c>
      <c r="AP801" t="s">
        <v>6668</v>
      </c>
      <c r="AQ801" t="s">
        <v>74</v>
      </c>
      <c r="AR801" t="s">
        <v>6669</v>
      </c>
      <c r="AS801" t="s">
        <v>6670</v>
      </c>
      <c r="AT801" t="s">
        <v>14977</v>
      </c>
      <c r="AU801">
        <v>2012</v>
      </c>
      <c r="AV801" t="s">
        <v>14978</v>
      </c>
      <c r="AW801" t="s">
        <v>74</v>
      </c>
      <c r="AX801" t="s">
        <v>74</v>
      </c>
      <c r="AY801" t="s">
        <v>74</v>
      </c>
      <c r="AZ801" t="s">
        <v>1019</v>
      </c>
      <c r="BA801" t="s">
        <v>74</v>
      </c>
      <c r="BB801">
        <v>217</v>
      </c>
      <c r="BC801">
        <v>229</v>
      </c>
      <c r="BD801" t="s">
        <v>74</v>
      </c>
      <c r="BE801" t="s">
        <v>14979</v>
      </c>
      <c r="BF801" t="str">
        <f>HYPERLINK("http://dx.doi.org/10.1016/j.dsr2.2012.02.005","http://dx.doi.org/10.1016/j.dsr2.2012.02.005")</f>
        <v>http://dx.doi.org/10.1016/j.dsr2.2012.02.005</v>
      </c>
      <c r="BG801" t="s">
        <v>74</v>
      </c>
      <c r="BH801" t="s">
        <v>74</v>
      </c>
      <c r="BI801">
        <v>13</v>
      </c>
      <c r="BJ801" t="s">
        <v>941</v>
      </c>
      <c r="BK801" t="s">
        <v>98</v>
      </c>
      <c r="BL801" t="s">
        <v>941</v>
      </c>
      <c r="BM801" t="s">
        <v>14980</v>
      </c>
      <c r="BN801" t="s">
        <v>74</v>
      </c>
      <c r="BO801" t="s">
        <v>74</v>
      </c>
      <c r="BP801" t="s">
        <v>74</v>
      </c>
      <c r="BQ801" t="s">
        <v>74</v>
      </c>
      <c r="BR801" t="s">
        <v>101</v>
      </c>
      <c r="BS801" t="s">
        <v>14981</v>
      </c>
      <c r="BT801" t="str">
        <f>HYPERLINK("https%3A%2F%2Fwww.webofscience.com%2Fwos%2Fwoscc%2Ffull-record%2FWOS:000306148200018","View Full Record in Web of Science")</f>
        <v>View Full Record in Web of Science</v>
      </c>
    </row>
    <row r="802" spans="1:72" x14ac:dyDescent="0.15">
      <c r="A802" t="s">
        <v>72</v>
      </c>
      <c r="B802" t="s">
        <v>14982</v>
      </c>
      <c r="C802" t="s">
        <v>74</v>
      </c>
      <c r="D802" t="s">
        <v>74</v>
      </c>
      <c r="E802" t="s">
        <v>74</v>
      </c>
      <c r="F802" t="s">
        <v>14983</v>
      </c>
      <c r="G802" t="s">
        <v>74</v>
      </c>
      <c r="H802" t="s">
        <v>74</v>
      </c>
      <c r="I802" t="s">
        <v>14984</v>
      </c>
      <c r="J802" t="s">
        <v>3489</v>
      </c>
      <c r="K802" t="s">
        <v>74</v>
      </c>
      <c r="L802" t="s">
        <v>74</v>
      </c>
      <c r="M802" t="s">
        <v>78</v>
      </c>
      <c r="N802" t="s">
        <v>79</v>
      </c>
      <c r="O802" t="s">
        <v>74</v>
      </c>
      <c r="P802" t="s">
        <v>74</v>
      </c>
      <c r="Q802" t="s">
        <v>74</v>
      </c>
      <c r="R802" t="s">
        <v>74</v>
      </c>
      <c r="S802" t="s">
        <v>74</v>
      </c>
      <c r="T802" t="s">
        <v>14985</v>
      </c>
      <c r="U802" t="s">
        <v>74</v>
      </c>
      <c r="V802" t="s">
        <v>14986</v>
      </c>
      <c r="W802" t="s">
        <v>14987</v>
      </c>
      <c r="X802" t="s">
        <v>14988</v>
      </c>
      <c r="Y802" t="s">
        <v>14989</v>
      </c>
      <c r="Z802" t="s">
        <v>14990</v>
      </c>
      <c r="AA802" t="s">
        <v>14991</v>
      </c>
      <c r="AB802" t="s">
        <v>14992</v>
      </c>
      <c r="AC802" t="s">
        <v>14993</v>
      </c>
      <c r="AD802" t="s">
        <v>14994</v>
      </c>
      <c r="AE802" t="s">
        <v>14995</v>
      </c>
      <c r="AF802" t="s">
        <v>74</v>
      </c>
      <c r="AG802">
        <v>27</v>
      </c>
      <c r="AH802">
        <v>9</v>
      </c>
      <c r="AI802">
        <v>9</v>
      </c>
      <c r="AJ802">
        <v>0</v>
      </c>
      <c r="AK802">
        <v>5</v>
      </c>
      <c r="AL802" t="s">
        <v>1034</v>
      </c>
      <c r="AM802" t="s">
        <v>90</v>
      </c>
      <c r="AN802" t="s">
        <v>1035</v>
      </c>
      <c r="AO802" t="s">
        <v>3499</v>
      </c>
      <c r="AP802" t="s">
        <v>3522</v>
      </c>
      <c r="AQ802" t="s">
        <v>74</v>
      </c>
      <c r="AR802" t="s">
        <v>3500</v>
      </c>
      <c r="AS802" t="s">
        <v>3501</v>
      </c>
      <c r="AT802" t="s">
        <v>14977</v>
      </c>
      <c r="AU802">
        <v>2012</v>
      </c>
      <c r="AV802">
        <v>49</v>
      </c>
      <c r="AW802">
        <v>12</v>
      </c>
      <c r="AX802" t="s">
        <v>74</v>
      </c>
      <c r="AY802" t="s">
        <v>74</v>
      </c>
      <c r="AZ802" t="s">
        <v>74</v>
      </c>
      <c r="BA802" t="s">
        <v>74</v>
      </c>
      <c r="BB802">
        <v>1670</v>
      </c>
      <c r="BC802">
        <v>1683</v>
      </c>
      <c r="BD802" t="s">
        <v>74</v>
      </c>
      <c r="BE802" t="s">
        <v>14996</v>
      </c>
      <c r="BF802" t="str">
        <f>HYPERLINK("http://dx.doi.org/10.1016/j.asr.2012.03.015","http://dx.doi.org/10.1016/j.asr.2012.03.015")</f>
        <v>http://dx.doi.org/10.1016/j.asr.2012.03.015</v>
      </c>
      <c r="BG802" t="s">
        <v>74</v>
      </c>
      <c r="BH802" t="s">
        <v>74</v>
      </c>
      <c r="BI802">
        <v>14</v>
      </c>
      <c r="BJ802" t="s">
        <v>3503</v>
      </c>
      <c r="BK802" t="s">
        <v>98</v>
      </c>
      <c r="BL802" t="s">
        <v>3504</v>
      </c>
      <c r="BM802" t="s">
        <v>14997</v>
      </c>
      <c r="BN802" t="s">
        <v>74</v>
      </c>
      <c r="BO802" t="s">
        <v>74</v>
      </c>
      <c r="BP802" t="s">
        <v>74</v>
      </c>
      <c r="BQ802" t="s">
        <v>74</v>
      </c>
      <c r="BR802" t="s">
        <v>101</v>
      </c>
      <c r="BS802" t="s">
        <v>14998</v>
      </c>
      <c r="BT802" t="str">
        <f>HYPERLINK("https%3A%2F%2Fwww.webofscience.com%2Fwos%2Fwoscc%2Ffull-record%2FWOS:000304787900004","View Full Record in Web of Science")</f>
        <v>View Full Record in Web of Science</v>
      </c>
    </row>
    <row r="803" spans="1:72" x14ac:dyDescent="0.15">
      <c r="A803" t="s">
        <v>72</v>
      </c>
      <c r="B803" t="s">
        <v>14999</v>
      </c>
      <c r="C803" t="s">
        <v>74</v>
      </c>
      <c r="D803" t="s">
        <v>74</v>
      </c>
      <c r="E803" t="s">
        <v>74</v>
      </c>
      <c r="F803" t="s">
        <v>15000</v>
      </c>
      <c r="G803" t="s">
        <v>74</v>
      </c>
      <c r="H803" t="s">
        <v>74</v>
      </c>
      <c r="I803" t="s">
        <v>15001</v>
      </c>
      <c r="J803" t="s">
        <v>6654</v>
      </c>
      <c r="K803" t="s">
        <v>74</v>
      </c>
      <c r="L803" t="s">
        <v>74</v>
      </c>
      <c r="M803" t="s">
        <v>78</v>
      </c>
      <c r="N803" t="s">
        <v>79</v>
      </c>
      <c r="O803" t="s">
        <v>74</v>
      </c>
      <c r="P803" t="s">
        <v>74</v>
      </c>
      <c r="Q803" t="s">
        <v>74</v>
      </c>
      <c r="R803" t="s">
        <v>74</v>
      </c>
      <c r="S803" t="s">
        <v>74</v>
      </c>
      <c r="T803" t="s">
        <v>15002</v>
      </c>
      <c r="U803" t="s">
        <v>15003</v>
      </c>
      <c r="V803" t="s">
        <v>15004</v>
      </c>
      <c r="W803" t="s">
        <v>15005</v>
      </c>
      <c r="X803" t="s">
        <v>15006</v>
      </c>
      <c r="Y803" t="s">
        <v>15007</v>
      </c>
      <c r="Z803" t="s">
        <v>15008</v>
      </c>
      <c r="AA803" t="s">
        <v>15009</v>
      </c>
      <c r="AB803" t="s">
        <v>15010</v>
      </c>
      <c r="AC803" t="s">
        <v>74</v>
      </c>
      <c r="AD803" t="s">
        <v>74</v>
      </c>
      <c r="AE803" t="s">
        <v>74</v>
      </c>
      <c r="AF803" t="s">
        <v>74</v>
      </c>
      <c r="AG803">
        <v>87</v>
      </c>
      <c r="AH803">
        <v>77</v>
      </c>
      <c r="AI803">
        <v>83</v>
      </c>
      <c r="AJ803">
        <v>0</v>
      </c>
      <c r="AK803">
        <v>27</v>
      </c>
      <c r="AL803" t="s">
        <v>89</v>
      </c>
      <c r="AM803" t="s">
        <v>90</v>
      </c>
      <c r="AN803" t="s">
        <v>91</v>
      </c>
      <c r="AO803" t="s">
        <v>6667</v>
      </c>
      <c r="AP803" t="s">
        <v>6668</v>
      </c>
      <c r="AQ803" t="s">
        <v>74</v>
      </c>
      <c r="AR803" t="s">
        <v>6669</v>
      </c>
      <c r="AS803" t="s">
        <v>6670</v>
      </c>
      <c r="AT803" t="s">
        <v>14977</v>
      </c>
      <c r="AU803">
        <v>2012</v>
      </c>
      <c r="AV803" t="s">
        <v>14978</v>
      </c>
      <c r="AW803" t="s">
        <v>74</v>
      </c>
      <c r="AX803" t="s">
        <v>74</v>
      </c>
      <c r="AY803" t="s">
        <v>74</v>
      </c>
      <c r="AZ803" t="s">
        <v>1019</v>
      </c>
      <c r="BA803" t="s">
        <v>74</v>
      </c>
      <c r="BB803">
        <v>184</v>
      </c>
      <c r="BC803">
        <v>195</v>
      </c>
      <c r="BD803" t="s">
        <v>74</v>
      </c>
      <c r="BE803" t="s">
        <v>15011</v>
      </c>
      <c r="BF803" t="str">
        <f>HYPERLINK("http://dx.doi.org/10.1016/j.dsr2.2012.02.015","http://dx.doi.org/10.1016/j.dsr2.2012.02.015")</f>
        <v>http://dx.doi.org/10.1016/j.dsr2.2012.02.015</v>
      </c>
      <c r="BG803" t="s">
        <v>74</v>
      </c>
      <c r="BH803" t="s">
        <v>74</v>
      </c>
      <c r="BI803">
        <v>12</v>
      </c>
      <c r="BJ803" t="s">
        <v>941</v>
      </c>
      <c r="BK803" t="s">
        <v>98</v>
      </c>
      <c r="BL803" t="s">
        <v>941</v>
      </c>
      <c r="BM803" t="s">
        <v>14980</v>
      </c>
      <c r="BN803" t="s">
        <v>74</v>
      </c>
      <c r="BO803" t="s">
        <v>74</v>
      </c>
      <c r="BP803" t="s">
        <v>74</v>
      </c>
      <c r="BQ803" t="s">
        <v>74</v>
      </c>
      <c r="BR803" t="s">
        <v>101</v>
      </c>
      <c r="BS803" t="s">
        <v>15012</v>
      </c>
      <c r="BT803" t="str">
        <f>HYPERLINK("https%3A%2F%2Fwww.webofscience.com%2Fwos%2Fwoscc%2Ffull-record%2FWOS:000306148200015","View Full Record in Web of Science")</f>
        <v>View Full Record in Web of Science</v>
      </c>
    </row>
    <row r="804" spans="1:72" x14ac:dyDescent="0.15">
      <c r="A804" t="s">
        <v>72</v>
      </c>
      <c r="B804" t="s">
        <v>15013</v>
      </c>
      <c r="C804" t="s">
        <v>74</v>
      </c>
      <c r="D804" t="s">
        <v>74</v>
      </c>
      <c r="E804" t="s">
        <v>74</v>
      </c>
      <c r="F804" t="s">
        <v>15014</v>
      </c>
      <c r="G804" t="s">
        <v>74</v>
      </c>
      <c r="H804" t="s">
        <v>74</v>
      </c>
      <c r="I804" t="s">
        <v>15015</v>
      </c>
      <c r="J804" t="s">
        <v>6654</v>
      </c>
      <c r="K804" t="s">
        <v>74</v>
      </c>
      <c r="L804" t="s">
        <v>74</v>
      </c>
      <c r="M804" t="s">
        <v>78</v>
      </c>
      <c r="N804" t="s">
        <v>79</v>
      </c>
      <c r="O804" t="s">
        <v>74</v>
      </c>
      <c r="P804" t="s">
        <v>74</v>
      </c>
      <c r="Q804" t="s">
        <v>74</v>
      </c>
      <c r="R804" t="s">
        <v>74</v>
      </c>
      <c r="S804" t="s">
        <v>74</v>
      </c>
      <c r="T804" t="s">
        <v>15016</v>
      </c>
      <c r="U804" t="s">
        <v>15017</v>
      </c>
      <c r="V804" t="s">
        <v>15018</v>
      </c>
      <c r="W804" t="s">
        <v>15019</v>
      </c>
      <c r="X804" t="s">
        <v>15020</v>
      </c>
      <c r="Y804" t="s">
        <v>15021</v>
      </c>
      <c r="Z804" t="s">
        <v>15022</v>
      </c>
      <c r="AA804" t="s">
        <v>74</v>
      </c>
      <c r="AB804" t="s">
        <v>15023</v>
      </c>
      <c r="AC804" t="s">
        <v>74</v>
      </c>
      <c r="AD804" t="s">
        <v>74</v>
      </c>
      <c r="AE804" t="s">
        <v>74</v>
      </c>
      <c r="AF804" t="s">
        <v>74</v>
      </c>
      <c r="AG804">
        <v>92</v>
      </c>
      <c r="AH804">
        <v>13</v>
      </c>
      <c r="AI804">
        <v>15</v>
      </c>
      <c r="AJ804">
        <v>0</v>
      </c>
      <c r="AK804">
        <v>51</v>
      </c>
      <c r="AL804" t="s">
        <v>89</v>
      </c>
      <c r="AM804" t="s">
        <v>90</v>
      </c>
      <c r="AN804" t="s">
        <v>91</v>
      </c>
      <c r="AO804" t="s">
        <v>6667</v>
      </c>
      <c r="AP804" t="s">
        <v>6668</v>
      </c>
      <c r="AQ804" t="s">
        <v>74</v>
      </c>
      <c r="AR804" t="s">
        <v>6669</v>
      </c>
      <c r="AS804" t="s">
        <v>6670</v>
      </c>
      <c r="AT804" t="s">
        <v>14977</v>
      </c>
      <c r="AU804">
        <v>2012</v>
      </c>
      <c r="AV804" t="s">
        <v>14978</v>
      </c>
      <c r="AW804" t="s">
        <v>74</v>
      </c>
      <c r="AX804" t="s">
        <v>74</v>
      </c>
      <c r="AY804" t="s">
        <v>74</v>
      </c>
      <c r="AZ804" t="s">
        <v>1019</v>
      </c>
      <c r="BA804" t="s">
        <v>74</v>
      </c>
      <c r="BB804">
        <v>304</v>
      </c>
      <c r="BC804">
        <v>315</v>
      </c>
      <c r="BD804" t="s">
        <v>74</v>
      </c>
      <c r="BE804" t="s">
        <v>15024</v>
      </c>
      <c r="BF804" t="str">
        <f>HYPERLINK("http://dx.doi.org/10.1016/j.dsr2.2012.02.016","http://dx.doi.org/10.1016/j.dsr2.2012.02.016")</f>
        <v>http://dx.doi.org/10.1016/j.dsr2.2012.02.016</v>
      </c>
      <c r="BG804" t="s">
        <v>74</v>
      </c>
      <c r="BH804" t="s">
        <v>74</v>
      </c>
      <c r="BI804">
        <v>12</v>
      </c>
      <c r="BJ804" t="s">
        <v>941</v>
      </c>
      <c r="BK804" t="s">
        <v>98</v>
      </c>
      <c r="BL804" t="s">
        <v>941</v>
      </c>
      <c r="BM804" t="s">
        <v>14980</v>
      </c>
      <c r="BN804" t="s">
        <v>74</v>
      </c>
      <c r="BO804" t="s">
        <v>74</v>
      </c>
      <c r="BP804" t="s">
        <v>74</v>
      </c>
      <c r="BQ804" t="s">
        <v>74</v>
      </c>
      <c r="BR804" t="s">
        <v>101</v>
      </c>
      <c r="BS804" t="s">
        <v>15025</v>
      </c>
      <c r="BT804" t="str">
        <f>HYPERLINK("https%3A%2F%2Fwww.webofscience.com%2Fwos%2Fwoscc%2Ffull-record%2FWOS:000306148200024","View Full Record in Web of Science")</f>
        <v>View Full Record in Web of Science</v>
      </c>
    </row>
    <row r="805" spans="1:72" x14ac:dyDescent="0.15">
      <c r="A805" t="s">
        <v>72</v>
      </c>
      <c r="B805" t="s">
        <v>15026</v>
      </c>
      <c r="C805" t="s">
        <v>74</v>
      </c>
      <c r="D805" t="s">
        <v>74</v>
      </c>
      <c r="E805" t="s">
        <v>74</v>
      </c>
      <c r="F805" t="s">
        <v>15027</v>
      </c>
      <c r="G805" t="s">
        <v>74</v>
      </c>
      <c r="H805" t="s">
        <v>74</v>
      </c>
      <c r="I805" t="s">
        <v>15028</v>
      </c>
      <c r="J805" t="s">
        <v>222</v>
      </c>
      <c r="K805" t="s">
        <v>74</v>
      </c>
      <c r="L805" t="s">
        <v>74</v>
      </c>
      <c r="M805" t="s">
        <v>78</v>
      </c>
      <c r="N805" t="s">
        <v>79</v>
      </c>
      <c r="O805" t="s">
        <v>74</v>
      </c>
      <c r="P805" t="s">
        <v>74</v>
      </c>
      <c r="Q805" t="s">
        <v>74</v>
      </c>
      <c r="R805" t="s">
        <v>74</v>
      </c>
      <c r="S805" t="s">
        <v>74</v>
      </c>
      <c r="T805" t="s">
        <v>15029</v>
      </c>
      <c r="U805" t="s">
        <v>15030</v>
      </c>
      <c r="V805" t="s">
        <v>15031</v>
      </c>
      <c r="W805" t="s">
        <v>15032</v>
      </c>
      <c r="X805" t="s">
        <v>15033</v>
      </c>
      <c r="Y805" t="s">
        <v>15034</v>
      </c>
      <c r="Z805" t="s">
        <v>15035</v>
      </c>
      <c r="AA805" t="s">
        <v>15036</v>
      </c>
      <c r="AB805" t="s">
        <v>15037</v>
      </c>
      <c r="AC805" t="s">
        <v>15038</v>
      </c>
      <c r="AD805" t="s">
        <v>15039</v>
      </c>
      <c r="AE805" t="s">
        <v>15040</v>
      </c>
      <c r="AF805" t="s">
        <v>74</v>
      </c>
      <c r="AG805">
        <v>41</v>
      </c>
      <c r="AH805">
        <v>27</v>
      </c>
      <c r="AI805">
        <v>29</v>
      </c>
      <c r="AJ805">
        <v>0</v>
      </c>
      <c r="AK805">
        <v>18</v>
      </c>
      <c r="AL805" t="s">
        <v>188</v>
      </c>
      <c r="AM805" t="s">
        <v>189</v>
      </c>
      <c r="AN805" t="s">
        <v>190</v>
      </c>
      <c r="AO805" t="s">
        <v>235</v>
      </c>
      <c r="AP805" t="s">
        <v>236</v>
      </c>
      <c r="AQ805" t="s">
        <v>74</v>
      </c>
      <c r="AR805" t="s">
        <v>237</v>
      </c>
      <c r="AS805" t="s">
        <v>238</v>
      </c>
      <c r="AT805" t="s">
        <v>14977</v>
      </c>
      <c r="AU805">
        <v>2012</v>
      </c>
      <c r="AV805">
        <v>335</v>
      </c>
      <c r="AW805" t="s">
        <v>74</v>
      </c>
      <c r="AX805" t="s">
        <v>74</v>
      </c>
      <c r="AY805" t="s">
        <v>74</v>
      </c>
      <c r="AZ805" t="s">
        <v>74</v>
      </c>
      <c r="BA805" t="s">
        <v>74</v>
      </c>
      <c r="BB805">
        <v>88</v>
      </c>
      <c r="BC805">
        <v>94</v>
      </c>
      <c r="BD805" t="s">
        <v>74</v>
      </c>
      <c r="BE805" t="s">
        <v>15041</v>
      </c>
      <c r="BF805" t="str">
        <f>HYPERLINK("http://dx.doi.org/10.1016/j.epsl.2012.04.034","http://dx.doi.org/10.1016/j.epsl.2012.04.034")</f>
        <v>http://dx.doi.org/10.1016/j.epsl.2012.04.034</v>
      </c>
      <c r="BG805" t="s">
        <v>74</v>
      </c>
      <c r="BH805" t="s">
        <v>74</v>
      </c>
      <c r="BI805">
        <v>7</v>
      </c>
      <c r="BJ805" t="s">
        <v>241</v>
      </c>
      <c r="BK805" t="s">
        <v>98</v>
      </c>
      <c r="BL805" t="s">
        <v>241</v>
      </c>
      <c r="BM805" t="s">
        <v>15042</v>
      </c>
      <c r="BN805" t="s">
        <v>74</v>
      </c>
      <c r="BO805" t="s">
        <v>74</v>
      </c>
      <c r="BP805" t="s">
        <v>74</v>
      </c>
      <c r="BQ805" t="s">
        <v>74</v>
      </c>
      <c r="BR805" t="s">
        <v>101</v>
      </c>
      <c r="BS805" t="s">
        <v>15043</v>
      </c>
      <c r="BT805" t="str">
        <f>HYPERLINK("https%3A%2F%2Fwww.webofscience.com%2Fwos%2Fwoscc%2Ffull-record%2FWOS:000306981600010","View Full Record in Web of Science")</f>
        <v>View Full Record in Web of Science</v>
      </c>
    </row>
    <row r="806" spans="1:72" x14ac:dyDescent="0.15">
      <c r="A806" t="s">
        <v>72</v>
      </c>
      <c r="B806" t="s">
        <v>15044</v>
      </c>
      <c r="C806" t="s">
        <v>74</v>
      </c>
      <c r="D806" t="s">
        <v>74</v>
      </c>
      <c r="E806" t="s">
        <v>74</v>
      </c>
      <c r="F806" t="s">
        <v>15045</v>
      </c>
      <c r="G806" t="s">
        <v>74</v>
      </c>
      <c r="H806" t="s">
        <v>74</v>
      </c>
      <c r="I806" t="s">
        <v>15046</v>
      </c>
      <c r="J806" t="s">
        <v>12570</v>
      </c>
      <c r="K806" t="s">
        <v>74</v>
      </c>
      <c r="L806" t="s">
        <v>74</v>
      </c>
      <c r="M806" t="s">
        <v>78</v>
      </c>
      <c r="N806" t="s">
        <v>79</v>
      </c>
      <c r="O806" t="s">
        <v>74</v>
      </c>
      <c r="P806" t="s">
        <v>74</v>
      </c>
      <c r="Q806" t="s">
        <v>74</v>
      </c>
      <c r="R806" t="s">
        <v>74</v>
      </c>
      <c r="S806" t="s">
        <v>74</v>
      </c>
      <c r="T806" t="s">
        <v>15047</v>
      </c>
      <c r="U806" t="s">
        <v>15048</v>
      </c>
      <c r="V806" t="s">
        <v>15049</v>
      </c>
      <c r="W806" t="s">
        <v>15050</v>
      </c>
      <c r="X806" t="s">
        <v>15051</v>
      </c>
      <c r="Y806" t="s">
        <v>15052</v>
      </c>
      <c r="Z806" t="s">
        <v>15053</v>
      </c>
      <c r="AA806" t="s">
        <v>15054</v>
      </c>
      <c r="AB806" t="s">
        <v>15055</v>
      </c>
      <c r="AC806" t="s">
        <v>15056</v>
      </c>
      <c r="AD806" t="s">
        <v>15057</v>
      </c>
      <c r="AE806" t="s">
        <v>15058</v>
      </c>
      <c r="AF806" t="s">
        <v>74</v>
      </c>
      <c r="AG806">
        <v>55</v>
      </c>
      <c r="AH806">
        <v>59</v>
      </c>
      <c r="AI806">
        <v>66</v>
      </c>
      <c r="AJ806">
        <v>0</v>
      </c>
      <c r="AK806">
        <v>45</v>
      </c>
      <c r="AL806" t="s">
        <v>259</v>
      </c>
      <c r="AM806" t="s">
        <v>189</v>
      </c>
      <c r="AN806" t="s">
        <v>260</v>
      </c>
      <c r="AO806" t="s">
        <v>12582</v>
      </c>
      <c r="AP806" t="s">
        <v>12583</v>
      </c>
      <c r="AQ806" t="s">
        <v>74</v>
      </c>
      <c r="AR806" t="s">
        <v>12570</v>
      </c>
      <c r="AS806" t="s">
        <v>12584</v>
      </c>
      <c r="AT806" t="s">
        <v>14977</v>
      </c>
      <c r="AU806">
        <v>2012</v>
      </c>
      <c r="AV806">
        <v>155</v>
      </c>
      <c r="AW806" t="s">
        <v>74</v>
      </c>
      <c r="AX806" t="s">
        <v>74</v>
      </c>
      <c r="AY806" t="s">
        <v>74</v>
      </c>
      <c r="AZ806" t="s">
        <v>1019</v>
      </c>
      <c r="BA806" t="s">
        <v>74</v>
      </c>
      <c r="BB806">
        <v>20</v>
      </c>
      <c r="BC806">
        <v>33</v>
      </c>
      <c r="BD806" t="s">
        <v>74</v>
      </c>
      <c r="BE806" t="s">
        <v>15059</v>
      </c>
      <c r="BF806" t="str">
        <f>HYPERLINK("http://dx.doi.org/10.1016/j.geomorph.2011.12.016","http://dx.doi.org/10.1016/j.geomorph.2011.12.016")</f>
        <v>http://dx.doi.org/10.1016/j.geomorph.2011.12.016</v>
      </c>
      <c r="BG806" t="s">
        <v>74</v>
      </c>
      <c r="BH806" t="s">
        <v>74</v>
      </c>
      <c r="BI806">
        <v>14</v>
      </c>
      <c r="BJ806" t="s">
        <v>97</v>
      </c>
      <c r="BK806" t="s">
        <v>98</v>
      </c>
      <c r="BL806" t="s">
        <v>99</v>
      </c>
      <c r="BM806" t="s">
        <v>15060</v>
      </c>
      <c r="BN806" t="s">
        <v>74</v>
      </c>
      <c r="BO806" t="s">
        <v>74</v>
      </c>
      <c r="BP806" t="s">
        <v>74</v>
      </c>
      <c r="BQ806" t="s">
        <v>74</v>
      </c>
      <c r="BR806" t="s">
        <v>101</v>
      </c>
      <c r="BS806" t="s">
        <v>15061</v>
      </c>
      <c r="BT806" t="str">
        <f>HYPERLINK("https%3A%2F%2Fwww.webofscience.com%2Fwos%2Fwoscc%2Ffull-record%2FWOS:000304334900004","View Full Record in Web of Science")</f>
        <v>View Full Record in Web of Science</v>
      </c>
    </row>
    <row r="807" spans="1:72" x14ac:dyDescent="0.15">
      <c r="A807" t="s">
        <v>72</v>
      </c>
      <c r="B807" t="s">
        <v>15062</v>
      </c>
      <c r="C807" t="s">
        <v>74</v>
      </c>
      <c r="D807" t="s">
        <v>74</v>
      </c>
      <c r="E807" t="s">
        <v>74</v>
      </c>
      <c r="F807" t="s">
        <v>15063</v>
      </c>
      <c r="G807" t="s">
        <v>74</v>
      </c>
      <c r="H807" t="s">
        <v>74</v>
      </c>
      <c r="I807" t="s">
        <v>15064</v>
      </c>
      <c r="J807" t="s">
        <v>12570</v>
      </c>
      <c r="K807" t="s">
        <v>74</v>
      </c>
      <c r="L807" t="s">
        <v>74</v>
      </c>
      <c r="M807" t="s">
        <v>78</v>
      </c>
      <c r="N807" t="s">
        <v>79</v>
      </c>
      <c r="O807" t="s">
        <v>74</v>
      </c>
      <c r="P807" t="s">
        <v>74</v>
      </c>
      <c r="Q807" t="s">
        <v>74</v>
      </c>
      <c r="R807" t="s">
        <v>74</v>
      </c>
      <c r="S807" t="s">
        <v>74</v>
      </c>
      <c r="T807" t="s">
        <v>15065</v>
      </c>
      <c r="U807" t="s">
        <v>15066</v>
      </c>
      <c r="V807" t="s">
        <v>15067</v>
      </c>
      <c r="W807" t="s">
        <v>15068</v>
      </c>
      <c r="X807" t="s">
        <v>15051</v>
      </c>
      <c r="Y807" t="s">
        <v>15052</v>
      </c>
      <c r="Z807" t="s">
        <v>15053</v>
      </c>
      <c r="AA807" t="s">
        <v>15069</v>
      </c>
      <c r="AB807" t="s">
        <v>15070</v>
      </c>
      <c r="AC807" t="s">
        <v>15071</v>
      </c>
      <c r="AD807" t="s">
        <v>15057</v>
      </c>
      <c r="AE807" t="s">
        <v>15072</v>
      </c>
      <c r="AF807" t="s">
        <v>74</v>
      </c>
      <c r="AG807">
        <v>67</v>
      </c>
      <c r="AH807">
        <v>19</v>
      </c>
      <c r="AI807">
        <v>19</v>
      </c>
      <c r="AJ807">
        <v>0</v>
      </c>
      <c r="AK807">
        <v>21</v>
      </c>
      <c r="AL807" t="s">
        <v>259</v>
      </c>
      <c r="AM807" t="s">
        <v>189</v>
      </c>
      <c r="AN807" t="s">
        <v>260</v>
      </c>
      <c r="AO807" t="s">
        <v>12582</v>
      </c>
      <c r="AP807" t="s">
        <v>12583</v>
      </c>
      <c r="AQ807" t="s">
        <v>74</v>
      </c>
      <c r="AR807" t="s">
        <v>12570</v>
      </c>
      <c r="AS807" t="s">
        <v>12584</v>
      </c>
      <c r="AT807" t="s">
        <v>14977</v>
      </c>
      <c r="AU807">
        <v>2012</v>
      </c>
      <c r="AV807">
        <v>155</v>
      </c>
      <c r="AW807" t="s">
        <v>74</v>
      </c>
      <c r="AX807" t="s">
        <v>74</v>
      </c>
      <c r="AY807" t="s">
        <v>74</v>
      </c>
      <c r="AZ807" t="s">
        <v>1019</v>
      </c>
      <c r="BA807" t="s">
        <v>74</v>
      </c>
      <c r="BB807">
        <v>34</v>
      </c>
      <c r="BC807">
        <v>44</v>
      </c>
      <c r="BD807" t="s">
        <v>74</v>
      </c>
      <c r="BE807" t="s">
        <v>15073</v>
      </c>
      <c r="BF807" t="str">
        <f>HYPERLINK("http://dx.doi.org/10.1016/j.geomorph.2011.12.015","http://dx.doi.org/10.1016/j.geomorph.2011.12.015")</f>
        <v>http://dx.doi.org/10.1016/j.geomorph.2011.12.015</v>
      </c>
      <c r="BG807" t="s">
        <v>74</v>
      </c>
      <c r="BH807" t="s">
        <v>74</v>
      </c>
      <c r="BI807">
        <v>11</v>
      </c>
      <c r="BJ807" t="s">
        <v>97</v>
      </c>
      <c r="BK807" t="s">
        <v>98</v>
      </c>
      <c r="BL807" t="s">
        <v>99</v>
      </c>
      <c r="BM807" t="s">
        <v>15060</v>
      </c>
      <c r="BN807" t="s">
        <v>74</v>
      </c>
      <c r="BO807" t="s">
        <v>74</v>
      </c>
      <c r="BP807" t="s">
        <v>74</v>
      </c>
      <c r="BQ807" t="s">
        <v>74</v>
      </c>
      <c r="BR807" t="s">
        <v>101</v>
      </c>
      <c r="BS807" t="s">
        <v>15074</v>
      </c>
      <c r="BT807" t="str">
        <f>HYPERLINK("https%3A%2F%2Fwww.webofscience.com%2Fwos%2Fwoscc%2Ffull-record%2FWOS:000304334900005","View Full Record in Web of Science")</f>
        <v>View Full Record in Web of Science</v>
      </c>
    </row>
    <row r="808" spans="1:72" x14ac:dyDescent="0.15">
      <c r="A808" t="s">
        <v>72</v>
      </c>
      <c r="B808" t="s">
        <v>15075</v>
      </c>
      <c r="C808" t="s">
        <v>74</v>
      </c>
      <c r="D808" t="s">
        <v>74</v>
      </c>
      <c r="E808" t="s">
        <v>74</v>
      </c>
      <c r="F808" t="s">
        <v>15076</v>
      </c>
      <c r="G808" t="s">
        <v>74</v>
      </c>
      <c r="H808" t="s">
        <v>74</v>
      </c>
      <c r="I808" t="s">
        <v>15077</v>
      </c>
      <c r="J808" t="s">
        <v>12570</v>
      </c>
      <c r="K808" t="s">
        <v>74</v>
      </c>
      <c r="L808" t="s">
        <v>74</v>
      </c>
      <c r="M808" t="s">
        <v>78</v>
      </c>
      <c r="N808" t="s">
        <v>79</v>
      </c>
      <c r="O808" t="s">
        <v>74</v>
      </c>
      <c r="P808" t="s">
        <v>74</v>
      </c>
      <c r="Q808" t="s">
        <v>74</v>
      </c>
      <c r="R808" t="s">
        <v>74</v>
      </c>
      <c r="S808" t="s">
        <v>74</v>
      </c>
      <c r="T808" t="s">
        <v>15078</v>
      </c>
      <c r="U808" t="s">
        <v>15079</v>
      </c>
      <c r="V808" t="s">
        <v>15080</v>
      </c>
      <c r="W808" t="s">
        <v>15081</v>
      </c>
      <c r="X808" t="s">
        <v>15082</v>
      </c>
      <c r="Y808" t="s">
        <v>15083</v>
      </c>
      <c r="Z808" t="s">
        <v>15084</v>
      </c>
      <c r="AA808" t="s">
        <v>15085</v>
      </c>
      <c r="AB808" t="s">
        <v>15086</v>
      </c>
      <c r="AC808" t="s">
        <v>15087</v>
      </c>
      <c r="AD808" t="s">
        <v>15087</v>
      </c>
      <c r="AE808" t="s">
        <v>15088</v>
      </c>
      <c r="AF808" t="s">
        <v>74</v>
      </c>
      <c r="AG808">
        <v>77</v>
      </c>
      <c r="AH808">
        <v>128</v>
      </c>
      <c r="AI808">
        <v>137</v>
      </c>
      <c r="AJ808">
        <v>1</v>
      </c>
      <c r="AK808">
        <v>67</v>
      </c>
      <c r="AL808" t="s">
        <v>259</v>
      </c>
      <c r="AM808" t="s">
        <v>189</v>
      </c>
      <c r="AN808" t="s">
        <v>260</v>
      </c>
      <c r="AO808" t="s">
        <v>12582</v>
      </c>
      <c r="AP808" t="s">
        <v>12583</v>
      </c>
      <c r="AQ808" t="s">
        <v>74</v>
      </c>
      <c r="AR808" t="s">
        <v>12570</v>
      </c>
      <c r="AS808" t="s">
        <v>12584</v>
      </c>
      <c r="AT808" t="s">
        <v>14977</v>
      </c>
      <c r="AU808">
        <v>2012</v>
      </c>
      <c r="AV808">
        <v>155</v>
      </c>
      <c r="AW808" t="s">
        <v>74</v>
      </c>
      <c r="AX808" t="s">
        <v>74</v>
      </c>
      <c r="AY808" t="s">
        <v>74</v>
      </c>
      <c r="AZ808" t="s">
        <v>1019</v>
      </c>
      <c r="BA808" t="s">
        <v>74</v>
      </c>
      <c r="BB808">
        <v>62</v>
      </c>
      <c r="BC808">
        <v>79</v>
      </c>
      <c r="BD808" t="s">
        <v>74</v>
      </c>
      <c r="BE808" t="s">
        <v>15089</v>
      </c>
      <c r="BF808" t="str">
        <f>HYPERLINK("http://dx.doi.org/10.1016/j.geomorph.2011.12.018","http://dx.doi.org/10.1016/j.geomorph.2011.12.018")</f>
        <v>http://dx.doi.org/10.1016/j.geomorph.2011.12.018</v>
      </c>
      <c r="BG808" t="s">
        <v>74</v>
      </c>
      <c r="BH808" t="s">
        <v>74</v>
      </c>
      <c r="BI808">
        <v>18</v>
      </c>
      <c r="BJ808" t="s">
        <v>97</v>
      </c>
      <c r="BK808" t="s">
        <v>98</v>
      </c>
      <c r="BL808" t="s">
        <v>99</v>
      </c>
      <c r="BM808" t="s">
        <v>15060</v>
      </c>
      <c r="BN808" t="s">
        <v>74</v>
      </c>
      <c r="BO808" t="s">
        <v>74</v>
      </c>
      <c r="BP808" t="s">
        <v>74</v>
      </c>
      <c r="BQ808" t="s">
        <v>74</v>
      </c>
      <c r="BR808" t="s">
        <v>101</v>
      </c>
      <c r="BS808" t="s">
        <v>15090</v>
      </c>
      <c r="BT808" t="str">
        <f>HYPERLINK("https%3A%2F%2Fwww.webofscience.com%2Fwos%2Fwoscc%2Ffull-record%2FWOS:000304334900008","View Full Record in Web of Science")</f>
        <v>View Full Record in Web of Science</v>
      </c>
    </row>
    <row r="809" spans="1:72" x14ac:dyDescent="0.15">
      <c r="A809" t="s">
        <v>72</v>
      </c>
      <c r="B809" t="s">
        <v>15091</v>
      </c>
      <c r="C809" t="s">
        <v>74</v>
      </c>
      <c r="D809" t="s">
        <v>74</v>
      </c>
      <c r="E809" t="s">
        <v>74</v>
      </c>
      <c r="F809" t="s">
        <v>15092</v>
      </c>
      <c r="G809" t="s">
        <v>74</v>
      </c>
      <c r="H809" t="s">
        <v>74</v>
      </c>
      <c r="I809" t="s">
        <v>15093</v>
      </c>
      <c r="J809" t="s">
        <v>1417</v>
      </c>
      <c r="K809" t="s">
        <v>74</v>
      </c>
      <c r="L809" t="s">
        <v>74</v>
      </c>
      <c r="M809" t="s">
        <v>78</v>
      </c>
      <c r="N809" t="s">
        <v>79</v>
      </c>
      <c r="O809" t="s">
        <v>74</v>
      </c>
      <c r="P809" t="s">
        <v>74</v>
      </c>
      <c r="Q809" t="s">
        <v>74</v>
      </c>
      <c r="R809" t="s">
        <v>74</v>
      </c>
      <c r="S809" t="s">
        <v>74</v>
      </c>
      <c r="T809" t="s">
        <v>74</v>
      </c>
      <c r="U809" t="s">
        <v>15094</v>
      </c>
      <c r="V809" t="s">
        <v>15095</v>
      </c>
      <c r="W809" t="s">
        <v>15096</v>
      </c>
      <c r="X809" t="s">
        <v>15097</v>
      </c>
      <c r="Y809" t="s">
        <v>15098</v>
      </c>
      <c r="Z809" t="s">
        <v>15099</v>
      </c>
      <c r="AA809" t="s">
        <v>15100</v>
      </c>
      <c r="AB809" t="s">
        <v>15101</v>
      </c>
      <c r="AC809" t="s">
        <v>15102</v>
      </c>
      <c r="AD809" t="s">
        <v>10003</v>
      </c>
      <c r="AE809" t="s">
        <v>15103</v>
      </c>
      <c r="AF809" t="s">
        <v>74</v>
      </c>
      <c r="AG809">
        <v>77</v>
      </c>
      <c r="AH809">
        <v>85</v>
      </c>
      <c r="AI809">
        <v>94</v>
      </c>
      <c r="AJ809">
        <v>1</v>
      </c>
      <c r="AK809">
        <v>59</v>
      </c>
      <c r="AL809" t="s">
        <v>1429</v>
      </c>
      <c r="AM809" t="s">
        <v>1430</v>
      </c>
      <c r="AN809" t="s">
        <v>1431</v>
      </c>
      <c r="AO809" t="s">
        <v>1432</v>
      </c>
      <c r="AP809" t="s">
        <v>1433</v>
      </c>
      <c r="AQ809" t="s">
        <v>74</v>
      </c>
      <c r="AR809" t="s">
        <v>1434</v>
      </c>
      <c r="AS809" t="s">
        <v>1435</v>
      </c>
      <c r="AT809" t="s">
        <v>14977</v>
      </c>
      <c r="AU809">
        <v>2012</v>
      </c>
      <c r="AV809">
        <v>25</v>
      </c>
      <c r="AW809">
        <v>12</v>
      </c>
      <c r="AX809" t="s">
        <v>74</v>
      </c>
      <c r="AY809" t="s">
        <v>74</v>
      </c>
      <c r="AZ809" t="s">
        <v>74</v>
      </c>
      <c r="BA809" t="s">
        <v>74</v>
      </c>
      <c r="BB809">
        <v>4048</v>
      </c>
      <c r="BC809">
        <v>4066</v>
      </c>
      <c r="BD809" t="s">
        <v>74</v>
      </c>
      <c r="BE809" t="s">
        <v>15104</v>
      </c>
      <c r="BF809" t="str">
        <f>HYPERLINK("http://dx.doi.org/10.1175/JCLI-D-11-00273.1","http://dx.doi.org/10.1175/JCLI-D-11-00273.1")</f>
        <v>http://dx.doi.org/10.1175/JCLI-D-11-00273.1</v>
      </c>
      <c r="BG809" t="s">
        <v>74</v>
      </c>
      <c r="BH809" t="s">
        <v>74</v>
      </c>
      <c r="BI809">
        <v>19</v>
      </c>
      <c r="BJ809" t="s">
        <v>378</v>
      </c>
      <c r="BK809" t="s">
        <v>98</v>
      </c>
      <c r="BL809" t="s">
        <v>378</v>
      </c>
      <c r="BM809" t="s">
        <v>15105</v>
      </c>
      <c r="BN809" t="s">
        <v>74</v>
      </c>
      <c r="BO809" t="s">
        <v>74</v>
      </c>
      <c r="BP809" t="s">
        <v>74</v>
      </c>
      <c r="BQ809" t="s">
        <v>74</v>
      </c>
      <c r="BR809" t="s">
        <v>101</v>
      </c>
      <c r="BS809" t="s">
        <v>15106</v>
      </c>
      <c r="BT809" t="str">
        <f>HYPERLINK("https%3A%2F%2Fwww.webofscience.com%2Fwos%2Fwoscc%2Ffull-record%2FWOS:000306043600005","View Full Record in Web of Science")</f>
        <v>View Full Record in Web of Science</v>
      </c>
    </row>
    <row r="810" spans="1:72" x14ac:dyDescent="0.15">
      <c r="A810" t="s">
        <v>72</v>
      </c>
      <c r="B810" t="s">
        <v>15107</v>
      </c>
      <c r="C810" t="s">
        <v>74</v>
      </c>
      <c r="D810" t="s">
        <v>74</v>
      </c>
      <c r="E810" t="s">
        <v>74</v>
      </c>
      <c r="F810" t="s">
        <v>15108</v>
      </c>
      <c r="G810" t="s">
        <v>74</v>
      </c>
      <c r="H810" t="s">
        <v>74</v>
      </c>
      <c r="I810" t="s">
        <v>15109</v>
      </c>
      <c r="J810" t="s">
        <v>1417</v>
      </c>
      <c r="K810" t="s">
        <v>74</v>
      </c>
      <c r="L810" t="s">
        <v>74</v>
      </c>
      <c r="M810" t="s">
        <v>78</v>
      </c>
      <c r="N810" t="s">
        <v>79</v>
      </c>
      <c r="O810" t="s">
        <v>74</v>
      </c>
      <c r="P810" t="s">
        <v>74</v>
      </c>
      <c r="Q810" t="s">
        <v>74</v>
      </c>
      <c r="R810" t="s">
        <v>74</v>
      </c>
      <c r="S810" t="s">
        <v>74</v>
      </c>
      <c r="T810" t="s">
        <v>74</v>
      </c>
      <c r="U810" t="s">
        <v>15110</v>
      </c>
      <c r="V810" t="s">
        <v>15111</v>
      </c>
      <c r="W810" t="s">
        <v>15112</v>
      </c>
      <c r="X810" t="s">
        <v>636</v>
      </c>
      <c r="Y810" t="s">
        <v>15113</v>
      </c>
      <c r="Z810" t="s">
        <v>15114</v>
      </c>
      <c r="AA810" t="s">
        <v>15115</v>
      </c>
      <c r="AB810" t="s">
        <v>15116</v>
      </c>
      <c r="AC810" t="s">
        <v>15117</v>
      </c>
      <c r="AD810" t="s">
        <v>11865</v>
      </c>
      <c r="AE810" t="s">
        <v>15118</v>
      </c>
      <c r="AF810" t="s">
        <v>74</v>
      </c>
      <c r="AG810">
        <v>53</v>
      </c>
      <c r="AH810">
        <v>131</v>
      </c>
      <c r="AI810">
        <v>140</v>
      </c>
      <c r="AJ810">
        <v>1</v>
      </c>
      <c r="AK810">
        <v>55</v>
      </c>
      <c r="AL810" t="s">
        <v>1429</v>
      </c>
      <c r="AM810" t="s">
        <v>1430</v>
      </c>
      <c r="AN810" t="s">
        <v>1431</v>
      </c>
      <c r="AO810" t="s">
        <v>1432</v>
      </c>
      <c r="AP810" t="s">
        <v>1433</v>
      </c>
      <c r="AQ810" t="s">
        <v>74</v>
      </c>
      <c r="AR810" t="s">
        <v>1434</v>
      </c>
      <c r="AS810" t="s">
        <v>1435</v>
      </c>
      <c r="AT810" t="s">
        <v>14977</v>
      </c>
      <c r="AU810">
        <v>2012</v>
      </c>
      <c r="AV810">
        <v>25</v>
      </c>
      <c r="AW810">
        <v>12</v>
      </c>
      <c r="AX810" t="s">
        <v>74</v>
      </c>
      <c r="AY810" t="s">
        <v>74</v>
      </c>
      <c r="AZ810" t="s">
        <v>74</v>
      </c>
      <c r="BA810" t="s">
        <v>74</v>
      </c>
      <c r="BB810">
        <v>4172</v>
      </c>
      <c r="BC810">
        <v>4183</v>
      </c>
      <c r="BD810" t="s">
        <v>74</v>
      </c>
      <c r="BE810" t="s">
        <v>15119</v>
      </c>
      <c r="BF810" t="str">
        <f>HYPERLINK("http://dx.doi.org/10.1175/JCLI-D-11-00293.1","http://dx.doi.org/10.1175/JCLI-D-11-00293.1")</f>
        <v>http://dx.doi.org/10.1175/JCLI-D-11-00293.1</v>
      </c>
      <c r="BG810" t="s">
        <v>74</v>
      </c>
      <c r="BH810" t="s">
        <v>74</v>
      </c>
      <c r="BI810">
        <v>12</v>
      </c>
      <c r="BJ810" t="s">
        <v>378</v>
      </c>
      <c r="BK810" t="s">
        <v>98</v>
      </c>
      <c r="BL810" t="s">
        <v>378</v>
      </c>
      <c r="BM810" t="s">
        <v>15105</v>
      </c>
      <c r="BN810" t="s">
        <v>74</v>
      </c>
      <c r="BO810" t="s">
        <v>464</v>
      </c>
      <c r="BP810" t="s">
        <v>74</v>
      </c>
      <c r="BQ810" t="s">
        <v>74</v>
      </c>
      <c r="BR810" t="s">
        <v>101</v>
      </c>
      <c r="BS810" t="s">
        <v>15120</v>
      </c>
      <c r="BT810" t="str">
        <f>HYPERLINK("https%3A%2F%2Fwww.webofscience.com%2Fwos%2Fwoscc%2Ffull-record%2FWOS:000306043600012","View Full Record in Web of Science")</f>
        <v>View Full Record in Web of Science</v>
      </c>
    </row>
    <row r="811" spans="1:72" x14ac:dyDescent="0.15">
      <c r="A811" t="s">
        <v>72</v>
      </c>
      <c r="B811" t="s">
        <v>15121</v>
      </c>
      <c r="C811" t="s">
        <v>74</v>
      </c>
      <c r="D811" t="s">
        <v>74</v>
      </c>
      <c r="E811" t="s">
        <v>74</v>
      </c>
      <c r="F811" t="s">
        <v>15122</v>
      </c>
      <c r="G811" t="s">
        <v>74</v>
      </c>
      <c r="H811" t="s">
        <v>74</v>
      </c>
      <c r="I811" t="s">
        <v>15123</v>
      </c>
      <c r="J811" t="s">
        <v>1417</v>
      </c>
      <c r="K811" t="s">
        <v>74</v>
      </c>
      <c r="L811" t="s">
        <v>74</v>
      </c>
      <c r="M811" t="s">
        <v>78</v>
      </c>
      <c r="N811" t="s">
        <v>79</v>
      </c>
      <c r="O811" t="s">
        <v>74</v>
      </c>
      <c r="P811" t="s">
        <v>74</v>
      </c>
      <c r="Q811" t="s">
        <v>74</v>
      </c>
      <c r="R811" t="s">
        <v>74</v>
      </c>
      <c r="S811" t="s">
        <v>74</v>
      </c>
      <c r="T811" t="s">
        <v>74</v>
      </c>
      <c r="U811" t="s">
        <v>15124</v>
      </c>
      <c r="V811" t="s">
        <v>15125</v>
      </c>
      <c r="W811" t="s">
        <v>15126</v>
      </c>
      <c r="X811" t="s">
        <v>15127</v>
      </c>
      <c r="Y811" t="s">
        <v>15128</v>
      </c>
      <c r="Z811" t="s">
        <v>15129</v>
      </c>
      <c r="AA811" t="s">
        <v>15130</v>
      </c>
      <c r="AB811" t="s">
        <v>15131</v>
      </c>
      <c r="AC811" t="s">
        <v>15132</v>
      </c>
      <c r="AD811" t="s">
        <v>15133</v>
      </c>
      <c r="AE811" t="s">
        <v>15134</v>
      </c>
      <c r="AF811" t="s">
        <v>74</v>
      </c>
      <c r="AG811">
        <v>92</v>
      </c>
      <c r="AH811">
        <v>43</v>
      </c>
      <c r="AI811">
        <v>47</v>
      </c>
      <c r="AJ811">
        <v>0</v>
      </c>
      <c r="AK811">
        <v>36</v>
      </c>
      <c r="AL811" t="s">
        <v>1429</v>
      </c>
      <c r="AM811" t="s">
        <v>1430</v>
      </c>
      <c r="AN811" t="s">
        <v>1431</v>
      </c>
      <c r="AO811" t="s">
        <v>1432</v>
      </c>
      <c r="AP811" t="s">
        <v>1433</v>
      </c>
      <c r="AQ811" t="s">
        <v>74</v>
      </c>
      <c r="AR811" t="s">
        <v>1434</v>
      </c>
      <c r="AS811" t="s">
        <v>1435</v>
      </c>
      <c r="AT811" t="s">
        <v>14977</v>
      </c>
      <c r="AU811">
        <v>2012</v>
      </c>
      <c r="AV811">
        <v>25</v>
      </c>
      <c r="AW811">
        <v>12</v>
      </c>
      <c r="AX811" t="s">
        <v>74</v>
      </c>
      <c r="AY811" t="s">
        <v>74</v>
      </c>
      <c r="AZ811" t="s">
        <v>74</v>
      </c>
      <c r="BA811" t="s">
        <v>74</v>
      </c>
      <c r="BB811">
        <v>4205</v>
      </c>
      <c r="BC811">
        <v>4219</v>
      </c>
      <c r="BD811" t="s">
        <v>74</v>
      </c>
      <c r="BE811" t="s">
        <v>15135</v>
      </c>
      <c r="BF811" t="str">
        <f>HYPERLINK("http://dx.doi.org/10.1175/JCLI-D-11-00581.1","http://dx.doi.org/10.1175/JCLI-D-11-00581.1")</f>
        <v>http://dx.doi.org/10.1175/JCLI-D-11-00581.1</v>
      </c>
      <c r="BG811" t="s">
        <v>74</v>
      </c>
      <c r="BH811" t="s">
        <v>74</v>
      </c>
      <c r="BI811">
        <v>15</v>
      </c>
      <c r="BJ811" t="s">
        <v>378</v>
      </c>
      <c r="BK811" t="s">
        <v>98</v>
      </c>
      <c r="BL811" t="s">
        <v>378</v>
      </c>
      <c r="BM811" t="s">
        <v>15105</v>
      </c>
      <c r="BN811" t="s">
        <v>74</v>
      </c>
      <c r="BO811" t="s">
        <v>1287</v>
      </c>
      <c r="BP811" t="s">
        <v>74</v>
      </c>
      <c r="BQ811" t="s">
        <v>74</v>
      </c>
      <c r="BR811" t="s">
        <v>101</v>
      </c>
      <c r="BS811" t="s">
        <v>15136</v>
      </c>
      <c r="BT811" t="str">
        <f>HYPERLINK("https%3A%2F%2Fwww.webofscience.com%2Fwos%2Fwoscc%2Ffull-record%2FWOS:000306043600014","View Full Record in Web of Science")</f>
        <v>View Full Record in Web of Science</v>
      </c>
    </row>
    <row r="812" spans="1:72" x14ac:dyDescent="0.15">
      <c r="A812" t="s">
        <v>72</v>
      </c>
      <c r="B812" t="s">
        <v>15137</v>
      </c>
      <c r="C812" t="s">
        <v>74</v>
      </c>
      <c r="D812" t="s">
        <v>74</v>
      </c>
      <c r="E812" t="s">
        <v>74</v>
      </c>
      <c r="F812" t="s">
        <v>15138</v>
      </c>
      <c r="G812" t="s">
        <v>74</v>
      </c>
      <c r="H812" t="s">
        <v>74</v>
      </c>
      <c r="I812" t="s">
        <v>15139</v>
      </c>
      <c r="J812" t="s">
        <v>12570</v>
      </c>
      <c r="K812" t="s">
        <v>74</v>
      </c>
      <c r="L812" t="s">
        <v>74</v>
      </c>
      <c r="M812" t="s">
        <v>78</v>
      </c>
      <c r="N812" t="s">
        <v>79</v>
      </c>
      <c r="O812" t="s">
        <v>74</v>
      </c>
      <c r="P812" t="s">
        <v>74</v>
      </c>
      <c r="Q812" t="s">
        <v>74</v>
      </c>
      <c r="R812" t="s">
        <v>74</v>
      </c>
      <c r="S812" t="s">
        <v>74</v>
      </c>
      <c r="T812" t="s">
        <v>15140</v>
      </c>
      <c r="U812" t="s">
        <v>74</v>
      </c>
      <c r="V812" t="s">
        <v>15141</v>
      </c>
      <c r="W812" t="s">
        <v>15142</v>
      </c>
      <c r="X812" t="s">
        <v>15143</v>
      </c>
      <c r="Y812" t="s">
        <v>15144</v>
      </c>
      <c r="Z812" t="s">
        <v>15145</v>
      </c>
      <c r="AA812" t="s">
        <v>15146</v>
      </c>
      <c r="AB812" t="s">
        <v>15147</v>
      </c>
      <c r="AC812" t="s">
        <v>15148</v>
      </c>
      <c r="AD812" t="s">
        <v>15149</v>
      </c>
      <c r="AE812" t="s">
        <v>15150</v>
      </c>
      <c r="AF812" t="s">
        <v>74</v>
      </c>
      <c r="AG812">
        <v>26</v>
      </c>
      <c r="AH812">
        <v>12</v>
      </c>
      <c r="AI812">
        <v>13</v>
      </c>
      <c r="AJ812">
        <v>0</v>
      </c>
      <c r="AK812">
        <v>17</v>
      </c>
      <c r="AL812" t="s">
        <v>188</v>
      </c>
      <c r="AM812" t="s">
        <v>189</v>
      </c>
      <c r="AN812" t="s">
        <v>190</v>
      </c>
      <c r="AO812" t="s">
        <v>12582</v>
      </c>
      <c r="AP812" t="s">
        <v>12583</v>
      </c>
      <c r="AQ812" t="s">
        <v>74</v>
      </c>
      <c r="AR812" t="s">
        <v>12570</v>
      </c>
      <c r="AS812" t="s">
        <v>12584</v>
      </c>
      <c r="AT812" t="s">
        <v>14977</v>
      </c>
      <c r="AU812">
        <v>2012</v>
      </c>
      <c r="AV812">
        <v>155</v>
      </c>
      <c r="AW812" t="s">
        <v>74</v>
      </c>
      <c r="AX812" t="s">
        <v>74</v>
      </c>
      <c r="AY812" t="s">
        <v>74</v>
      </c>
      <c r="AZ812" t="s">
        <v>1019</v>
      </c>
      <c r="BA812" t="s">
        <v>74</v>
      </c>
      <c r="BB812">
        <v>7</v>
      </c>
      <c r="BC812">
        <v>11</v>
      </c>
      <c r="BD812" t="s">
        <v>74</v>
      </c>
      <c r="BE812" t="s">
        <v>15151</v>
      </c>
      <c r="BF812" t="str">
        <f>HYPERLINK("http://dx.doi.org/10.1016/j.geomorph.2011.12.012","http://dx.doi.org/10.1016/j.geomorph.2011.12.012")</f>
        <v>http://dx.doi.org/10.1016/j.geomorph.2011.12.012</v>
      </c>
      <c r="BG812" t="s">
        <v>74</v>
      </c>
      <c r="BH812" t="s">
        <v>74</v>
      </c>
      <c r="BI812">
        <v>5</v>
      </c>
      <c r="BJ812" t="s">
        <v>97</v>
      </c>
      <c r="BK812" t="s">
        <v>98</v>
      </c>
      <c r="BL812" t="s">
        <v>99</v>
      </c>
      <c r="BM812" t="s">
        <v>15060</v>
      </c>
      <c r="BN812" t="s">
        <v>74</v>
      </c>
      <c r="BO812" t="s">
        <v>1499</v>
      </c>
      <c r="BP812" t="s">
        <v>74</v>
      </c>
      <c r="BQ812" t="s">
        <v>74</v>
      </c>
      <c r="BR812" t="s">
        <v>101</v>
      </c>
      <c r="BS812" t="s">
        <v>15152</v>
      </c>
      <c r="BT812" t="str">
        <f>HYPERLINK("https%3A%2F%2Fwww.webofscience.com%2Fwos%2Fwoscc%2Ffull-record%2FWOS:000304334900002","View Full Record in Web of Science")</f>
        <v>View Full Record in Web of Science</v>
      </c>
    </row>
    <row r="813" spans="1:72" x14ac:dyDescent="0.15">
      <c r="A813" t="s">
        <v>72</v>
      </c>
      <c r="B813" t="s">
        <v>15153</v>
      </c>
      <c r="C813" t="s">
        <v>74</v>
      </c>
      <c r="D813" t="s">
        <v>74</v>
      </c>
      <c r="E813" t="s">
        <v>74</v>
      </c>
      <c r="F813" t="s">
        <v>15154</v>
      </c>
      <c r="G813" t="s">
        <v>74</v>
      </c>
      <c r="H813" t="s">
        <v>74</v>
      </c>
      <c r="I813" t="s">
        <v>15155</v>
      </c>
      <c r="J813" t="s">
        <v>12570</v>
      </c>
      <c r="K813" t="s">
        <v>74</v>
      </c>
      <c r="L813" t="s">
        <v>74</v>
      </c>
      <c r="M813" t="s">
        <v>78</v>
      </c>
      <c r="N813" t="s">
        <v>79</v>
      </c>
      <c r="O813" t="s">
        <v>74</v>
      </c>
      <c r="P813" t="s">
        <v>74</v>
      </c>
      <c r="Q813" t="s">
        <v>74</v>
      </c>
      <c r="R813" t="s">
        <v>74</v>
      </c>
      <c r="S813" t="s">
        <v>74</v>
      </c>
      <c r="T813" t="s">
        <v>15156</v>
      </c>
      <c r="U813" t="s">
        <v>15157</v>
      </c>
      <c r="V813" t="s">
        <v>15158</v>
      </c>
      <c r="W813" t="s">
        <v>15159</v>
      </c>
      <c r="X813" t="s">
        <v>15160</v>
      </c>
      <c r="Y813" t="s">
        <v>15161</v>
      </c>
      <c r="Z813" t="s">
        <v>15162</v>
      </c>
      <c r="AA813" t="s">
        <v>15163</v>
      </c>
      <c r="AB813" t="s">
        <v>15164</v>
      </c>
      <c r="AC813" t="s">
        <v>15165</v>
      </c>
      <c r="AD813" t="s">
        <v>15166</v>
      </c>
      <c r="AE813" t="s">
        <v>15167</v>
      </c>
      <c r="AF813" t="s">
        <v>74</v>
      </c>
      <c r="AG813">
        <v>26</v>
      </c>
      <c r="AH813">
        <v>18</v>
      </c>
      <c r="AI813">
        <v>18</v>
      </c>
      <c r="AJ813">
        <v>0</v>
      </c>
      <c r="AK813">
        <v>12</v>
      </c>
      <c r="AL813" t="s">
        <v>188</v>
      </c>
      <c r="AM813" t="s">
        <v>189</v>
      </c>
      <c r="AN813" t="s">
        <v>190</v>
      </c>
      <c r="AO813" t="s">
        <v>12582</v>
      </c>
      <c r="AP813" t="s">
        <v>12583</v>
      </c>
      <c r="AQ813" t="s">
        <v>74</v>
      </c>
      <c r="AR813" t="s">
        <v>12570</v>
      </c>
      <c r="AS813" t="s">
        <v>12584</v>
      </c>
      <c r="AT813" t="s">
        <v>14977</v>
      </c>
      <c r="AU813">
        <v>2012</v>
      </c>
      <c r="AV813">
        <v>155</v>
      </c>
      <c r="AW813" t="s">
        <v>74</v>
      </c>
      <c r="AX813" t="s">
        <v>74</v>
      </c>
      <c r="AY813" t="s">
        <v>74</v>
      </c>
      <c r="AZ813" t="s">
        <v>1019</v>
      </c>
      <c r="BA813" t="s">
        <v>74</v>
      </c>
      <c r="BB813">
        <v>55</v>
      </c>
      <c r="BC813">
        <v>61</v>
      </c>
      <c r="BD813" t="s">
        <v>74</v>
      </c>
      <c r="BE813" t="s">
        <v>15168</v>
      </c>
      <c r="BF813" t="str">
        <f>HYPERLINK("http://dx.doi.org/10.1016/j.geomorph.2011.12.017","http://dx.doi.org/10.1016/j.geomorph.2011.12.017")</f>
        <v>http://dx.doi.org/10.1016/j.geomorph.2011.12.017</v>
      </c>
      <c r="BG813" t="s">
        <v>74</v>
      </c>
      <c r="BH813" t="s">
        <v>74</v>
      </c>
      <c r="BI813">
        <v>7</v>
      </c>
      <c r="BJ813" t="s">
        <v>97</v>
      </c>
      <c r="BK813" t="s">
        <v>98</v>
      </c>
      <c r="BL813" t="s">
        <v>99</v>
      </c>
      <c r="BM813" t="s">
        <v>15060</v>
      </c>
      <c r="BN813" t="s">
        <v>74</v>
      </c>
      <c r="BO813" t="s">
        <v>1499</v>
      </c>
      <c r="BP813" t="s">
        <v>74</v>
      </c>
      <c r="BQ813" t="s">
        <v>74</v>
      </c>
      <c r="BR813" t="s">
        <v>101</v>
      </c>
      <c r="BS813" t="s">
        <v>15169</v>
      </c>
      <c r="BT813" t="str">
        <f>HYPERLINK("https%3A%2F%2Fwww.webofscience.com%2Fwos%2Fwoscc%2Ffull-record%2FWOS:000304334900007","View Full Record in Web of Science")</f>
        <v>View Full Record in Web of Science</v>
      </c>
    </row>
    <row r="814" spans="1:72" x14ac:dyDescent="0.15">
      <c r="A814" t="s">
        <v>72</v>
      </c>
      <c r="B814" t="s">
        <v>15170</v>
      </c>
      <c r="C814" t="s">
        <v>74</v>
      </c>
      <c r="D814" t="s">
        <v>74</v>
      </c>
      <c r="E814" t="s">
        <v>74</v>
      </c>
      <c r="F814" t="s">
        <v>15171</v>
      </c>
      <c r="G814" t="s">
        <v>74</v>
      </c>
      <c r="H814" t="s">
        <v>74</v>
      </c>
      <c r="I814" t="s">
        <v>15172</v>
      </c>
      <c r="J814" t="s">
        <v>12570</v>
      </c>
      <c r="K814" t="s">
        <v>74</v>
      </c>
      <c r="L814" t="s">
        <v>74</v>
      </c>
      <c r="M814" t="s">
        <v>78</v>
      </c>
      <c r="N814" t="s">
        <v>79</v>
      </c>
      <c r="O814" t="s">
        <v>74</v>
      </c>
      <c r="P814" t="s">
        <v>74</v>
      </c>
      <c r="Q814" t="s">
        <v>74</v>
      </c>
      <c r="R814" t="s">
        <v>74</v>
      </c>
      <c r="S814" t="s">
        <v>74</v>
      </c>
      <c r="T814" t="s">
        <v>15173</v>
      </c>
      <c r="U814" t="s">
        <v>15174</v>
      </c>
      <c r="V814" t="s">
        <v>15175</v>
      </c>
      <c r="W814" t="s">
        <v>15176</v>
      </c>
      <c r="X814" t="s">
        <v>15177</v>
      </c>
      <c r="Y814" t="s">
        <v>15178</v>
      </c>
      <c r="Z814" t="s">
        <v>15179</v>
      </c>
      <c r="AA814" t="s">
        <v>15180</v>
      </c>
      <c r="AB814" t="s">
        <v>15181</v>
      </c>
      <c r="AC814" t="s">
        <v>15182</v>
      </c>
      <c r="AD814" t="s">
        <v>15183</v>
      </c>
      <c r="AE814" t="s">
        <v>15184</v>
      </c>
      <c r="AF814" t="s">
        <v>74</v>
      </c>
      <c r="AG814">
        <v>33</v>
      </c>
      <c r="AH814">
        <v>17</v>
      </c>
      <c r="AI814">
        <v>18</v>
      </c>
      <c r="AJ814">
        <v>1</v>
      </c>
      <c r="AK814">
        <v>15</v>
      </c>
      <c r="AL814" t="s">
        <v>188</v>
      </c>
      <c r="AM814" t="s">
        <v>189</v>
      </c>
      <c r="AN814" t="s">
        <v>190</v>
      </c>
      <c r="AO814" t="s">
        <v>12582</v>
      </c>
      <c r="AP814" t="s">
        <v>12583</v>
      </c>
      <c r="AQ814" t="s">
        <v>74</v>
      </c>
      <c r="AR814" t="s">
        <v>12570</v>
      </c>
      <c r="AS814" t="s">
        <v>12584</v>
      </c>
      <c r="AT814" t="s">
        <v>14977</v>
      </c>
      <c r="AU814">
        <v>2012</v>
      </c>
      <c r="AV814">
        <v>155</v>
      </c>
      <c r="AW814" t="s">
        <v>74</v>
      </c>
      <c r="AX814" t="s">
        <v>74</v>
      </c>
      <c r="AY814" t="s">
        <v>74</v>
      </c>
      <c r="AZ814" t="s">
        <v>1019</v>
      </c>
      <c r="BA814" t="s">
        <v>74</v>
      </c>
      <c r="BB814">
        <v>88</v>
      </c>
      <c r="BC814">
        <v>95</v>
      </c>
      <c r="BD814" t="s">
        <v>74</v>
      </c>
      <c r="BE814" t="s">
        <v>15185</v>
      </c>
      <c r="BF814" t="str">
        <f>HYPERLINK("http://dx.doi.org/10.1016/j.geomorph.2011.12.027","http://dx.doi.org/10.1016/j.geomorph.2011.12.027")</f>
        <v>http://dx.doi.org/10.1016/j.geomorph.2011.12.027</v>
      </c>
      <c r="BG814" t="s">
        <v>74</v>
      </c>
      <c r="BH814" t="s">
        <v>74</v>
      </c>
      <c r="BI814">
        <v>8</v>
      </c>
      <c r="BJ814" t="s">
        <v>97</v>
      </c>
      <c r="BK814" t="s">
        <v>98</v>
      </c>
      <c r="BL814" t="s">
        <v>99</v>
      </c>
      <c r="BM814" t="s">
        <v>15060</v>
      </c>
      <c r="BN814" t="s">
        <v>74</v>
      </c>
      <c r="BO814" t="s">
        <v>74</v>
      </c>
      <c r="BP814" t="s">
        <v>74</v>
      </c>
      <c r="BQ814" t="s">
        <v>74</v>
      </c>
      <c r="BR814" t="s">
        <v>101</v>
      </c>
      <c r="BS814" t="s">
        <v>15186</v>
      </c>
      <c r="BT814" t="str">
        <f>HYPERLINK("https%3A%2F%2Fwww.webofscience.com%2Fwos%2Fwoscc%2Ffull-record%2FWOS:000304334900010","View Full Record in Web of Science")</f>
        <v>View Full Record in Web of Science</v>
      </c>
    </row>
    <row r="815" spans="1:72" x14ac:dyDescent="0.15">
      <c r="A815" t="s">
        <v>72</v>
      </c>
      <c r="B815" t="s">
        <v>15187</v>
      </c>
      <c r="C815" t="s">
        <v>74</v>
      </c>
      <c r="D815" t="s">
        <v>74</v>
      </c>
      <c r="E815" t="s">
        <v>74</v>
      </c>
      <c r="F815" t="s">
        <v>15188</v>
      </c>
      <c r="G815" t="s">
        <v>74</v>
      </c>
      <c r="H815" t="s">
        <v>74</v>
      </c>
      <c r="I815" t="s">
        <v>15189</v>
      </c>
      <c r="J815" t="s">
        <v>12570</v>
      </c>
      <c r="K815" t="s">
        <v>74</v>
      </c>
      <c r="L815" t="s">
        <v>74</v>
      </c>
      <c r="M815" t="s">
        <v>78</v>
      </c>
      <c r="N815" t="s">
        <v>79</v>
      </c>
      <c r="O815" t="s">
        <v>74</v>
      </c>
      <c r="P815" t="s">
        <v>74</v>
      </c>
      <c r="Q815" t="s">
        <v>74</v>
      </c>
      <c r="R815" t="s">
        <v>74</v>
      </c>
      <c r="S815" t="s">
        <v>74</v>
      </c>
      <c r="T815" t="s">
        <v>15190</v>
      </c>
      <c r="U815" t="s">
        <v>15191</v>
      </c>
      <c r="V815" t="s">
        <v>15192</v>
      </c>
      <c r="W815" t="s">
        <v>15193</v>
      </c>
      <c r="X815" t="s">
        <v>15194</v>
      </c>
      <c r="Y815" t="s">
        <v>74</v>
      </c>
      <c r="Z815" t="s">
        <v>15195</v>
      </c>
      <c r="AA815" t="s">
        <v>15196</v>
      </c>
      <c r="AB815" t="s">
        <v>15197</v>
      </c>
      <c r="AC815" t="s">
        <v>15198</v>
      </c>
      <c r="AD815" t="s">
        <v>15199</v>
      </c>
      <c r="AE815" t="s">
        <v>15200</v>
      </c>
      <c r="AF815" t="s">
        <v>74</v>
      </c>
      <c r="AG815">
        <v>31</v>
      </c>
      <c r="AH815">
        <v>14</v>
      </c>
      <c r="AI815">
        <v>15</v>
      </c>
      <c r="AJ815">
        <v>0</v>
      </c>
      <c r="AK815">
        <v>10</v>
      </c>
      <c r="AL815" t="s">
        <v>188</v>
      </c>
      <c r="AM815" t="s">
        <v>189</v>
      </c>
      <c r="AN815" t="s">
        <v>190</v>
      </c>
      <c r="AO815" t="s">
        <v>12582</v>
      </c>
      <c r="AP815" t="s">
        <v>12583</v>
      </c>
      <c r="AQ815" t="s">
        <v>74</v>
      </c>
      <c r="AR815" t="s">
        <v>12570</v>
      </c>
      <c r="AS815" t="s">
        <v>12584</v>
      </c>
      <c r="AT815" t="s">
        <v>14977</v>
      </c>
      <c r="AU815">
        <v>2012</v>
      </c>
      <c r="AV815">
        <v>155</v>
      </c>
      <c r="AW815" t="s">
        <v>74</v>
      </c>
      <c r="AX815" t="s">
        <v>74</v>
      </c>
      <c r="AY815" t="s">
        <v>74</v>
      </c>
      <c r="AZ815" t="s">
        <v>1019</v>
      </c>
      <c r="BA815" t="s">
        <v>74</v>
      </c>
      <c r="BB815">
        <v>96</v>
      </c>
      <c r="BC815">
        <v>101</v>
      </c>
      <c r="BD815" t="s">
        <v>74</v>
      </c>
      <c r="BE815" t="s">
        <v>15201</v>
      </c>
      <c r="BF815" t="str">
        <f>HYPERLINK("http://dx.doi.org/10.1016/j.geomorph.2011.12.014","http://dx.doi.org/10.1016/j.geomorph.2011.12.014")</f>
        <v>http://dx.doi.org/10.1016/j.geomorph.2011.12.014</v>
      </c>
      <c r="BG815" t="s">
        <v>74</v>
      </c>
      <c r="BH815" t="s">
        <v>74</v>
      </c>
      <c r="BI815">
        <v>6</v>
      </c>
      <c r="BJ815" t="s">
        <v>97</v>
      </c>
      <c r="BK815" t="s">
        <v>98</v>
      </c>
      <c r="BL815" t="s">
        <v>99</v>
      </c>
      <c r="BM815" t="s">
        <v>15060</v>
      </c>
      <c r="BN815" t="s">
        <v>74</v>
      </c>
      <c r="BO815" t="s">
        <v>74</v>
      </c>
      <c r="BP815" t="s">
        <v>74</v>
      </c>
      <c r="BQ815" t="s">
        <v>74</v>
      </c>
      <c r="BR815" t="s">
        <v>101</v>
      </c>
      <c r="BS815" t="s">
        <v>15202</v>
      </c>
      <c r="BT815" t="str">
        <f>HYPERLINK("https%3A%2F%2Fwww.webofscience.com%2Fwos%2Fwoscc%2Ffull-record%2FWOS:000304334900011","View Full Record in Web of Science")</f>
        <v>View Full Record in Web of Science</v>
      </c>
    </row>
    <row r="816" spans="1:72" x14ac:dyDescent="0.15">
      <c r="A816" t="s">
        <v>72</v>
      </c>
      <c r="B816" t="s">
        <v>15203</v>
      </c>
      <c r="C816" t="s">
        <v>74</v>
      </c>
      <c r="D816" t="s">
        <v>74</v>
      </c>
      <c r="E816" t="s">
        <v>74</v>
      </c>
      <c r="F816" t="s">
        <v>15204</v>
      </c>
      <c r="G816" t="s">
        <v>74</v>
      </c>
      <c r="H816" t="s">
        <v>74</v>
      </c>
      <c r="I816" t="s">
        <v>15205</v>
      </c>
      <c r="J816" t="s">
        <v>15206</v>
      </c>
      <c r="K816" t="s">
        <v>74</v>
      </c>
      <c r="L816" t="s">
        <v>74</v>
      </c>
      <c r="M816" t="s">
        <v>78</v>
      </c>
      <c r="N816" t="s">
        <v>79</v>
      </c>
      <c r="O816" t="s">
        <v>74</v>
      </c>
      <c r="P816" t="s">
        <v>74</v>
      </c>
      <c r="Q816" t="s">
        <v>74</v>
      </c>
      <c r="R816" t="s">
        <v>74</v>
      </c>
      <c r="S816" t="s">
        <v>74</v>
      </c>
      <c r="T816" t="s">
        <v>15207</v>
      </c>
      <c r="U816" t="s">
        <v>15208</v>
      </c>
      <c r="V816" t="s">
        <v>15209</v>
      </c>
      <c r="W816" t="s">
        <v>15210</v>
      </c>
      <c r="X816" t="s">
        <v>15211</v>
      </c>
      <c r="Y816" t="s">
        <v>15212</v>
      </c>
      <c r="Z816" t="s">
        <v>15213</v>
      </c>
      <c r="AA816" t="s">
        <v>15214</v>
      </c>
      <c r="AB816" t="s">
        <v>15215</v>
      </c>
      <c r="AC816" t="s">
        <v>15216</v>
      </c>
      <c r="AD816" t="s">
        <v>15217</v>
      </c>
      <c r="AE816" t="s">
        <v>15218</v>
      </c>
      <c r="AF816" t="s">
        <v>74</v>
      </c>
      <c r="AG816">
        <v>20</v>
      </c>
      <c r="AH816">
        <v>22</v>
      </c>
      <c r="AI816">
        <v>22</v>
      </c>
      <c r="AJ816">
        <v>1</v>
      </c>
      <c r="AK816">
        <v>42</v>
      </c>
      <c r="AL816" t="s">
        <v>15219</v>
      </c>
      <c r="AM816" t="s">
        <v>15220</v>
      </c>
      <c r="AN816" t="s">
        <v>15221</v>
      </c>
      <c r="AO816" t="s">
        <v>15222</v>
      </c>
      <c r="AP816" t="s">
        <v>74</v>
      </c>
      <c r="AQ816" t="s">
        <v>74</v>
      </c>
      <c r="AR816" t="s">
        <v>15223</v>
      </c>
      <c r="AS816" t="s">
        <v>15224</v>
      </c>
      <c r="AT816" t="s">
        <v>15225</v>
      </c>
      <c r="AU816">
        <v>2012</v>
      </c>
      <c r="AV816">
        <v>27</v>
      </c>
      <c r="AW816">
        <v>2</v>
      </c>
      <c r="AX816" t="s">
        <v>74</v>
      </c>
      <c r="AY816" t="s">
        <v>74</v>
      </c>
      <c r="AZ816" t="s">
        <v>74</v>
      </c>
      <c r="BA816" t="s">
        <v>74</v>
      </c>
      <c r="BB816">
        <v>200</v>
      </c>
      <c r="BC816">
        <v>203</v>
      </c>
      <c r="BD816" t="s">
        <v>74</v>
      </c>
      <c r="BE816" t="s">
        <v>15226</v>
      </c>
      <c r="BF816" t="str">
        <f>HYPERLINK("http://dx.doi.org/10.1264/jsme2.ME11311","http://dx.doi.org/10.1264/jsme2.ME11311")</f>
        <v>http://dx.doi.org/10.1264/jsme2.ME11311</v>
      </c>
      <c r="BG816" t="s">
        <v>74</v>
      </c>
      <c r="BH816" t="s">
        <v>74</v>
      </c>
      <c r="BI816">
        <v>4</v>
      </c>
      <c r="BJ816" t="s">
        <v>7806</v>
      </c>
      <c r="BK816" t="s">
        <v>98</v>
      </c>
      <c r="BL816" t="s">
        <v>7806</v>
      </c>
      <c r="BM816" t="s">
        <v>15227</v>
      </c>
      <c r="BN816">
        <v>22791054</v>
      </c>
      <c r="BO816" t="s">
        <v>6835</v>
      </c>
      <c r="BP816" t="s">
        <v>74</v>
      </c>
      <c r="BQ816" t="s">
        <v>74</v>
      </c>
      <c r="BR816" t="s">
        <v>101</v>
      </c>
      <c r="BS816" t="s">
        <v>15228</v>
      </c>
      <c r="BT816" t="str">
        <f>HYPERLINK("https%3A%2F%2Fwww.webofscience.com%2Fwos%2Fwoscc%2Ffull-record%2FWOS:000305087100013","View Full Record in Web of Science")</f>
        <v>View Full Record in Web of Science</v>
      </c>
    </row>
    <row r="817" spans="1:72" x14ac:dyDescent="0.15">
      <c r="A817" t="s">
        <v>72</v>
      </c>
      <c r="B817" t="s">
        <v>15229</v>
      </c>
      <c r="C817" t="s">
        <v>74</v>
      </c>
      <c r="D817" t="s">
        <v>74</v>
      </c>
      <c r="E817" t="s">
        <v>74</v>
      </c>
      <c r="F817" t="s">
        <v>15230</v>
      </c>
      <c r="G817" t="s">
        <v>74</v>
      </c>
      <c r="H817" t="s">
        <v>74</v>
      </c>
      <c r="I817" t="s">
        <v>15231</v>
      </c>
      <c r="J817" t="s">
        <v>657</v>
      </c>
      <c r="K817" t="s">
        <v>74</v>
      </c>
      <c r="L817" t="s">
        <v>74</v>
      </c>
      <c r="M817" t="s">
        <v>78</v>
      </c>
      <c r="N817" t="s">
        <v>79</v>
      </c>
      <c r="O817" t="s">
        <v>74</v>
      </c>
      <c r="P817" t="s">
        <v>74</v>
      </c>
      <c r="Q817" t="s">
        <v>74</v>
      </c>
      <c r="R817" t="s">
        <v>74</v>
      </c>
      <c r="S817" t="s">
        <v>74</v>
      </c>
      <c r="T817" t="s">
        <v>15232</v>
      </c>
      <c r="U817" t="s">
        <v>15233</v>
      </c>
      <c r="V817" t="s">
        <v>15234</v>
      </c>
      <c r="W817" t="s">
        <v>15235</v>
      </c>
      <c r="X817" t="s">
        <v>15236</v>
      </c>
      <c r="Y817" t="s">
        <v>15237</v>
      </c>
      <c r="Z817" t="s">
        <v>15238</v>
      </c>
      <c r="AA817" t="s">
        <v>15239</v>
      </c>
      <c r="AB817" t="s">
        <v>15240</v>
      </c>
      <c r="AC817" t="s">
        <v>15241</v>
      </c>
      <c r="AD817" t="s">
        <v>15242</v>
      </c>
      <c r="AE817" t="s">
        <v>15243</v>
      </c>
      <c r="AF817" t="s">
        <v>74</v>
      </c>
      <c r="AG817">
        <v>33</v>
      </c>
      <c r="AH817">
        <v>6</v>
      </c>
      <c r="AI817">
        <v>8</v>
      </c>
      <c r="AJ817">
        <v>0</v>
      </c>
      <c r="AK817">
        <v>10</v>
      </c>
      <c r="AL817" t="s">
        <v>668</v>
      </c>
      <c r="AM817" t="s">
        <v>669</v>
      </c>
      <c r="AN817" t="s">
        <v>670</v>
      </c>
      <c r="AO817" t="s">
        <v>671</v>
      </c>
      <c r="AP817" t="s">
        <v>672</v>
      </c>
      <c r="AQ817" t="s">
        <v>74</v>
      </c>
      <c r="AR817" t="s">
        <v>657</v>
      </c>
      <c r="AS817" t="s">
        <v>673</v>
      </c>
      <c r="AT817" t="s">
        <v>15244</v>
      </c>
      <c r="AU817">
        <v>2012</v>
      </c>
      <c r="AV817" t="s">
        <v>74</v>
      </c>
      <c r="AW817">
        <v>3340</v>
      </c>
      <c r="AX817" t="s">
        <v>74</v>
      </c>
      <c r="AY817" t="s">
        <v>74</v>
      </c>
      <c r="AZ817" t="s">
        <v>74</v>
      </c>
      <c r="BA817" t="s">
        <v>74</v>
      </c>
      <c r="BB817">
        <v>59</v>
      </c>
      <c r="BC817">
        <v>68</v>
      </c>
      <c r="BD817" t="s">
        <v>74</v>
      </c>
      <c r="BE817" t="s">
        <v>15245</v>
      </c>
      <c r="BF817" t="str">
        <f>HYPERLINK("http://dx.doi.org/10.11646/zootaxa.3340.1.4","http://dx.doi.org/10.11646/zootaxa.3340.1.4")</f>
        <v>http://dx.doi.org/10.11646/zootaxa.3340.1.4</v>
      </c>
      <c r="BG817" t="s">
        <v>74</v>
      </c>
      <c r="BH817" t="s">
        <v>74</v>
      </c>
      <c r="BI817">
        <v>10</v>
      </c>
      <c r="BJ817" t="s">
        <v>675</v>
      </c>
      <c r="BK817" t="s">
        <v>98</v>
      </c>
      <c r="BL817" t="s">
        <v>675</v>
      </c>
      <c r="BM817" t="s">
        <v>15246</v>
      </c>
      <c r="BN817" t="s">
        <v>74</v>
      </c>
      <c r="BO817" t="s">
        <v>74</v>
      </c>
      <c r="BP817" t="s">
        <v>74</v>
      </c>
      <c r="BQ817" t="s">
        <v>74</v>
      </c>
      <c r="BR817" t="s">
        <v>101</v>
      </c>
      <c r="BS817" t="s">
        <v>15247</v>
      </c>
      <c r="BT817" t="str">
        <f>HYPERLINK("https%3A%2F%2Fwww.webofscience.com%2Fwos%2Fwoscc%2Ffull-record%2FWOS:000305192700004","View Full Record in Web of Science")</f>
        <v>View Full Record in Web of Science</v>
      </c>
    </row>
    <row r="818" spans="1:72" x14ac:dyDescent="0.15">
      <c r="A818" t="s">
        <v>72</v>
      </c>
      <c r="B818" t="s">
        <v>15248</v>
      </c>
      <c r="C818" t="s">
        <v>74</v>
      </c>
      <c r="D818" t="s">
        <v>74</v>
      </c>
      <c r="E818" t="s">
        <v>74</v>
      </c>
      <c r="F818" t="s">
        <v>15249</v>
      </c>
      <c r="G818" t="s">
        <v>74</v>
      </c>
      <c r="H818" t="s">
        <v>74</v>
      </c>
      <c r="I818" t="s">
        <v>15250</v>
      </c>
      <c r="J818" t="s">
        <v>539</v>
      </c>
      <c r="K818" t="s">
        <v>74</v>
      </c>
      <c r="L818" t="s">
        <v>74</v>
      </c>
      <c r="M818" t="s">
        <v>78</v>
      </c>
      <c r="N818" t="s">
        <v>79</v>
      </c>
      <c r="O818" t="s">
        <v>74</v>
      </c>
      <c r="P818" t="s">
        <v>74</v>
      </c>
      <c r="Q818" t="s">
        <v>74</v>
      </c>
      <c r="R818" t="s">
        <v>74</v>
      </c>
      <c r="S818" t="s">
        <v>74</v>
      </c>
      <c r="T818" t="s">
        <v>74</v>
      </c>
      <c r="U818" t="s">
        <v>15251</v>
      </c>
      <c r="V818" t="s">
        <v>15252</v>
      </c>
      <c r="W818" t="s">
        <v>15253</v>
      </c>
      <c r="X818" t="s">
        <v>15254</v>
      </c>
      <c r="Y818" t="s">
        <v>15255</v>
      </c>
      <c r="Z818" t="s">
        <v>15256</v>
      </c>
      <c r="AA818" t="s">
        <v>15257</v>
      </c>
      <c r="AB818" t="s">
        <v>15258</v>
      </c>
      <c r="AC818" t="s">
        <v>15259</v>
      </c>
      <c r="AD818" t="s">
        <v>15260</v>
      </c>
      <c r="AE818" t="s">
        <v>15261</v>
      </c>
      <c r="AF818" t="s">
        <v>74</v>
      </c>
      <c r="AG818">
        <v>30</v>
      </c>
      <c r="AH818">
        <v>70</v>
      </c>
      <c r="AI818">
        <v>76</v>
      </c>
      <c r="AJ818">
        <v>3</v>
      </c>
      <c r="AK818">
        <v>75</v>
      </c>
      <c r="AL818" t="s">
        <v>541</v>
      </c>
      <c r="AM818" t="s">
        <v>119</v>
      </c>
      <c r="AN818" t="s">
        <v>542</v>
      </c>
      <c r="AO818" t="s">
        <v>543</v>
      </c>
      <c r="AP818" t="s">
        <v>10073</v>
      </c>
      <c r="AQ818" t="s">
        <v>74</v>
      </c>
      <c r="AR818" t="s">
        <v>539</v>
      </c>
      <c r="AS818" t="s">
        <v>544</v>
      </c>
      <c r="AT818" t="s">
        <v>15244</v>
      </c>
      <c r="AU818">
        <v>2012</v>
      </c>
      <c r="AV818">
        <v>336</v>
      </c>
      <c r="AW818">
        <v>6086</v>
      </c>
      <c r="AX818" t="s">
        <v>74</v>
      </c>
      <c r="AY818" t="s">
        <v>74</v>
      </c>
      <c r="AZ818" t="s">
        <v>74</v>
      </c>
      <c r="BA818" t="s">
        <v>74</v>
      </c>
      <c r="BB818">
        <v>1301</v>
      </c>
      <c r="BC818">
        <v>1304</v>
      </c>
      <c r="BD818" t="s">
        <v>74</v>
      </c>
      <c r="BE818" t="s">
        <v>15262</v>
      </c>
      <c r="BF818" t="str">
        <f>HYPERLINK("http://dx.doi.org/10.1126/science.1218340","http://dx.doi.org/10.1126/science.1218340")</f>
        <v>http://dx.doi.org/10.1126/science.1218340</v>
      </c>
      <c r="BG818" t="s">
        <v>74</v>
      </c>
      <c r="BH818" t="s">
        <v>74</v>
      </c>
      <c r="BI818">
        <v>4</v>
      </c>
      <c r="BJ818" t="s">
        <v>153</v>
      </c>
      <c r="BK818" t="s">
        <v>98</v>
      </c>
      <c r="BL818" t="s">
        <v>154</v>
      </c>
      <c r="BM818" t="s">
        <v>15263</v>
      </c>
      <c r="BN818">
        <v>22555435</v>
      </c>
      <c r="BO818" t="s">
        <v>74</v>
      </c>
      <c r="BP818" t="s">
        <v>74</v>
      </c>
      <c r="BQ818" t="s">
        <v>74</v>
      </c>
      <c r="BR818" t="s">
        <v>101</v>
      </c>
      <c r="BS818" t="s">
        <v>15264</v>
      </c>
      <c r="BT818" t="str">
        <f>HYPERLINK("https%3A%2F%2Fwww.webofscience.com%2Fwos%2Fwoscc%2Ffull-record%2FWOS:000304905300045","View Full Record in Web of Science")</f>
        <v>View Full Record in Web of Science</v>
      </c>
    </row>
    <row r="819" spans="1:72" x14ac:dyDescent="0.15">
      <c r="A819" t="s">
        <v>72</v>
      </c>
      <c r="B819" t="s">
        <v>15265</v>
      </c>
      <c r="C819" t="s">
        <v>74</v>
      </c>
      <c r="D819" t="s">
        <v>74</v>
      </c>
      <c r="E819" t="s">
        <v>74</v>
      </c>
      <c r="F819" t="s">
        <v>15266</v>
      </c>
      <c r="G819" t="s">
        <v>74</v>
      </c>
      <c r="H819" t="s">
        <v>74</v>
      </c>
      <c r="I819" t="s">
        <v>15267</v>
      </c>
      <c r="J819" t="s">
        <v>106</v>
      </c>
      <c r="K819" t="s">
        <v>74</v>
      </c>
      <c r="L819" t="s">
        <v>74</v>
      </c>
      <c r="M819" t="s">
        <v>78</v>
      </c>
      <c r="N819" t="s">
        <v>79</v>
      </c>
      <c r="O819" t="s">
        <v>74</v>
      </c>
      <c r="P819" t="s">
        <v>74</v>
      </c>
      <c r="Q819" t="s">
        <v>74</v>
      </c>
      <c r="R819" t="s">
        <v>74</v>
      </c>
      <c r="S819" t="s">
        <v>74</v>
      </c>
      <c r="T819" t="s">
        <v>74</v>
      </c>
      <c r="U819" t="s">
        <v>15268</v>
      </c>
      <c r="V819" t="s">
        <v>15269</v>
      </c>
      <c r="W819" t="s">
        <v>15270</v>
      </c>
      <c r="X819" t="s">
        <v>15271</v>
      </c>
      <c r="Y819" t="s">
        <v>15272</v>
      </c>
      <c r="Z819" t="s">
        <v>15273</v>
      </c>
      <c r="AA819" t="s">
        <v>15274</v>
      </c>
      <c r="AB819" t="s">
        <v>15275</v>
      </c>
      <c r="AC819" t="s">
        <v>15276</v>
      </c>
      <c r="AD819" t="s">
        <v>15277</v>
      </c>
      <c r="AE819" t="s">
        <v>15278</v>
      </c>
      <c r="AF819" t="s">
        <v>74</v>
      </c>
      <c r="AG819">
        <v>37</v>
      </c>
      <c r="AH819">
        <v>32</v>
      </c>
      <c r="AI819">
        <v>32</v>
      </c>
      <c r="AJ819">
        <v>0</v>
      </c>
      <c r="AK819">
        <v>10</v>
      </c>
      <c r="AL819" t="s">
        <v>118</v>
      </c>
      <c r="AM819" t="s">
        <v>119</v>
      </c>
      <c r="AN819" t="s">
        <v>120</v>
      </c>
      <c r="AO819" t="s">
        <v>121</v>
      </c>
      <c r="AP819" t="s">
        <v>122</v>
      </c>
      <c r="AQ819" t="s">
        <v>74</v>
      </c>
      <c r="AR819" t="s">
        <v>123</v>
      </c>
      <c r="AS819" t="s">
        <v>124</v>
      </c>
      <c r="AT819" t="s">
        <v>15279</v>
      </c>
      <c r="AU819">
        <v>2012</v>
      </c>
      <c r="AV819">
        <v>117</v>
      </c>
      <c r="AW819" t="s">
        <v>74</v>
      </c>
      <c r="AX819" t="s">
        <v>74</v>
      </c>
      <c r="AY819" t="s">
        <v>74</v>
      </c>
      <c r="AZ819" t="s">
        <v>74</v>
      </c>
      <c r="BA819" t="s">
        <v>74</v>
      </c>
      <c r="BB819" t="s">
        <v>74</v>
      </c>
      <c r="BC819" t="s">
        <v>74</v>
      </c>
      <c r="BD819" t="s">
        <v>15280</v>
      </c>
      <c r="BE819" t="s">
        <v>15281</v>
      </c>
      <c r="BF819" t="str">
        <f>HYPERLINK("http://dx.doi.org/10.1029/2011JA017320","http://dx.doi.org/10.1029/2011JA017320")</f>
        <v>http://dx.doi.org/10.1029/2011JA017320</v>
      </c>
      <c r="BG819" t="s">
        <v>74</v>
      </c>
      <c r="BH819" t="s">
        <v>74</v>
      </c>
      <c r="BI819">
        <v>13</v>
      </c>
      <c r="BJ819" t="s">
        <v>127</v>
      </c>
      <c r="BK819" t="s">
        <v>98</v>
      </c>
      <c r="BL819" t="s">
        <v>127</v>
      </c>
      <c r="BM819" t="s">
        <v>15282</v>
      </c>
      <c r="BN819" t="s">
        <v>74</v>
      </c>
      <c r="BO819" t="s">
        <v>607</v>
      </c>
      <c r="BP819" t="s">
        <v>74</v>
      </c>
      <c r="BQ819" t="s">
        <v>74</v>
      </c>
      <c r="BR819" t="s">
        <v>101</v>
      </c>
      <c r="BS819" t="s">
        <v>15283</v>
      </c>
      <c r="BT819" t="str">
        <f>HYPERLINK("https%3A%2F%2Fwww.webofscience.com%2Fwos%2Fwoscc%2Ffull-record%2FWOS:000305147300001","View Full Record in Web of Science")</f>
        <v>View Full Record in Web of Science</v>
      </c>
    </row>
    <row r="820" spans="1:72" x14ac:dyDescent="0.15">
      <c r="A820" t="s">
        <v>72</v>
      </c>
      <c r="B820" t="s">
        <v>15284</v>
      </c>
      <c r="C820" t="s">
        <v>74</v>
      </c>
      <c r="D820" t="s">
        <v>74</v>
      </c>
      <c r="E820" t="s">
        <v>74</v>
      </c>
      <c r="F820" t="s">
        <v>15285</v>
      </c>
      <c r="G820" t="s">
        <v>74</v>
      </c>
      <c r="H820" t="s">
        <v>74</v>
      </c>
      <c r="I820" t="s">
        <v>15286</v>
      </c>
      <c r="J820" t="s">
        <v>3207</v>
      </c>
      <c r="K820" t="s">
        <v>74</v>
      </c>
      <c r="L820" t="s">
        <v>74</v>
      </c>
      <c r="M820" t="s">
        <v>78</v>
      </c>
      <c r="N820" t="s">
        <v>79</v>
      </c>
      <c r="O820" t="s">
        <v>74</v>
      </c>
      <c r="P820" t="s">
        <v>74</v>
      </c>
      <c r="Q820" t="s">
        <v>74</v>
      </c>
      <c r="R820" t="s">
        <v>74</v>
      </c>
      <c r="S820" t="s">
        <v>74</v>
      </c>
      <c r="T820" t="s">
        <v>74</v>
      </c>
      <c r="U820" t="s">
        <v>15287</v>
      </c>
      <c r="V820" t="s">
        <v>15288</v>
      </c>
      <c r="W820" t="s">
        <v>15289</v>
      </c>
      <c r="X820" t="s">
        <v>15290</v>
      </c>
      <c r="Y820" t="s">
        <v>15291</v>
      </c>
      <c r="Z820" t="s">
        <v>15292</v>
      </c>
      <c r="AA820" t="s">
        <v>15293</v>
      </c>
      <c r="AB820" t="s">
        <v>15294</v>
      </c>
      <c r="AC820" t="s">
        <v>74</v>
      </c>
      <c r="AD820" t="s">
        <v>74</v>
      </c>
      <c r="AE820" t="s">
        <v>74</v>
      </c>
      <c r="AF820" t="s">
        <v>74</v>
      </c>
      <c r="AG820">
        <v>41</v>
      </c>
      <c r="AH820">
        <v>14</v>
      </c>
      <c r="AI820">
        <v>18</v>
      </c>
      <c r="AJ820">
        <v>0</v>
      </c>
      <c r="AK820">
        <v>10</v>
      </c>
      <c r="AL820" t="s">
        <v>118</v>
      </c>
      <c r="AM820" t="s">
        <v>119</v>
      </c>
      <c r="AN820" t="s">
        <v>120</v>
      </c>
      <c r="AO820" t="s">
        <v>3219</v>
      </c>
      <c r="AP820" t="s">
        <v>3220</v>
      </c>
      <c r="AQ820" t="s">
        <v>74</v>
      </c>
      <c r="AR820" t="s">
        <v>3221</v>
      </c>
      <c r="AS820" t="s">
        <v>3222</v>
      </c>
      <c r="AT820" t="s">
        <v>15295</v>
      </c>
      <c r="AU820">
        <v>2012</v>
      </c>
      <c r="AV820">
        <v>117</v>
      </c>
      <c r="AW820" t="s">
        <v>74</v>
      </c>
      <c r="AX820" t="s">
        <v>74</v>
      </c>
      <c r="AY820" t="s">
        <v>74</v>
      </c>
      <c r="AZ820" t="s">
        <v>74</v>
      </c>
      <c r="BA820" t="s">
        <v>74</v>
      </c>
      <c r="BB820" t="s">
        <v>74</v>
      </c>
      <c r="BC820" t="s">
        <v>74</v>
      </c>
      <c r="BD820" t="s">
        <v>15296</v>
      </c>
      <c r="BE820" t="s">
        <v>15297</v>
      </c>
      <c r="BF820" t="str">
        <f>HYPERLINK("http://dx.doi.org/10.1029/2011JD017318","http://dx.doi.org/10.1029/2011JD017318")</f>
        <v>http://dx.doi.org/10.1029/2011JD017318</v>
      </c>
      <c r="BG820" t="s">
        <v>74</v>
      </c>
      <c r="BH820" t="s">
        <v>74</v>
      </c>
      <c r="BI820">
        <v>20</v>
      </c>
      <c r="BJ820" t="s">
        <v>378</v>
      </c>
      <c r="BK820" t="s">
        <v>98</v>
      </c>
      <c r="BL820" t="s">
        <v>378</v>
      </c>
      <c r="BM820" t="s">
        <v>15298</v>
      </c>
      <c r="BN820" t="s">
        <v>74</v>
      </c>
      <c r="BO820" t="s">
        <v>494</v>
      </c>
      <c r="BP820" t="s">
        <v>74</v>
      </c>
      <c r="BQ820" t="s">
        <v>74</v>
      </c>
      <c r="BR820" t="s">
        <v>101</v>
      </c>
      <c r="BS820" t="s">
        <v>15299</v>
      </c>
      <c r="BT820" t="str">
        <f>HYPERLINK("https%3A%2F%2Fwww.webofscience.com%2Fwos%2Fwoscc%2Ffull-record%2FWOS:000305147400002","View Full Record in Web of Science")</f>
        <v>View Full Record in Web of Science</v>
      </c>
    </row>
    <row r="821" spans="1:72" x14ac:dyDescent="0.15">
      <c r="A821" t="s">
        <v>72</v>
      </c>
      <c r="B821" t="s">
        <v>15300</v>
      </c>
      <c r="C821" t="s">
        <v>74</v>
      </c>
      <c r="D821" t="s">
        <v>74</v>
      </c>
      <c r="E821" t="s">
        <v>74</v>
      </c>
      <c r="F821" t="s">
        <v>15301</v>
      </c>
      <c r="G821" t="s">
        <v>74</v>
      </c>
      <c r="H821" t="s">
        <v>74</v>
      </c>
      <c r="I821" t="s">
        <v>15302</v>
      </c>
      <c r="J821" t="s">
        <v>3666</v>
      </c>
      <c r="K821" t="s">
        <v>74</v>
      </c>
      <c r="L821" t="s">
        <v>74</v>
      </c>
      <c r="M821" t="s">
        <v>78</v>
      </c>
      <c r="N821" t="s">
        <v>79</v>
      </c>
      <c r="O821" t="s">
        <v>74</v>
      </c>
      <c r="P821" t="s">
        <v>74</v>
      </c>
      <c r="Q821" t="s">
        <v>74</v>
      </c>
      <c r="R821" t="s">
        <v>74</v>
      </c>
      <c r="S821" t="s">
        <v>74</v>
      </c>
      <c r="T821" t="s">
        <v>74</v>
      </c>
      <c r="U821" t="s">
        <v>15303</v>
      </c>
      <c r="V821" t="s">
        <v>15304</v>
      </c>
      <c r="W821" t="s">
        <v>15305</v>
      </c>
      <c r="X821" t="s">
        <v>15306</v>
      </c>
      <c r="Y821" t="s">
        <v>15307</v>
      </c>
      <c r="Z821" t="s">
        <v>15308</v>
      </c>
      <c r="AA821" t="s">
        <v>15309</v>
      </c>
      <c r="AB821" t="s">
        <v>15310</v>
      </c>
      <c r="AC821" t="s">
        <v>15311</v>
      </c>
      <c r="AD821" t="s">
        <v>15312</v>
      </c>
      <c r="AE821" t="s">
        <v>15313</v>
      </c>
      <c r="AF821" t="s">
        <v>74</v>
      </c>
      <c r="AG821">
        <v>32</v>
      </c>
      <c r="AH821">
        <v>46</v>
      </c>
      <c r="AI821">
        <v>47</v>
      </c>
      <c r="AJ821">
        <v>0</v>
      </c>
      <c r="AK821">
        <v>36</v>
      </c>
      <c r="AL821" t="s">
        <v>118</v>
      </c>
      <c r="AM821" t="s">
        <v>119</v>
      </c>
      <c r="AN821" t="s">
        <v>120</v>
      </c>
      <c r="AO821" t="s">
        <v>3678</v>
      </c>
      <c r="AP821" t="s">
        <v>3679</v>
      </c>
      <c r="AQ821" t="s">
        <v>74</v>
      </c>
      <c r="AR821" t="s">
        <v>3680</v>
      </c>
      <c r="AS821" t="s">
        <v>3681</v>
      </c>
      <c r="AT821" t="s">
        <v>15295</v>
      </c>
      <c r="AU821">
        <v>2012</v>
      </c>
      <c r="AV821">
        <v>117</v>
      </c>
      <c r="AW821" t="s">
        <v>74</v>
      </c>
      <c r="AX821" t="s">
        <v>74</v>
      </c>
      <c r="AY821" t="s">
        <v>74</v>
      </c>
      <c r="AZ821" t="s">
        <v>74</v>
      </c>
      <c r="BA821" t="s">
        <v>74</v>
      </c>
      <c r="BB821" t="s">
        <v>74</v>
      </c>
      <c r="BC821" t="s">
        <v>74</v>
      </c>
      <c r="BD821" t="s">
        <v>15314</v>
      </c>
      <c r="BE821" t="s">
        <v>15315</v>
      </c>
      <c r="BF821" t="str">
        <f>HYPERLINK("http://dx.doi.org/10.1029/2011JC007733","http://dx.doi.org/10.1029/2011JC007733")</f>
        <v>http://dx.doi.org/10.1029/2011JC007733</v>
      </c>
      <c r="BG821" t="s">
        <v>74</v>
      </c>
      <c r="BH821" t="s">
        <v>74</v>
      </c>
      <c r="BI821">
        <v>10</v>
      </c>
      <c r="BJ821" t="s">
        <v>941</v>
      </c>
      <c r="BK821" t="s">
        <v>98</v>
      </c>
      <c r="BL821" t="s">
        <v>941</v>
      </c>
      <c r="BM821" t="s">
        <v>15316</v>
      </c>
      <c r="BN821" t="s">
        <v>74</v>
      </c>
      <c r="BO821" t="s">
        <v>607</v>
      </c>
      <c r="BP821" t="s">
        <v>74</v>
      </c>
      <c r="BQ821" t="s">
        <v>74</v>
      </c>
      <c r="BR821" t="s">
        <v>101</v>
      </c>
      <c r="BS821" t="s">
        <v>15317</v>
      </c>
      <c r="BT821" t="str">
        <f>HYPERLINK("https%3A%2F%2Fwww.webofscience.com%2Fwos%2Fwoscc%2Ffull-record%2FWOS:000305154700001","View Full Record in Web of Science")</f>
        <v>View Full Record in Web of Science</v>
      </c>
    </row>
    <row r="822" spans="1:72" x14ac:dyDescent="0.15">
      <c r="A822" t="s">
        <v>72</v>
      </c>
      <c r="B822" t="s">
        <v>15318</v>
      </c>
      <c r="C822" t="s">
        <v>74</v>
      </c>
      <c r="D822" t="s">
        <v>74</v>
      </c>
      <c r="E822" t="s">
        <v>74</v>
      </c>
      <c r="F822" t="s">
        <v>15319</v>
      </c>
      <c r="G822" t="s">
        <v>74</v>
      </c>
      <c r="H822" t="s">
        <v>74</v>
      </c>
      <c r="I822" t="s">
        <v>15320</v>
      </c>
      <c r="J822" t="s">
        <v>6980</v>
      </c>
      <c r="K822" t="s">
        <v>74</v>
      </c>
      <c r="L822" t="s">
        <v>74</v>
      </c>
      <c r="M822" t="s">
        <v>78</v>
      </c>
      <c r="N822" t="s">
        <v>79</v>
      </c>
      <c r="O822" t="s">
        <v>74</v>
      </c>
      <c r="P822" t="s">
        <v>74</v>
      </c>
      <c r="Q822" t="s">
        <v>74</v>
      </c>
      <c r="R822" t="s">
        <v>74</v>
      </c>
      <c r="S822" t="s">
        <v>74</v>
      </c>
      <c r="T822" t="s">
        <v>15321</v>
      </c>
      <c r="U822" t="s">
        <v>15322</v>
      </c>
      <c r="V822" t="s">
        <v>15323</v>
      </c>
      <c r="W822" t="s">
        <v>15324</v>
      </c>
      <c r="X822" t="s">
        <v>15325</v>
      </c>
      <c r="Y822" t="s">
        <v>15326</v>
      </c>
      <c r="Z822" t="s">
        <v>15327</v>
      </c>
      <c r="AA822" t="s">
        <v>15328</v>
      </c>
      <c r="AB822" t="s">
        <v>15329</v>
      </c>
      <c r="AC822" t="s">
        <v>15330</v>
      </c>
      <c r="AD822" t="s">
        <v>15331</v>
      </c>
      <c r="AE822" t="s">
        <v>15332</v>
      </c>
      <c r="AF822" t="s">
        <v>74</v>
      </c>
      <c r="AG822">
        <v>59</v>
      </c>
      <c r="AH822">
        <v>53</v>
      </c>
      <c r="AI822">
        <v>59</v>
      </c>
      <c r="AJ822">
        <v>1</v>
      </c>
      <c r="AK822">
        <v>45</v>
      </c>
      <c r="AL822" t="s">
        <v>259</v>
      </c>
      <c r="AM822" t="s">
        <v>189</v>
      </c>
      <c r="AN822" t="s">
        <v>260</v>
      </c>
      <c r="AO822" t="s">
        <v>6993</v>
      </c>
      <c r="AP822" t="s">
        <v>6994</v>
      </c>
      <c r="AQ822" t="s">
        <v>74</v>
      </c>
      <c r="AR822" t="s">
        <v>6995</v>
      </c>
      <c r="AS822" t="s">
        <v>6996</v>
      </c>
      <c r="AT822" t="s">
        <v>15333</v>
      </c>
      <c r="AU822">
        <v>2012</v>
      </c>
      <c r="AV822">
        <v>310</v>
      </c>
      <c r="AW822" t="s">
        <v>74</v>
      </c>
      <c r="AX822" t="s">
        <v>74</v>
      </c>
      <c r="AY822" t="s">
        <v>74</v>
      </c>
      <c r="AZ822" t="s">
        <v>74</v>
      </c>
      <c r="BA822" t="s">
        <v>74</v>
      </c>
      <c r="BB822">
        <v>126</v>
      </c>
      <c r="BC822">
        <v>136</v>
      </c>
      <c r="BD822" t="s">
        <v>74</v>
      </c>
      <c r="BE822" t="s">
        <v>15334</v>
      </c>
      <c r="BF822" t="str">
        <f>HYPERLINK("http://dx.doi.org/10.1016/j.chemgeo.2012.03.031","http://dx.doi.org/10.1016/j.chemgeo.2012.03.031")</f>
        <v>http://dx.doi.org/10.1016/j.chemgeo.2012.03.031</v>
      </c>
      <c r="BG822" t="s">
        <v>74</v>
      </c>
      <c r="BH822" t="s">
        <v>74</v>
      </c>
      <c r="BI822">
        <v>11</v>
      </c>
      <c r="BJ822" t="s">
        <v>241</v>
      </c>
      <c r="BK822" t="s">
        <v>98</v>
      </c>
      <c r="BL822" t="s">
        <v>241</v>
      </c>
      <c r="BM822" t="s">
        <v>15335</v>
      </c>
      <c r="BN822" t="s">
        <v>74</v>
      </c>
      <c r="BO822" t="s">
        <v>74</v>
      </c>
      <c r="BP822" t="s">
        <v>74</v>
      </c>
      <c r="BQ822" t="s">
        <v>74</v>
      </c>
      <c r="BR822" t="s">
        <v>101</v>
      </c>
      <c r="BS822" t="s">
        <v>15336</v>
      </c>
      <c r="BT822" t="str">
        <f>HYPERLINK("https%3A%2F%2Fwww.webofscience.com%2Fwos%2Fwoscc%2Ffull-record%2FWOS:000305307800011","View Full Record in Web of Science")</f>
        <v>View Full Record in Web of Science</v>
      </c>
    </row>
    <row r="823" spans="1:72" x14ac:dyDescent="0.15">
      <c r="A823" t="s">
        <v>72</v>
      </c>
      <c r="B823" t="s">
        <v>15337</v>
      </c>
      <c r="C823" t="s">
        <v>74</v>
      </c>
      <c r="D823" t="s">
        <v>74</v>
      </c>
      <c r="E823" t="s">
        <v>74</v>
      </c>
      <c r="F823" t="s">
        <v>15338</v>
      </c>
      <c r="G823" t="s">
        <v>74</v>
      </c>
      <c r="H823" t="s">
        <v>74</v>
      </c>
      <c r="I823" t="s">
        <v>15339</v>
      </c>
      <c r="J823" t="s">
        <v>729</v>
      </c>
      <c r="K823" t="s">
        <v>74</v>
      </c>
      <c r="L823" t="s">
        <v>74</v>
      </c>
      <c r="M823" t="s">
        <v>78</v>
      </c>
      <c r="N823" t="s">
        <v>79</v>
      </c>
      <c r="O823" t="s">
        <v>74</v>
      </c>
      <c r="P823" t="s">
        <v>74</v>
      </c>
      <c r="Q823" t="s">
        <v>74</v>
      </c>
      <c r="R823" t="s">
        <v>74</v>
      </c>
      <c r="S823" t="s">
        <v>74</v>
      </c>
      <c r="T823" t="s">
        <v>74</v>
      </c>
      <c r="U823" t="s">
        <v>15340</v>
      </c>
      <c r="V823" t="s">
        <v>15341</v>
      </c>
      <c r="W823" t="s">
        <v>15342</v>
      </c>
      <c r="X823" t="s">
        <v>15343</v>
      </c>
      <c r="Y823" t="s">
        <v>15344</v>
      </c>
      <c r="Z823" t="s">
        <v>15345</v>
      </c>
      <c r="AA823" t="s">
        <v>15346</v>
      </c>
      <c r="AB823" t="s">
        <v>15347</v>
      </c>
      <c r="AC823" t="s">
        <v>15348</v>
      </c>
      <c r="AD823" t="s">
        <v>15349</v>
      </c>
      <c r="AE823" t="s">
        <v>15350</v>
      </c>
      <c r="AF823" t="s">
        <v>74</v>
      </c>
      <c r="AG823">
        <v>55</v>
      </c>
      <c r="AH823">
        <v>66</v>
      </c>
      <c r="AI823">
        <v>75</v>
      </c>
      <c r="AJ823">
        <v>3</v>
      </c>
      <c r="AK823">
        <v>72</v>
      </c>
      <c r="AL823" t="s">
        <v>741</v>
      </c>
      <c r="AM823" t="s">
        <v>119</v>
      </c>
      <c r="AN823" t="s">
        <v>742</v>
      </c>
      <c r="AO823" t="s">
        <v>743</v>
      </c>
      <c r="AP823" t="s">
        <v>744</v>
      </c>
      <c r="AQ823" t="s">
        <v>74</v>
      </c>
      <c r="AR823" t="s">
        <v>745</v>
      </c>
      <c r="AS823" t="s">
        <v>746</v>
      </c>
      <c r="AT823" t="s">
        <v>15333</v>
      </c>
      <c r="AU823">
        <v>2012</v>
      </c>
      <c r="AV823">
        <v>46</v>
      </c>
      <c r="AW823">
        <v>11</v>
      </c>
      <c r="AX823" t="s">
        <v>74</v>
      </c>
      <c r="AY823" t="s">
        <v>74</v>
      </c>
      <c r="AZ823" t="s">
        <v>74</v>
      </c>
      <c r="BA823" t="s">
        <v>74</v>
      </c>
      <c r="BB823">
        <v>5727</v>
      </c>
      <c r="BC823">
        <v>5735</v>
      </c>
      <c r="BD823" t="s">
        <v>74</v>
      </c>
      <c r="BE823" t="s">
        <v>15351</v>
      </c>
      <c r="BF823" t="str">
        <f>HYPERLINK("http://dx.doi.org/10.1021/es204593q","http://dx.doi.org/10.1021/es204593q")</f>
        <v>http://dx.doi.org/10.1021/es204593q</v>
      </c>
      <c r="BG823" t="s">
        <v>74</v>
      </c>
      <c r="BH823" t="s">
        <v>74</v>
      </c>
      <c r="BI823">
        <v>9</v>
      </c>
      <c r="BJ823" t="s">
        <v>749</v>
      </c>
      <c r="BK823" t="s">
        <v>98</v>
      </c>
      <c r="BL823" t="s">
        <v>750</v>
      </c>
      <c r="BM823" t="s">
        <v>15352</v>
      </c>
      <c r="BN823">
        <v>22534036</v>
      </c>
      <c r="BO823" t="s">
        <v>74</v>
      </c>
      <c r="BP823" t="s">
        <v>74</v>
      </c>
      <c r="BQ823" t="s">
        <v>74</v>
      </c>
      <c r="BR823" t="s">
        <v>101</v>
      </c>
      <c r="BS823" t="s">
        <v>15353</v>
      </c>
      <c r="BT823" t="str">
        <f>HYPERLINK("https%3A%2F%2Fwww.webofscience.com%2Fwos%2Fwoscc%2Ffull-record%2FWOS:000304783000016","View Full Record in Web of Science")</f>
        <v>View Full Record in Web of Science</v>
      </c>
    </row>
    <row r="824" spans="1:72" x14ac:dyDescent="0.15">
      <c r="A824" t="s">
        <v>72</v>
      </c>
      <c r="B824" t="s">
        <v>15354</v>
      </c>
      <c r="C824" t="s">
        <v>74</v>
      </c>
      <c r="D824" t="s">
        <v>74</v>
      </c>
      <c r="E824" t="s">
        <v>74</v>
      </c>
      <c r="F824" t="s">
        <v>15355</v>
      </c>
      <c r="G824" t="s">
        <v>74</v>
      </c>
      <c r="H824" t="s">
        <v>74</v>
      </c>
      <c r="I824" t="s">
        <v>15356</v>
      </c>
      <c r="J824" t="s">
        <v>10549</v>
      </c>
      <c r="K824" t="s">
        <v>74</v>
      </c>
      <c r="L824" t="s">
        <v>74</v>
      </c>
      <c r="M824" t="s">
        <v>78</v>
      </c>
      <c r="N824" t="s">
        <v>79</v>
      </c>
      <c r="O824" t="s">
        <v>74</v>
      </c>
      <c r="P824" t="s">
        <v>74</v>
      </c>
      <c r="Q824" t="s">
        <v>74</v>
      </c>
      <c r="R824" t="s">
        <v>74</v>
      </c>
      <c r="S824" t="s">
        <v>74</v>
      </c>
      <c r="T824" t="s">
        <v>74</v>
      </c>
      <c r="U824" t="s">
        <v>15357</v>
      </c>
      <c r="V824" t="s">
        <v>15358</v>
      </c>
      <c r="W824" t="s">
        <v>15359</v>
      </c>
      <c r="X824" t="s">
        <v>6900</v>
      </c>
      <c r="Y824" t="s">
        <v>15360</v>
      </c>
      <c r="Z824" t="s">
        <v>74</v>
      </c>
      <c r="AA824" t="s">
        <v>74</v>
      </c>
      <c r="AB824" t="s">
        <v>15361</v>
      </c>
      <c r="AC824" t="s">
        <v>15362</v>
      </c>
      <c r="AD824" t="s">
        <v>15363</v>
      </c>
      <c r="AE824" t="s">
        <v>15364</v>
      </c>
      <c r="AF824" t="s">
        <v>74</v>
      </c>
      <c r="AG824">
        <v>50</v>
      </c>
      <c r="AH824">
        <v>10</v>
      </c>
      <c r="AI824">
        <v>12</v>
      </c>
      <c r="AJ824">
        <v>0</v>
      </c>
      <c r="AK824">
        <v>8</v>
      </c>
      <c r="AL824" t="s">
        <v>10558</v>
      </c>
      <c r="AM824" t="s">
        <v>10559</v>
      </c>
      <c r="AN824" t="s">
        <v>10560</v>
      </c>
      <c r="AO824" t="s">
        <v>10561</v>
      </c>
      <c r="AP824" t="s">
        <v>10562</v>
      </c>
      <c r="AQ824" t="s">
        <v>74</v>
      </c>
      <c r="AR824" t="s">
        <v>10563</v>
      </c>
      <c r="AS824" t="s">
        <v>10564</v>
      </c>
      <c r="AT824" t="s">
        <v>15365</v>
      </c>
      <c r="AU824">
        <v>2012</v>
      </c>
      <c r="AV824">
        <v>131</v>
      </c>
      <c r="AW824">
        <v>6</v>
      </c>
      <c r="AX824" t="s">
        <v>74</v>
      </c>
      <c r="AY824" t="s">
        <v>74</v>
      </c>
      <c r="AZ824" t="s">
        <v>74</v>
      </c>
      <c r="BA824" t="s">
        <v>74</v>
      </c>
      <c r="BB824">
        <v>4461</v>
      </c>
      <c r="BC824">
        <v>4475</v>
      </c>
      <c r="BD824" t="s">
        <v>74</v>
      </c>
      <c r="BE824" t="s">
        <v>15366</v>
      </c>
      <c r="BF824" t="str">
        <f>HYPERLINK("http://dx.doi.org/10.1121/1.3701876","http://dx.doi.org/10.1121/1.3701876")</f>
        <v>http://dx.doi.org/10.1121/1.3701876</v>
      </c>
      <c r="BG824" t="s">
        <v>74</v>
      </c>
      <c r="BH824" t="s">
        <v>74</v>
      </c>
      <c r="BI824">
        <v>15</v>
      </c>
      <c r="BJ824" t="s">
        <v>10566</v>
      </c>
      <c r="BK824" t="s">
        <v>98</v>
      </c>
      <c r="BL824" t="s">
        <v>10566</v>
      </c>
      <c r="BM824" t="s">
        <v>15367</v>
      </c>
      <c r="BN824">
        <v>22712919</v>
      </c>
      <c r="BO824" t="s">
        <v>1254</v>
      </c>
      <c r="BP824" t="s">
        <v>74</v>
      </c>
      <c r="BQ824" t="s">
        <v>74</v>
      </c>
      <c r="BR824" t="s">
        <v>101</v>
      </c>
      <c r="BS824" t="s">
        <v>15368</v>
      </c>
      <c r="BT824" t="str">
        <f>HYPERLINK("https%3A%2F%2Fwww.webofscience.com%2Fwos%2Fwoscc%2Ffull-record%2FWOS:000309133500036","View Full Record in Web of Science")</f>
        <v>View Full Record in Web of Science</v>
      </c>
    </row>
    <row r="825" spans="1:72" x14ac:dyDescent="0.15">
      <c r="A825" t="s">
        <v>72</v>
      </c>
      <c r="B825" t="s">
        <v>15369</v>
      </c>
      <c r="C825" t="s">
        <v>74</v>
      </c>
      <c r="D825" t="s">
        <v>74</v>
      </c>
      <c r="E825" t="s">
        <v>74</v>
      </c>
      <c r="F825" t="s">
        <v>15370</v>
      </c>
      <c r="G825" t="s">
        <v>74</v>
      </c>
      <c r="H825" t="s">
        <v>74</v>
      </c>
      <c r="I825" t="s">
        <v>15371</v>
      </c>
      <c r="J825" t="s">
        <v>10549</v>
      </c>
      <c r="K825" t="s">
        <v>74</v>
      </c>
      <c r="L825" t="s">
        <v>74</v>
      </c>
      <c r="M825" t="s">
        <v>78</v>
      </c>
      <c r="N825" t="s">
        <v>79</v>
      </c>
      <c r="O825" t="s">
        <v>74</v>
      </c>
      <c r="P825" t="s">
        <v>74</v>
      </c>
      <c r="Q825" t="s">
        <v>74</v>
      </c>
      <c r="R825" t="s">
        <v>74</v>
      </c>
      <c r="S825" t="s">
        <v>74</v>
      </c>
      <c r="T825" t="s">
        <v>74</v>
      </c>
      <c r="U825" t="s">
        <v>74</v>
      </c>
      <c r="V825" t="s">
        <v>15372</v>
      </c>
      <c r="W825" t="s">
        <v>15373</v>
      </c>
      <c r="X825" t="s">
        <v>15374</v>
      </c>
      <c r="Y825" t="s">
        <v>15375</v>
      </c>
      <c r="Z825" t="s">
        <v>15376</v>
      </c>
      <c r="AA825" t="s">
        <v>15377</v>
      </c>
      <c r="AB825" t="s">
        <v>15378</v>
      </c>
      <c r="AC825" t="s">
        <v>74</v>
      </c>
      <c r="AD825" t="s">
        <v>74</v>
      </c>
      <c r="AE825" t="s">
        <v>74</v>
      </c>
      <c r="AF825" t="s">
        <v>74</v>
      </c>
      <c r="AG825">
        <v>14</v>
      </c>
      <c r="AH825">
        <v>64</v>
      </c>
      <c r="AI825">
        <v>70</v>
      </c>
      <c r="AJ825">
        <v>0</v>
      </c>
      <c r="AK825">
        <v>31</v>
      </c>
      <c r="AL825" t="s">
        <v>10558</v>
      </c>
      <c r="AM825" t="s">
        <v>10559</v>
      </c>
      <c r="AN825" t="s">
        <v>10560</v>
      </c>
      <c r="AO825" t="s">
        <v>10561</v>
      </c>
      <c r="AP825" t="s">
        <v>10562</v>
      </c>
      <c r="AQ825" t="s">
        <v>74</v>
      </c>
      <c r="AR825" t="s">
        <v>10563</v>
      </c>
      <c r="AS825" t="s">
        <v>10564</v>
      </c>
      <c r="AT825" t="s">
        <v>15365</v>
      </c>
      <c r="AU825">
        <v>2012</v>
      </c>
      <c r="AV825">
        <v>131</v>
      </c>
      <c r="AW825">
        <v>6</v>
      </c>
      <c r="AX825" t="s">
        <v>74</v>
      </c>
      <c r="AY825" t="s">
        <v>74</v>
      </c>
      <c r="AZ825" t="s">
        <v>74</v>
      </c>
      <c r="BA825" t="s">
        <v>74</v>
      </c>
      <c r="BB825">
        <v>4476</v>
      </c>
      <c r="BC825">
        <v>4480</v>
      </c>
      <c r="BD825" t="s">
        <v>74</v>
      </c>
      <c r="BE825" t="s">
        <v>15379</v>
      </c>
      <c r="BF825" t="str">
        <f>HYPERLINK("http://dx.doi.org/10.1121/1.4707425","http://dx.doi.org/10.1121/1.4707425")</f>
        <v>http://dx.doi.org/10.1121/1.4707425</v>
      </c>
      <c r="BG825" t="s">
        <v>74</v>
      </c>
      <c r="BH825" t="s">
        <v>74</v>
      </c>
      <c r="BI825">
        <v>5</v>
      </c>
      <c r="BJ825" t="s">
        <v>10566</v>
      </c>
      <c r="BK825" t="s">
        <v>98</v>
      </c>
      <c r="BL825" t="s">
        <v>10566</v>
      </c>
      <c r="BM825" t="s">
        <v>15367</v>
      </c>
      <c r="BN825">
        <v>22712920</v>
      </c>
      <c r="BO825" t="s">
        <v>1499</v>
      </c>
      <c r="BP825" t="s">
        <v>74</v>
      </c>
      <c r="BQ825" t="s">
        <v>74</v>
      </c>
      <c r="BR825" t="s">
        <v>101</v>
      </c>
      <c r="BS825" t="s">
        <v>15380</v>
      </c>
      <c r="BT825" t="str">
        <f>HYPERLINK("https%3A%2F%2Fwww.webofscience.com%2Fwos%2Fwoscc%2Ffull-record%2FWOS:000309133500037","View Full Record in Web of Science")</f>
        <v>View Full Record in Web of Science</v>
      </c>
    </row>
    <row r="826" spans="1:72" x14ac:dyDescent="0.15">
      <c r="A826" t="s">
        <v>72</v>
      </c>
      <c r="B826" t="s">
        <v>15381</v>
      </c>
      <c r="C826" t="s">
        <v>74</v>
      </c>
      <c r="D826" t="s">
        <v>74</v>
      </c>
      <c r="E826" t="s">
        <v>74</v>
      </c>
      <c r="F826" t="s">
        <v>15382</v>
      </c>
      <c r="G826" t="s">
        <v>74</v>
      </c>
      <c r="H826" t="s">
        <v>74</v>
      </c>
      <c r="I826" t="s">
        <v>15383</v>
      </c>
      <c r="J826" t="s">
        <v>15384</v>
      </c>
      <c r="K826" t="s">
        <v>74</v>
      </c>
      <c r="L826" t="s">
        <v>74</v>
      </c>
      <c r="M826" t="s">
        <v>78</v>
      </c>
      <c r="N826" t="s">
        <v>79</v>
      </c>
      <c r="O826" t="s">
        <v>74</v>
      </c>
      <c r="P826" t="s">
        <v>74</v>
      </c>
      <c r="Q826" t="s">
        <v>74</v>
      </c>
      <c r="R826" t="s">
        <v>74</v>
      </c>
      <c r="S826" t="s">
        <v>74</v>
      </c>
      <c r="T826" t="s">
        <v>74</v>
      </c>
      <c r="U826" t="s">
        <v>15385</v>
      </c>
      <c r="V826" t="s">
        <v>15386</v>
      </c>
      <c r="W826" t="s">
        <v>15387</v>
      </c>
      <c r="X826" t="s">
        <v>15388</v>
      </c>
      <c r="Y826" t="s">
        <v>15389</v>
      </c>
      <c r="Z826" t="s">
        <v>74</v>
      </c>
      <c r="AA826" t="s">
        <v>15390</v>
      </c>
      <c r="AB826" t="s">
        <v>74</v>
      </c>
      <c r="AC826" t="s">
        <v>15391</v>
      </c>
      <c r="AD826" t="s">
        <v>15392</v>
      </c>
      <c r="AE826" t="s">
        <v>15393</v>
      </c>
      <c r="AF826" t="s">
        <v>74</v>
      </c>
      <c r="AG826">
        <v>36</v>
      </c>
      <c r="AH826">
        <v>11</v>
      </c>
      <c r="AI826">
        <v>11</v>
      </c>
      <c r="AJ826">
        <v>0</v>
      </c>
      <c r="AK826">
        <v>5</v>
      </c>
      <c r="AL826" t="s">
        <v>1624</v>
      </c>
      <c r="AM826" t="s">
        <v>1268</v>
      </c>
      <c r="AN826" t="s">
        <v>1625</v>
      </c>
      <c r="AO826" t="s">
        <v>15394</v>
      </c>
      <c r="AP826" t="s">
        <v>74</v>
      </c>
      <c r="AQ826" t="s">
        <v>74</v>
      </c>
      <c r="AR826" t="s">
        <v>15384</v>
      </c>
      <c r="AS826" t="s">
        <v>15395</v>
      </c>
      <c r="AT826" t="s">
        <v>15365</v>
      </c>
      <c r="AU826">
        <v>2012</v>
      </c>
      <c r="AV826">
        <v>8</v>
      </c>
      <c r="AW826">
        <v>3</v>
      </c>
      <c r="AX826" t="s">
        <v>74</v>
      </c>
      <c r="AY826" t="s">
        <v>74</v>
      </c>
      <c r="AZ826" t="s">
        <v>74</v>
      </c>
      <c r="BA826" t="s">
        <v>74</v>
      </c>
      <c r="BB826">
        <v>645</v>
      </c>
      <c r="BC826">
        <v>653</v>
      </c>
      <c r="BD826" t="s">
        <v>74</v>
      </c>
      <c r="BE826" t="s">
        <v>15396</v>
      </c>
      <c r="BF826" t="str">
        <f>HYPERLINK("http://dx.doi.org/10.1130/GES00766.1","http://dx.doi.org/10.1130/GES00766.1")</f>
        <v>http://dx.doi.org/10.1130/GES00766.1</v>
      </c>
      <c r="BG826" t="s">
        <v>74</v>
      </c>
      <c r="BH826" t="s">
        <v>74</v>
      </c>
      <c r="BI826">
        <v>9</v>
      </c>
      <c r="BJ826" t="s">
        <v>461</v>
      </c>
      <c r="BK826" t="s">
        <v>98</v>
      </c>
      <c r="BL826" t="s">
        <v>462</v>
      </c>
      <c r="BM826" t="s">
        <v>15397</v>
      </c>
      <c r="BN826" t="s">
        <v>74</v>
      </c>
      <c r="BO826" t="s">
        <v>74</v>
      </c>
      <c r="BP826" t="s">
        <v>74</v>
      </c>
      <c r="BQ826" t="s">
        <v>74</v>
      </c>
      <c r="BR826" t="s">
        <v>101</v>
      </c>
      <c r="BS826" t="s">
        <v>15398</v>
      </c>
      <c r="BT826" t="str">
        <f>HYPERLINK("https%3A%2F%2Fwww.webofscience.com%2Fwos%2Fwoscc%2Ffull-record%2FWOS:000308940300008","View Full Record in Web of Science")</f>
        <v>View Full Record in Web of Science</v>
      </c>
    </row>
    <row r="827" spans="1:72" x14ac:dyDescent="0.15">
      <c r="A827" t="s">
        <v>72</v>
      </c>
      <c r="B827" t="s">
        <v>4132</v>
      </c>
      <c r="C827" t="s">
        <v>74</v>
      </c>
      <c r="D827" t="s">
        <v>74</v>
      </c>
      <c r="E827" t="s">
        <v>74</v>
      </c>
      <c r="F827" t="s">
        <v>4133</v>
      </c>
      <c r="G827" t="s">
        <v>74</v>
      </c>
      <c r="H827" t="s">
        <v>74</v>
      </c>
      <c r="I827" t="s">
        <v>15399</v>
      </c>
      <c r="J827" t="s">
        <v>15400</v>
      </c>
      <c r="K827" t="s">
        <v>74</v>
      </c>
      <c r="L827" t="s">
        <v>74</v>
      </c>
      <c r="M827" t="s">
        <v>78</v>
      </c>
      <c r="N827" t="s">
        <v>79</v>
      </c>
      <c r="O827" t="s">
        <v>74</v>
      </c>
      <c r="P827" t="s">
        <v>74</v>
      </c>
      <c r="Q827" t="s">
        <v>74</v>
      </c>
      <c r="R827" t="s">
        <v>74</v>
      </c>
      <c r="S827" t="s">
        <v>74</v>
      </c>
      <c r="T827" t="s">
        <v>15401</v>
      </c>
      <c r="U827" t="s">
        <v>15402</v>
      </c>
      <c r="V827" t="s">
        <v>15403</v>
      </c>
      <c r="W827" t="s">
        <v>15404</v>
      </c>
      <c r="X827" t="s">
        <v>4140</v>
      </c>
      <c r="Y827" t="s">
        <v>15405</v>
      </c>
      <c r="Z827" t="s">
        <v>4142</v>
      </c>
      <c r="AA827" t="s">
        <v>4143</v>
      </c>
      <c r="AB827" t="s">
        <v>15406</v>
      </c>
      <c r="AC827" t="s">
        <v>15407</v>
      </c>
      <c r="AD827" t="s">
        <v>15407</v>
      </c>
      <c r="AE827" t="s">
        <v>15408</v>
      </c>
      <c r="AF827" t="s">
        <v>74</v>
      </c>
      <c r="AG827">
        <v>29</v>
      </c>
      <c r="AH827">
        <v>41</v>
      </c>
      <c r="AI827">
        <v>43</v>
      </c>
      <c r="AJ827">
        <v>1</v>
      </c>
      <c r="AK827">
        <v>27</v>
      </c>
      <c r="AL827" t="s">
        <v>898</v>
      </c>
      <c r="AM827" t="s">
        <v>899</v>
      </c>
      <c r="AN827" t="s">
        <v>900</v>
      </c>
      <c r="AO827" t="s">
        <v>15409</v>
      </c>
      <c r="AP827" t="s">
        <v>15410</v>
      </c>
      <c r="AQ827" t="s">
        <v>74</v>
      </c>
      <c r="AR827" t="s">
        <v>15411</v>
      </c>
      <c r="AS827" t="s">
        <v>15412</v>
      </c>
      <c r="AT827" t="s">
        <v>15365</v>
      </c>
      <c r="AU827">
        <v>2012</v>
      </c>
      <c r="AV827">
        <v>22</v>
      </c>
      <c r="AW827">
        <v>4</v>
      </c>
      <c r="AX827" t="s">
        <v>74</v>
      </c>
      <c r="AY827" t="s">
        <v>74</v>
      </c>
      <c r="AZ827" t="s">
        <v>74</v>
      </c>
      <c r="BA827" t="s">
        <v>74</v>
      </c>
      <c r="BB827">
        <v>436</v>
      </c>
      <c r="BC827">
        <v>445</v>
      </c>
      <c r="BD827" t="s">
        <v>74</v>
      </c>
      <c r="BE827" t="s">
        <v>15413</v>
      </c>
      <c r="BF827" t="str">
        <f>HYPERLINK("http://dx.doi.org/10.1002/aqc.2242","http://dx.doi.org/10.1002/aqc.2242")</f>
        <v>http://dx.doi.org/10.1002/aqc.2242</v>
      </c>
      <c r="BG827" t="s">
        <v>74</v>
      </c>
      <c r="BH827" t="s">
        <v>74</v>
      </c>
      <c r="BI827">
        <v>10</v>
      </c>
      <c r="BJ827" t="s">
        <v>15414</v>
      </c>
      <c r="BK827" t="s">
        <v>98</v>
      </c>
      <c r="BL827" t="s">
        <v>15415</v>
      </c>
      <c r="BM827" t="s">
        <v>15416</v>
      </c>
      <c r="BN827" t="s">
        <v>74</v>
      </c>
      <c r="BO827" t="s">
        <v>74</v>
      </c>
      <c r="BP827" t="s">
        <v>74</v>
      </c>
      <c r="BQ827" t="s">
        <v>74</v>
      </c>
      <c r="BR827" t="s">
        <v>101</v>
      </c>
      <c r="BS827" t="s">
        <v>15417</v>
      </c>
      <c r="BT827" t="str">
        <f>HYPERLINK("https%3A%2F%2Fwww.webofscience.com%2Fwos%2Fwoscc%2Ffull-record%2FWOS:000307100400004","View Full Record in Web of Science")</f>
        <v>View Full Record in Web of Science</v>
      </c>
    </row>
    <row r="828" spans="1:72" x14ac:dyDescent="0.15">
      <c r="A828" t="s">
        <v>72</v>
      </c>
      <c r="B828" t="s">
        <v>15418</v>
      </c>
      <c r="C828" t="s">
        <v>74</v>
      </c>
      <c r="D828" t="s">
        <v>74</v>
      </c>
      <c r="E828" t="s">
        <v>74</v>
      </c>
      <c r="F828" t="s">
        <v>15419</v>
      </c>
      <c r="G828" t="s">
        <v>74</v>
      </c>
      <c r="H828" t="s">
        <v>74</v>
      </c>
      <c r="I828" t="s">
        <v>15420</v>
      </c>
      <c r="J828" t="s">
        <v>15421</v>
      </c>
      <c r="K828" t="s">
        <v>74</v>
      </c>
      <c r="L828" t="s">
        <v>74</v>
      </c>
      <c r="M828" t="s">
        <v>78</v>
      </c>
      <c r="N828" t="s">
        <v>79</v>
      </c>
      <c r="O828" t="s">
        <v>74</v>
      </c>
      <c r="P828" t="s">
        <v>74</v>
      </c>
      <c r="Q828" t="s">
        <v>74</v>
      </c>
      <c r="R828" t="s">
        <v>74</v>
      </c>
      <c r="S828" t="s">
        <v>74</v>
      </c>
      <c r="T828" t="s">
        <v>15422</v>
      </c>
      <c r="U828" t="s">
        <v>15423</v>
      </c>
      <c r="V828" t="s">
        <v>15424</v>
      </c>
      <c r="W828" t="s">
        <v>15425</v>
      </c>
      <c r="X828" t="s">
        <v>10650</v>
      </c>
      <c r="Y828" t="s">
        <v>15426</v>
      </c>
      <c r="Z828" t="s">
        <v>10651</v>
      </c>
      <c r="AA828" t="s">
        <v>10652</v>
      </c>
      <c r="AB828" t="s">
        <v>15427</v>
      </c>
      <c r="AC828" t="s">
        <v>15428</v>
      </c>
      <c r="AD828" t="s">
        <v>3656</v>
      </c>
      <c r="AE828" t="s">
        <v>15429</v>
      </c>
      <c r="AF828" t="s">
        <v>74</v>
      </c>
      <c r="AG828">
        <v>21</v>
      </c>
      <c r="AH828">
        <v>3</v>
      </c>
      <c r="AI828">
        <v>3</v>
      </c>
      <c r="AJ828">
        <v>0</v>
      </c>
      <c r="AK828">
        <v>25</v>
      </c>
      <c r="AL828" t="s">
        <v>15430</v>
      </c>
      <c r="AM828" t="s">
        <v>6957</v>
      </c>
      <c r="AN828" t="s">
        <v>15431</v>
      </c>
      <c r="AO828" t="s">
        <v>15432</v>
      </c>
      <c r="AP828" t="s">
        <v>15433</v>
      </c>
      <c r="AQ828" t="s">
        <v>74</v>
      </c>
      <c r="AR828" t="s">
        <v>15434</v>
      </c>
      <c r="AS828" t="s">
        <v>15435</v>
      </c>
      <c r="AT828" t="s">
        <v>15365</v>
      </c>
      <c r="AU828">
        <v>2012</v>
      </c>
      <c r="AV828">
        <v>55</v>
      </c>
      <c r="AW828">
        <v>3</v>
      </c>
      <c r="AX828" t="s">
        <v>74</v>
      </c>
      <c r="AY828" t="s">
        <v>74</v>
      </c>
      <c r="AZ828" t="s">
        <v>74</v>
      </c>
      <c r="BA828" t="s">
        <v>74</v>
      </c>
      <c r="BB828">
        <v>311</v>
      </c>
      <c r="BC828">
        <v>315</v>
      </c>
      <c r="BD828" t="s">
        <v>74</v>
      </c>
      <c r="BE828" t="s">
        <v>15436</v>
      </c>
      <c r="BF828" t="str">
        <f>HYPERLINK("http://dx.doi.org/10.1515/bot-2012-0111","http://dx.doi.org/10.1515/bot-2012-0111")</f>
        <v>http://dx.doi.org/10.1515/bot-2012-0111</v>
      </c>
      <c r="BG828" t="s">
        <v>74</v>
      </c>
      <c r="BH828" t="s">
        <v>74</v>
      </c>
      <c r="BI828">
        <v>5</v>
      </c>
      <c r="BJ828" t="s">
        <v>10657</v>
      </c>
      <c r="BK828" t="s">
        <v>98</v>
      </c>
      <c r="BL828" t="s">
        <v>10657</v>
      </c>
      <c r="BM828" t="s">
        <v>15437</v>
      </c>
      <c r="BN828" t="s">
        <v>74</v>
      </c>
      <c r="BO828" t="s">
        <v>1458</v>
      </c>
      <c r="BP828" t="s">
        <v>74</v>
      </c>
      <c r="BQ828" t="s">
        <v>74</v>
      </c>
      <c r="BR828" t="s">
        <v>101</v>
      </c>
      <c r="BS828" t="s">
        <v>15438</v>
      </c>
      <c r="BT828" t="str">
        <f>HYPERLINK("https%3A%2F%2Fwww.webofscience.com%2Fwos%2Fwoscc%2Ffull-record%2FWOS:000306458300013","View Full Record in Web of Science")</f>
        <v>View Full Record in Web of Science</v>
      </c>
    </row>
    <row r="829" spans="1:72" x14ac:dyDescent="0.15">
      <c r="A829" t="s">
        <v>72</v>
      </c>
      <c r="B829" t="s">
        <v>15439</v>
      </c>
      <c r="C829" t="s">
        <v>74</v>
      </c>
      <c r="D829" t="s">
        <v>74</v>
      </c>
      <c r="E829" t="s">
        <v>74</v>
      </c>
      <c r="F829" t="s">
        <v>15440</v>
      </c>
      <c r="G829" t="s">
        <v>74</v>
      </c>
      <c r="H829" t="s">
        <v>74</v>
      </c>
      <c r="I829" t="s">
        <v>15441</v>
      </c>
      <c r="J829" t="s">
        <v>15442</v>
      </c>
      <c r="K829" t="s">
        <v>74</v>
      </c>
      <c r="L829" t="s">
        <v>74</v>
      </c>
      <c r="M829" t="s">
        <v>78</v>
      </c>
      <c r="N829" t="s">
        <v>79</v>
      </c>
      <c r="O829" t="s">
        <v>74</v>
      </c>
      <c r="P829" t="s">
        <v>74</v>
      </c>
      <c r="Q829" t="s">
        <v>74</v>
      </c>
      <c r="R829" t="s">
        <v>74</v>
      </c>
      <c r="S829" t="s">
        <v>74</v>
      </c>
      <c r="T829" t="s">
        <v>74</v>
      </c>
      <c r="U829" t="s">
        <v>15443</v>
      </c>
      <c r="V829" t="s">
        <v>15444</v>
      </c>
      <c r="W829" t="s">
        <v>15445</v>
      </c>
      <c r="X829" t="s">
        <v>15446</v>
      </c>
      <c r="Y829" t="s">
        <v>15447</v>
      </c>
      <c r="Z829" t="s">
        <v>15448</v>
      </c>
      <c r="AA829" t="s">
        <v>15449</v>
      </c>
      <c r="AB829" t="s">
        <v>15450</v>
      </c>
      <c r="AC829" t="s">
        <v>15451</v>
      </c>
      <c r="AD829" t="s">
        <v>15452</v>
      </c>
      <c r="AE829" t="s">
        <v>15453</v>
      </c>
      <c r="AF829" t="s">
        <v>74</v>
      </c>
      <c r="AG829">
        <v>256</v>
      </c>
      <c r="AH829">
        <v>217</v>
      </c>
      <c r="AI829">
        <v>251</v>
      </c>
      <c r="AJ829">
        <v>11</v>
      </c>
      <c r="AK829">
        <v>328</v>
      </c>
      <c r="AL829" t="s">
        <v>15454</v>
      </c>
      <c r="AM829" t="s">
        <v>11140</v>
      </c>
      <c r="AN829" t="s">
        <v>15455</v>
      </c>
      <c r="AO829" t="s">
        <v>15456</v>
      </c>
      <c r="AP829" t="s">
        <v>15457</v>
      </c>
      <c r="AQ829" t="s">
        <v>74</v>
      </c>
      <c r="AR829" t="s">
        <v>15458</v>
      </c>
      <c r="AS829" t="s">
        <v>15459</v>
      </c>
      <c r="AT829" t="s">
        <v>15365</v>
      </c>
      <c r="AU829">
        <v>2012</v>
      </c>
      <c r="AV829">
        <v>21</v>
      </c>
      <c r="AW829">
        <v>3</v>
      </c>
      <c r="AX829" t="s">
        <v>74</v>
      </c>
      <c r="AY829" t="s">
        <v>74</v>
      </c>
      <c r="AZ829" t="s">
        <v>74</v>
      </c>
      <c r="BA829" t="s">
        <v>74</v>
      </c>
      <c r="BB829">
        <v>279</v>
      </c>
      <c r="BC829">
        <v>304</v>
      </c>
      <c r="BD829" t="s">
        <v>74</v>
      </c>
      <c r="BE829" t="s">
        <v>15460</v>
      </c>
      <c r="BF829" t="str">
        <f>HYPERLINK("http://dx.doi.org/10.1127/0941-2948/2012/0330","http://dx.doi.org/10.1127/0941-2948/2012/0330")</f>
        <v>http://dx.doi.org/10.1127/0941-2948/2012/0330</v>
      </c>
      <c r="BG829" t="s">
        <v>74</v>
      </c>
      <c r="BH829" t="s">
        <v>74</v>
      </c>
      <c r="BI829">
        <v>26</v>
      </c>
      <c r="BJ829" t="s">
        <v>378</v>
      </c>
      <c r="BK829" t="s">
        <v>98</v>
      </c>
      <c r="BL829" t="s">
        <v>378</v>
      </c>
      <c r="BM829" t="s">
        <v>15461</v>
      </c>
      <c r="BN829" t="s">
        <v>74</v>
      </c>
      <c r="BO829" t="s">
        <v>74</v>
      </c>
      <c r="BP829" t="s">
        <v>74</v>
      </c>
      <c r="BQ829" t="s">
        <v>74</v>
      </c>
      <c r="BR829" t="s">
        <v>101</v>
      </c>
      <c r="BS829" t="s">
        <v>15462</v>
      </c>
      <c r="BT829" t="str">
        <f>HYPERLINK("https%3A%2F%2Fwww.webofscience.com%2Fwos%2Fwoscc%2Ffull-record%2FWOS:000306436800007","View Full Record in Web of Science")</f>
        <v>View Full Record in Web of Science</v>
      </c>
    </row>
    <row r="830" spans="1:72" x14ac:dyDescent="0.15">
      <c r="A830" t="s">
        <v>72</v>
      </c>
      <c r="B830" t="s">
        <v>15463</v>
      </c>
      <c r="C830" t="s">
        <v>74</v>
      </c>
      <c r="D830" t="s">
        <v>74</v>
      </c>
      <c r="E830" t="s">
        <v>74</v>
      </c>
      <c r="F830" t="s">
        <v>15464</v>
      </c>
      <c r="G830" t="s">
        <v>74</v>
      </c>
      <c r="H830" t="s">
        <v>74</v>
      </c>
      <c r="I830" t="s">
        <v>15465</v>
      </c>
      <c r="J830" t="s">
        <v>853</v>
      </c>
      <c r="K830" t="s">
        <v>74</v>
      </c>
      <c r="L830" t="s">
        <v>74</v>
      </c>
      <c r="M830" t="s">
        <v>78</v>
      </c>
      <c r="N830" t="s">
        <v>79</v>
      </c>
      <c r="O830" t="s">
        <v>74</v>
      </c>
      <c r="P830" t="s">
        <v>74</v>
      </c>
      <c r="Q830" t="s">
        <v>74</v>
      </c>
      <c r="R830" t="s">
        <v>74</v>
      </c>
      <c r="S830" t="s">
        <v>74</v>
      </c>
      <c r="T830" t="s">
        <v>74</v>
      </c>
      <c r="U830" t="s">
        <v>74</v>
      </c>
      <c r="V830" t="s">
        <v>15466</v>
      </c>
      <c r="W830" t="s">
        <v>15467</v>
      </c>
      <c r="X830" t="s">
        <v>856</v>
      </c>
      <c r="Y830" t="s">
        <v>15468</v>
      </c>
      <c r="Z830" t="s">
        <v>74</v>
      </c>
      <c r="AA830" t="s">
        <v>15469</v>
      </c>
      <c r="AB830" t="s">
        <v>15470</v>
      </c>
      <c r="AC830" t="s">
        <v>74</v>
      </c>
      <c r="AD830" t="s">
        <v>74</v>
      </c>
      <c r="AE830" t="s">
        <v>74</v>
      </c>
      <c r="AF830" t="s">
        <v>74</v>
      </c>
      <c r="AG830">
        <v>13</v>
      </c>
      <c r="AH830">
        <v>0</v>
      </c>
      <c r="AI830">
        <v>0</v>
      </c>
      <c r="AJ830">
        <v>0</v>
      </c>
      <c r="AK830">
        <v>2</v>
      </c>
      <c r="AL830" t="s">
        <v>860</v>
      </c>
      <c r="AM830" t="s">
        <v>861</v>
      </c>
      <c r="AN830" t="s">
        <v>862</v>
      </c>
      <c r="AO830" t="s">
        <v>863</v>
      </c>
      <c r="AP830" t="s">
        <v>864</v>
      </c>
      <c r="AQ830" t="s">
        <v>74</v>
      </c>
      <c r="AR830" t="s">
        <v>865</v>
      </c>
      <c r="AS830" t="s">
        <v>866</v>
      </c>
      <c r="AT830" t="s">
        <v>15365</v>
      </c>
      <c r="AU830">
        <v>2012</v>
      </c>
      <c r="AV830">
        <v>37</v>
      </c>
      <c r="AW830">
        <v>6</v>
      </c>
      <c r="AX830" t="s">
        <v>74</v>
      </c>
      <c r="AY830" t="s">
        <v>74</v>
      </c>
      <c r="AZ830" t="s">
        <v>74</v>
      </c>
      <c r="BA830" t="s">
        <v>74</v>
      </c>
      <c r="BB830">
        <v>386</v>
      </c>
      <c r="BC830">
        <v>391</v>
      </c>
      <c r="BD830" t="s">
        <v>74</v>
      </c>
      <c r="BE830" t="s">
        <v>15471</v>
      </c>
      <c r="BF830" t="str">
        <f>HYPERLINK("http://dx.doi.org/10.3103/S1068373912060052","http://dx.doi.org/10.3103/S1068373912060052")</f>
        <v>http://dx.doi.org/10.3103/S1068373912060052</v>
      </c>
      <c r="BG830" t="s">
        <v>74</v>
      </c>
      <c r="BH830" t="s">
        <v>74</v>
      </c>
      <c r="BI830">
        <v>6</v>
      </c>
      <c r="BJ830" t="s">
        <v>378</v>
      </c>
      <c r="BK830" t="s">
        <v>98</v>
      </c>
      <c r="BL830" t="s">
        <v>378</v>
      </c>
      <c r="BM830" t="s">
        <v>15472</v>
      </c>
      <c r="BN830" t="s">
        <v>74</v>
      </c>
      <c r="BO830" t="s">
        <v>74</v>
      </c>
      <c r="BP830" t="s">
        <v>74</v>
      </c>
      <c r="BQ830" t="s">
        <v>74</v>
      </c>
      <c r="BR830" t="s">
        <v>101</v>
      </c>
      <c r="BS830" t="s">
        <v>15473</v>
      </c>
      <c r="BT830" t="str">
        <f>HYPERLINK("https%3A%2F%2Fwww.webofscience.com%2Fwos%2Fwoscc%2Ffull-record%2FWOS:000306508800005","View Full Record in Web of Science")</f>
        <v>View Full Record in Web of Science</v>
      </c>
    </row>
    <row r="831" spans="1:72" x14ac:dyDescent="0.15">
      <c r="A831" t="s">
        <v>72</v>
      </c>
      <c r="B831" t="s">
        <v>15474</v>
      </c>
      <c r="C831" t="s">
        <v>74</v>
      </c>
      <c r="D831" t="s">
        <v>74</v>
      </c>
      <c r="E831" t="s">
        <v>74</v>
      </c>
      <c r="F831" t="s">
        <v>15475</v>
      </c>
      <c r="G831" t="s">
        <v>74</v>
      </c>
      <c r="H831" t="s">
        <v>74</v>
      </c>
      <c r="I831" t="s">
        <v>15476</v>
      </c>
      <c r="J831" t="s">
        <v>15477</v>
      </c>
      <c r="K831" t="s">
        <v>74</v>
      </c>
      <c r="L831" t="s">
        <v>74</v>
      </c>
      <c r="M831" t="s">
        <v>78</v>
      </c>
      <c r="N831" t="s">
        <v>79</v>
      </c>
      <c r="O831" t="s">
        <v>74</v>
      </c>
      <c r="P831" t="s">
        <v>74</v>
      </c>
      <c r="Q831" t="s">
        <v>74</v>
      </c>
      <c r="R831" t="s">
        <v>74</v>
      </c>
      <c r="S831" t="s">
        <v>74</v>
      </c>
      <c r="T831" t="s">
        <v>15478</v>
      </c>
      <c r="U831" t="s">
        <v>15479</v>
      </c>
      <c r="V831" t="s">
        <v>15480</v>
      </c>
      <c r="W831" t="s">
        <v>15481</v>
      </c>
      <c r="X831" t="s">
        <v>15482</v>
      </c>
      <c r="Y831" t="s">
        <v>15483</v>
      </c>
      <c r="Z831" t="s">
        <v>15484</v>
      </c>
      <c r="AA831" t="s">
        <v>74</v>
      </c>
      <c r="AB831" t="s">
        <v>15485</v>
      </c>
      <c r="AC831" t="s">
        <v>15486</v>
      </c>
      <c r="AD831" t="s">
        <v>15487</v>
      </c>
      <c r="AE831" t="s">
        <v>15488</v>
      </c>
      <c r="AF831" t="s">
        <v>74</v>
      </c>
      <c r="AG831">
        <v>59</v>
      </c>
      <c r="AH831">
        <v>8</v>
      </c>
      <c r="AI831">
        <v>10</v>
      </c>
      <c r="AJ831">
        <v>1</v>
      </c>
      <c r="AK831">
        <v>26</v>
      </c>
      <c r="AL831" t="s">
        <v>15489</v>
      </c>
      <c r="AM831" t="s">
        <v>7988</v>
      </c>
      <c r="AN831" t="s">
        <v>15490</v>
      </c>
      <c r="AO831" t="s">
        <v>15491</v>
      </c>
      <c r="AP831" t="s">
        <v>74</v>
      </c>
      <c r="AQ831" t="s">
        <v>74</v>
      </c>
      <c r="AR831" t="s">
        <v>15492</v>
      </c>
      <c r="AS831" t="s">
        <v>15493</v>
      </c>
      <c r="AT831" t="s">
        <v>15365</v>
      </c>
      <c r="AU831">
        <v>2012</v>
      </c>
      <c r="AV831">
        <v>11</v>
      </c>
      <c r="AW831">
        <v>1</v>
      </c>
      <c r="AX831" t="s">
        <v>74</v>
      </c>
      <c r="AY831" t="s">
        <v>74</v>
      </c>
      <c r="AZ831" t="s">
        <v>74</v>
      </c>
      <c r="BA831" t="s">
        <v>74</v>
      </c>
      <c r="BB831">
        <v>47</v>
      </c>
      <c r="BC831">
        <v>55</v>
      </c>
      <c r="BD831" t="s">
        <v>74</v>
      </c>
      <c r="BE831" t="s">
        <v>15494</v>
      </c>
      <c r="BF831" t="str">
        <f>HYPERLINK("http://dx.doi.org/10.2326/osj.11.47","http://dx.doi.org/10.2326/osj.11.47")</f>
        <v>http://dx.doi.org/10.2326/osj.11.47</v>
      </c>
      <c r="BG831" t="s">
        <v>74</v>
      </c>
      <c r="BH831" t="s">
        <v>74</v>
      </c>
      <c r="BI831">
        <v>9</v>
      </c>
      <c r="BJ831" t="s">
        <v>12988</v>
      </c>
      <c r="BK831" t="s">
        <v>98</v>
      </c>
      <c r="BL831" t="s">
        <v>675</v>
      </c>
      <c r="BM831" t="s">
        <v>15495</v>
      </c>
      <c r="BN831" t="s">
        <v>74</v>
      </c>
      <c r="BO831" t="s">
        <v>74</v>
      </c>
      <c r="BP831" t="s">
        <v>74</v>
      </c>
      <c r="BQ831" t="s">
        <v>74</v>
      </c>
      <c r="BR831" t="s">
        <v>101</v>
      </c>
      <c r="BS831" t="s">
        <v>15496</v>
      </c>
      <c r="BT831" t="str">
        <f>HYPERLINK("https%3A%2F%2Fwww.webofscience.com%2Fwos%2Fwoscc%2Ffull-record%2FWOS:000306146900006","View Full Record in Web of Science")</f>
        <v>View Full Record in Web of Science</v>
      </c>
    </row>
    <row r="832" spans="1:72" x14ac:dyDescent="0.15">
      <c r="A832" t="s">
        <v>72</v>
      </c>
      <c r="B832" t="s">
        <v>15497</v>
      </c>
      <c r="C832" t="s">
        <v>74</v>
      </c>
      <c r="D832" t="s">
        <v>74</v>
      </c>
      <c r="E832" t="s">
        <v>74</v>
      </c>
      <c r="F832" t="s">
        <v>15498</v>
      </c>
      <c r="G832" t="s">
        <v>74</v>
      </c>
      <c r="H832" t="s">
        <v>74</v>
      </c>
      <c r="I832" t="s">
        <v>15499</v>
      </c>
      <c r="J832" t="s">
        <v>15500</v>
      </c>
      <c r="K832" t="s">
        <v>74</v>
      </c>
      <c r="L832" t="s">
        <v>74</v>
      </c>
      <c r="M832" t="s">
        <v>78</v>
      </c>
      <c r="N832" t="s">
        <v>7851</v>
      </c>
      <c r="O832" t="s">
        <v>74</v>
      </c>
      <c r="P832" t="s">
        <v>74</v>
      </c>
      <c r="Q832" t="s">
        <v>74</v>
      </c>
      <c r="R832" t="s">
        <v>74</v>
      </c>
      <c r="S832" t="s">
        <v>74</v>
      </c>
      <c r="T832" t="s">
        <v>74</v>
      </c>
      <c r="U832" t="s">
        <v>74</v>
      </c>
      <c r="V832" t="s">
        <v>74</v>
      </c>
      <c r="W832" t="s">
        <v>74</v>
      </c>
      <c r="X832" t="s">
        <v>74</v>
      </c>
      <c r="Y832" t="s">
        <v>74</v>
      </c>
      <c r="Z832" t="s">
        <v>74</v>
      </c>
      <c r="AA832" t="s">
        <v>74</v>
      </c>
      <c r="AB832" t="s">
        <v>74</v>
      </c>
      <c r="AC832" t="s">
        <v>74</v>
      </c>
      <c r="AD832" t="s">
        <v>74</v>
      </c>
      <c r="AE832" t="s">
        <v>74</v>
      </c>
      <c r="AF832" t="s">
        <v>74</v>
      </c>
      <c r="AG832">
        <v>1</v>
      </c>
      <c r="AH832">
        <v>0</v>
      </c>
      <c r="AI832">
        <v>0</v>
      </c>
      <c r="AJ832">
        <v>0</v>
      </c>
      <c r="AK832">
        <v>1</v>
      </c>
      <c r="AL832" t="s">
        <v>8709</v>
      </c>
      <c r="AM832" t="s">
        <v>8710</v>
      </c>
      <c r="AN832" t="s">
        <v>8711</v>
      </c>
      <c r="AO832" t="s">
        <v>15501</v>
      </c>
      <c r="AP832" t="s">
        <v>74</v>
      </c>
      <c r="AQ832" t="s">
        <v>74</v>
      </c>
      <c r="AR832" t="s">
        <v>15500</v>
      </c>
      <c r="AS832" t="s">
        <v>15502</v>
      </c>
      <c r="AT832" t="s">
        <v>15365</v>
      </c>
      <c r="AU832">
        <v>2012</v>
      </c>
      <c r="AV832">
        <v>103</v>
      </c>
      <c r="AW832">
        <v>2</v>
      </c>
      <c r="AX832" t="s">
        <v>74</v>
      </c>
      <c r="AY832" t="s">
        <v>74</v>
      </c>
      <c r="AZ832" t="s">
        <v>74</v>
      </c>
      <c r="BA832" t="s">
        <v>74</v>
      </c>
      <c r="BB832">
        <v>415</v>
      </c>
      <c r="BC832">
        <v>416</v>
      </c>
      <c r="BD832" t="s">
        <v>74</v>
      </c>
      <c r="BE832" t="s">
        <v>15503</v>
      </c>
      <c r="BF832" t="str">
        <f>HYPERLINK("http://dx.doi.org/10.1086/667503","http://dx.doi.org/10.1086/667503")</f>
        <v>http://dx.doi.org/10.1086/667503</v>
      </c>
      <c r="BG832" t="s">
        <v>74</v>
      </c>
      <c r="BH832" t="s">
        <v>74</v>
      </c>
      <c r="BI832">
        <v>2</v>
      </c>
      <c r="BJ832" t="s">
        <v>1177</v>
      </c>
      <c r="BK832" t="s">
        <v>5025</v>
      </c>
      <c r="BL832" t="s">
        <v>1179</v>
      </c>
      <c r="BM832" t="s">
        <v>15504</v>
      </c>
      <c r="BN832" t="s">
        <v>74</v>
      </c>
      <c r="BO832" t="s">
        <v>74</v>
      </c>
      <c r="BP832" t="s">
        <v>74</v>
      </c>
      <c r="BQ832" t="s">
        <v>74</v>
      </c>
      <c r="BR832" t="s">
        <v>101</v>
      </c>
      <c r="BS832" t="s">
        <v>15505</v>
      </c>
      <c r="BT832" t="str">
        <f>HYPERLINK("https%3A%2F%2Fwww.webofscience.com%2Fwos%2Fwoscc%2Ffull-record%2FWOS:000305956100041","View Full Record in Web of Science")</f>
        <v>View Full Record in Web of Science</v>
      </c>
    </row>
    <row r="833" spans="1:72" x14ac:dyDescent="0.15">
      <c r="A833" t="s">
        <v>72</v>
      </c>
      <c r="B833" t="s">
        <v>15506</v>
      </c>
      <c r="C833" t="s">
        <v>74</v>
      </c>
      <c r="D833" t="s">
        <v>74</v>
      </c>
      <c r="E833" t="s">
        <v>74</v>
      </c>
      <c r="F833" t="s">
        <v>15507</v>
      </c>
      <c r="G833" t="s">
        <v>74</v>
      </c>
      <c r="H833" t="s">
        <v>74</v>
      </c>
      <c r="I833" t="s">
        <v>15508</v>
      </c>
      <c r="J833" t="s">
        <v>15509</v>
      </c>
      <c r="K833" t="s">
        <v>74</v>
      </c>
      <c r="L833" t="s">
        <v>74</v>
      </c>
      <c r="M833" t="s">
        <v>78</v>
      </c>
      <c r="N833" t="s">
        <v>79</v>
      </c>
      <c r="O833" t="s">
        <v>74</v>
      </c>
      <c r="P833" t="s">
        <v>74</v>
      </c>
      <c r="Q833" t="s">
        <v>74</v>
      </c>
      <c r="R833" t="s">
        <v>74</v>
      </c>
      <c r="S833" t="s">
        <v>74</v>
      </c>
      <c r="T833" t="s">
        <v>15510</v>
      </c>
      <c r="U833" t="s">
        <v>15511</v>
      </c>
      <c r="V833" t="s">
        <v>15512</v>
      </c>
      <c r="W833" t="s">
        <v>15513</v>
      </c>
      <c r="X833" t="s">
        <v>15514</v>
      </c>
      <c r="Y833" t="s">
        <v>15515</v>
      </c>
      <c r="Z833" t="s">
        <v>15516</v>
      </c>
      <c r="AA833" t="s">
        <v>15517</v>
      </c>
      <c r="AB833" t="s">
        <v>15518</v>
      </c>
      <c r="AC833" t="s">
        <v>15519</v>
      </c>
      <c r="AD833" t="s">
        <v>15520</v>
      </c>
      <c r="AE833" t="s">
        <v>15521</v>
      </c>
      <c r="AF833" t="s">
        <v>74</v>
      </c>
      <c r="AG833">
        <v>31</v>
      </c>
      <c r="AH833">
        <v>34</v>
      </c>
      <c r="AI833">
        <v>36</v>
      </c>
      <c r="AJ833">
        <v>0</v>
      </c>
      <c r="AK833">
        <v>18</v>
      </c>
      <c r="AL833" t="s">
        <v>15522</v>
      </c>
      <c r="AM833" t="s">
        <v>6457</v>
      </c>
      <c r="AN833" t="s">
        <v>15523</v>
      </c>
      <c r="AO833" t="s">
        <v>15524</v>
      </c>
      <c r="AP833" t="s">
        <v>74</v>
      </c>
      <c r="AQ833" t="s">
        <v>74</v>
      </c>
      <c r="AR833" t="s">
        <v>15525</v>
      </c>
      <c r="AS833" t="s">
        <v>15526</v>
      </c>
      <c r="AT833" t="s">
        <v>15365</v>
      </c>
      <c r="AU833">
        <v>2012</v>
      </c>
      <c r="AV833">
        <v>50</v>
      </c>
      <c r="AW833">
        <v>3</v>
      </c>
      <c r="AX833" t="s">
        <v>74</v>
      </c>
      <c r="AY833" t="s">
        <v>74</v>
      </c>
      <c r="AZ833" t="s">
        <v>74</v>
      </c>
      <c r="BA833" t="s">
        <v>74</v>
      </c>
      <c r="BB833">
        <v>374</v>
      </c>
      <c r="BC833">
        <v>379</v>
      </c>
      <c r="BD833" t="s">
        <v>74</v>
      </c>
      <c r="BE833" t="s">
        <v>15527</v>
      </c>
      <c r="BF833" t="str">
        <f>HYPERLINK("http://dx.doi.org/10.1007/s12275-012-2029-1","http://dx.doi.org/10.1007/s12275-012-2029-1")</f>
        <v>http://dx.doi.org/10.1007/s12275-012-2029-1</v>
      </c>
      <c r="BG833" t="s">
        <v>74</v>
      </c>
      <c r="BH833" t="s">
        <v>74</v>
      </c>
      <c r="BI833">
        <v>6</v>
      </c>
      <c r="BJ833" t="s">
        <v>775</v>
      </c>
      <c r="BK833" t="s">
        <v>98</v>
      </c>
      <c r="BL833" t="s">
        <v>775</v>
      </c>
      <c r="BM833" t="s">
        <v>15528</v>
      </c>
      <c r="BN833">
        <v>22752899</v>
      </c>
      <c r="BO833" t="s">
        <v>74</v>
      </c>
      <c r="BP833" t="s">
        <v>74</v>
      </c>
      <c r="BQ833" t="s">
        <v>74</v>
      </c>
      <c r="BR833" t="s">
        <v>101</v>
      </c>
      <c r="BS833" t="s">
        <v>15529</v>
      </c>
      <c r="BT833" t="str">
        <f>HYPERLINK("https%3A%2F%2Fwww.webofscience.com%2Fwos%2Fwoscc%2Ffull-record%2FWOS:000305849200002","View Full Record in Web of Science")</f>
        <v>View Full Record in Web of Science</v>
      </c>
    </row>
    <row r="834" spans="1:72" x14ac:dyDescent="0.15">
      <c r="A834" t="s">
        <v>72</v>
      </c>
      <c r="B834" t="s">
        <v>15530</v>
      </c>
      <c r="C834" t="s">
        <v>74</v>
      </c>
      <c r="D834" t="s">
        <v>74</v>
      </c>
      <c r="E834" t="s">
        <v>74</v>
      </c>
      <c r="F834" t="s">
        <v>15531</v>
      </c>
      <c r="G834" t="s">
        <v>74</v>
      </c>
      <c r="H834" t="s">
        <v>74</v>
      </c>
      <c r="I834" t="s">
        <v>15532</v>
      </c>
      <c r="J834" t="s">
        <v>15533</v>
      </c>
      <c r="K834" t="s">
        <v>74</v>
      </c>
      <c r="L834" t="s">
        <v>74</v>
      </c>
      <c r="M834" t="s">
        <v>78</v>
      </c>
      <c r="N834" t="s">
        <v>79</v>
      </c>
      <c r="O834" t="s">
        <v>74</v>
      </c>
      <c r="P834" t="s">
        <v>74</v>
      </c>
      <c r="Q834" t="s">
        <v>74</v>
      </c>
      <c r="R834" t="s">
        <v>74</v>
      </c>
      <c r="S834" t="s">
        <v>74</v>
      </c>
      <c r="T834" t="s">
        <v>15534</v>
      </c>
      <c r="U834" t="s">
        <v>15535</v>
      </c>
      <c r="V834" t="s">
        <v>15536</v>
      </c>
      <c r="W834" t="s">
        <v>15537</v>
      </c>
      <c r="X834" t="s">
        <v>15538</v>
      </c>
      <c r="Y834" t="s">
        <v>15539</v>
      </c>
      <c r="Z834" t="s">
        <v>15540</v>
      </c>
      <c r="AA834" t="s">
        <v>15541</v>
      </c>
      <c r="AB834" t="s">
        <v>15542</v>
      </c>
      <c r="AC834" t="s">
        <v>15543</v>
      </c>
      <c r="AD834" t="s">
        <v>15544</v>
      </c>
      <c r="AE834" t="s">
        <v>15545</v>
      </c>
      <c r="AF834" t="s">
        <v>74</v>
      </c>
      <c r="AG834">
        <v>60</v>
      </c>
      <c r="AH834">
        <v>36</v>
      </c>
      <c r="AI834">
        <v>38</v>
      </c>
      <c r="AJ834">
        <v>1</v>
      </c>
      <c r="AK834">
        <v>40</v>
      </c>
      <c r="AL834" t="s">
        <v>259</v>
      </c>
      <c r="AM834" t="s">
        <v>189</v>
      </c>
      <c r="AN834" t="s">
        <v>260</v>
      </c>
      <c r="AO834" t="s">
        <v>15546</v>
      </c>
      <c r="AP834" t="s">
        <v>74</v>
      </c>
      <c r="AQ834" t="s">
        <v>74</v>
      </c>
      <c r="AR834" t="s">
        <v>15533</v>
      </c>
      <c r="AS834" t="s">
        <v>15547</v>
      </c>
      <c r="AT834" t="s">
        <v>15365</v>
      </c>
      <c r="AU834">
        <v>2012</v>
      </c>
      <c r="AV834">
        <v>18</v>
      </c>
      <c r="AW834" t="s">
        <v>74</v>
      </c>
      <c r="AX834" t="s">
        <v>74</v>
      </c>
      <c r="AY834" t="s">
        <v>74</v>
      </c>
      <c r="AZ834" t="s">
        <v>74</v>
      </c>
      <c r="BA834" t="s">
        <v>74</v>
      </c>
      <c r="BB834">
        <v>96</v>
      </c>
      <c r="BC834">
        <v>104</v>
      </c>
      <c r="BD834" t="s">
        <v>74</v>
      </c>
      <c r="BE834" t="s">
        <v>15548</v>
      </c>
      <c r="BF834" t="str">
        <f>HYPERLINK("http://dx.doi.org/10.1016/j.hal.2012.05.001","http://dx.doi.org/10.1016/j.hal.2012.05.001")</f>
        <v>http://dx.doi.org/10.1016/j.hal.2012.05.001</v>
      </c>
      <c r="BG834" t="s">
        <v>74</v>
      </c>
      <c r="BH834" t="s">
        <v>74</v>
      </c>
      <c r="BI834">
        <v>9</v>
      </c>
      <c r="BJ834" t="s">
        <v>1753</v>
      </c>
      <c r="BK834" t="s">
        <v>98</v>
      </c>
      <c r="BL834" t="s">
        <v>1753</v>
      </c>
      <c r="BM834" t="s">
        <v>15549</v>
      </c>
      <c r="BN834" t="s">
        <v>74</v>
      </c>
      <c r="BO834" t="s">
        <v>74</v>
      </c>
      <c r="BP834" t="s">
        <v>74</v>
      </c>
      <c r="BQ834" t="s">
        <v>74</v>
      </c>
      <c r="BR834" t="s">
        <v>101</v>
      </c>
      <c r="BS834" t="s">
        <v>15550</v>
      </c>
      <c r="BT834" t="str">
        <f>HYPERLINK("https%3A%2F%2Fwww.webofscience.com%2Fwos%2Fwoscc%2Ffull-record%2FWOS:000305860600010","View Full Record in Web of Science")</f>
        <v>View Full Record in Web of Science</v>
      </c>
    </row>
    <row r="835" spans="1:72" x14ac:dyDescent="0.15">
      <c r="A835" t="s">
        <v>72</v>
      </c>
      <c r="B835" t="s">
        <v>15551</v>
      </c>
      <c r="C835" t="s">
        <v>74</v>
      </c>
      <c r="D835" t="s">
        <v>74</v>
      </c>
      <c r="E835" t="s">
        <v>74</v>
      </c>
      <c r="F835" t="s">
        <v>15552</v>
      </c>
      <c r="G835" t="s">
        <v>74</v>
      </c>
      <c r="H835" t="s">
        <v>74</v>
      </c>
      <c r="I835" t="s">
        <v>15553</v>
      </c>
      <c r="J835" t="s">
        <v>10616</v>
      </c>
      <c r="K835" t="s">
        <v>74</v>
      </c>
      <c r="L835" t="s">
        <v>74</v>
      </c>
      <c r="M835" t="s">
        <v>78</v>
      </c>
      <c r="N835" t="s">
        <v>79</v>
      </c>
      <c r="O835" t="s">
        <v>74</v>
      </c>
      <c r="P835" t="s">
        <v>74</v>
      </c>
      <c r="Q835" t="s">
        <v>74</v>
      </c>
      <c r="R835" t="s">
        <v>74</v>
      </c>
      <c r="S835" t="s">
        <v>74</v>
      </c>
      <c r="T835" t="s">
        <v>15554</v>
      </c>
      <c r="U835" t="s">
        <v>15555</v>
      </c>
      <c r="V835" t="s">
        <v>15556</v>
      </c>
      <c r="W835" t="s">
        <v>15557</v>
      </c>
      <c r="X835" t="s">
        <v>15558</v>
      </c>
      <c r="Y835" t="s">
        <v>15559</v>
      </c>
      <c r="Z835" t="s">
        <v>15560</v>
      </c>
      <c r="AA835" t="s">
        <v>74</v>
      </c>
      <c r="AB835" t="s">
        <v>74</v>
      </c>
      <c r="AC835" t="s">
        <v>15561</v>
      </c>
      <c r="AD835" t="s">
        <v>15562</v>
      </c>
      <c r="AE835" t="s">
        <v>15563</v>
      </c>
      <c r="AF835" t="s">
        <v>74</v>
      </c>
      <c r="AG835">
        <v>20</v>
      </c>
      <c r="AH835">
        <v>5</v>
      </c>
      <c r="AI835">
        <v>5</v>
      </c>
      <c r="AJ835">
        <v>1</v>
      </c>
      <c r="AK835">
        <v>13</v>
      </c>
      <c r="AL835" t="s">
        <v>15564</v>
      </c>
      <c r="AM835" t="s">
        <v>15565</v>
      </c>
      <c r="AN835" t="s">
        <v>15566</v>
      </c>
      <c r="AO835" t="s">
        <v>10629</v>
      </c>
      <c r="AP835" t="s">
        <v>74</v>
      </c>
      <c r="AQ835" t="s">
        <v>74</v>
      </c>
      <c r="AR835" t="s">
        <v>10631</v>
      </c>
      <c r="AS835" t="s">
        <v>10632</v>
      </c>
      <c r="AT835" t="s">
        <v>15365</v>
      </c>
      <c r="AU835">
        <v>2012</v>
      </c>
      <c r="AV835">
        <v>26</v>
      </c>
      <c r="AW835">
        <v>3</v>
      </c>
      <c r="AX835" t="s">
        <v>74</v>
      </c>
      <c r="AY835" t="s">
        <v>74</v>
      </c>
      <c r="AZ835" t="s">
        <v>74</v>
      </c>
      <c r="BA835" t="s">
        <v>74</v>
      </c>
      <c r="BB835">
        <v>3005</v>
      </c>
      <c r="BC835">
        <v>3009</v>
      </c>
      <c r="BD835" t="s">
        <v>74</v>
      </c>
      <c r="BE835" t="s">
        <v>15567</v>
      </c>
      <c r="BF835" t="str">
        <f>HYPERLINK("http://dx.doi.org/10.5504/BBEQ.2012.0021","http://dx.doi.org/10.5504/BBEQ.2012.0021")</f>
        <v>http://dx.doi.org/10.5504/BBEQ.2012.0021</v>
      </c>
      <c r="BG835" t="s">
        <v>74</v>
      </c>
      <c r="BH835" t="s">
        <v>74</v>
      </c>
      <c r="BI835">
        <v>5</v>
      </c>
      <c r="BJ835" t="s">
        <v>8329</v>
      </c>
      <c r="BK835" t="s">
        <v>98</v>
      </c>
      <c r="BL835" t="s">
        <v>8329</v>
      </c>
      <c r="BM835" t="s">
        <v>15568</v>
      </c>
      <c r="BN835" t="s">
        <v>74</v>
      </c>
      <c r="BO835" t="s">
        <v>74</v>
      </c>
      <c r="BP835" t="s">
        <v>74</v>
      </c>
      <c r="BQ835" t="s">
        <v>74</v>
      </c>
      <c r="BR835" t="s">
        <v>101</v>
      </c>
      <c r="BS835" t="s">
        <v>15569</v>
      </c>
      <c r="BT835" t="str">
        <f>HYPERLINK("https%3A%2F%2Fwww.webofscience.com%2Fwos%2Fwoscc%2Ffull-record%2FWOS:000305502300012","View Full Record in Web of Science")</f>
        <v>View Full Record in Web of Science</v>
      </c>
    </row>
    <row r="836" spans="1:72" x14ac:dyDescent="0.15">
      <c r="A836" t="s">
        <v>72</v>
      </c>
      <c r="B836" t="s">
        <v>15570</v>
      </c>
      <c r="C836" t="s">
        <v>74</v>
      </c>
      <c r="D836" t="s">
        <v>74</v>
      </c>
      <c r="E836" t="s">
        <v>74</v>
      </c>
      <c r="F836" t="s">
        <v>15571</v>
      </c>
      <c r="G836" t="s">
        <v>74</v>
      </c>
      <c r="H836" t="s">
        <v>74</v>
      </c>
      <c r="I836" t="s">
        <v>15572</v>
      </c>
      <c r="J836" t="s">
        <v>15573</v>
      </c>
      <c r="K836" t="s">
        <v>74</v>
      </c>
      <c r="L836" t="s">
        <v>74</v>
      </c>
      <c r="M836" t="s">
        <v>78</v>
      </c>
      <c r="N836" t="s">
        <v>79</v>
      </c>
      <c r="O836" t="s">
        <v>74</v>
      </c>
      <c r="P836" t="s">
        <v>74</v>
      </c>
      <c r="Q836" t="s">
        <v>74</v>
      </c>
      <c r="R836" t="s">
        <v>74</v>
      </c>
      <c r="S836" t="s">
        <v>74</v>
      </c>
      <c r="T836" t="s">
        <v>15574</v>
      </c>
      <c r="U836" t="s">
        <v>15575</v>
      </c>
      <c r="V836" t="s">
        <v>15576</v>
      </c>
      <c r="W836" t="s">
        <v>15577</v>
      </c>
      <c r="X836" t="s">
        <v>15578</v>
      </c>
      <c r="Y836" t="s">
        <v>15579</v>
      </c>
      <c r="Z836" t="s">
        <v>15580</v>
      </c>
      <c r="AA836" t="s">
        <v>15581</v>
      </c>
      <c r="AB836" t="s">
        <v>15582</v>
      </c>
      <c r="AC836" t="s">
        <v>74</v>
      </c>
      <c r="AD836" t="s">
        <v>74</v>
      </c>
      <c r="AE836" t="s">
        <v>74</v>
      </c>
      <c r="AF836" t="s">
        <v>74</v>
      </c>
      <c r="AG836">
        <v>178</v>
      </c>
      <c r="AH836">
        <v>137</v>
      </c>
      <c r="AI836">
        <v>147</v>
      </c>
      <c r="AJ836">
        <v>1</v>
      </c>
      <c r="AK836">
        <v>99</v>
      </c>
      <c r="AL836" t="s">
        <v>188</v>
      </c>
      <c r="AM836" t="s">
        <v>189</v>
      </c>
      <c r="AN836" t="s">
        <v>190</v>
      </c>
      <c r="AO836" t="s">
        <v>15583</v>
      </c>
      <c r="AP836" t="s">
        <v>15584</v>
      </c>
      <c r="AQ836" t="s">
        <v>74</v>
      </c>
      <c r="AR836" t="s">
        <v>15585</v>
      </c>
      <c r="AS836" t="s">
        <v>15586</v>
      </c>
      <c r="AT836" t="s">
        <v>15365</v>
      </c>
      <c r="AU836">
        <v>2012</v>
      </c>
      <c r="AV836">
        <v>113</v>
      </c>
      <c r="AW836" t="s">
        <v>13577</v>
      </c>
      <c r="AX836" t="s">
        <v>74</v>
      </c>
      <c r="AY836" t="s">
        <v>74</v>
      </c>
      <c r="AZ836" t="s">
        <v>74</v>
      </c>
      <c r="BA836" t="s">
        <v>74</v>
      </c>
      <c r="BB836">
        <v>33</v>
      </c>
      <c r="BC836">
        <v>58</v>
      </c>
      <c r="BD836" t="s">
        <v>74</v>
      </c>
      <c r="BE836" t="s">
        <v>15587</v>
      </c>
      <c r="BF836" t="str">
        <f>HYPERLINK("http://dx.doi.org/10.1016/j.earscirev.2012.02.002","http://dx.doi.org/10.1016/j.earscirev.2012.02.002")</f>
        <v>http://dx.doi.org/10.1016/j.earscirev.2012.02.002</v>
      </c>
      <c r="BG836" t="s">
        <v>74</v>
      </c>
      <c r="BH836" t="s">
        <v>74</v>
      </c>
      <c r="BI836">
        <v>26</v>
      </c>
      <c r="BJ836" t="s">
        <v>461</v>
      </c>
      <c r="BK836" t="s">
        <v>98</v>
      </c>
      <c r="BL836" t="s">
        <v>462</v>
      </c>
      <c r="BM836" t="s">
        <v>15588</v>
      </c>
      <c r="BN836" t="s">
        <v>74</v>
      </c>
      <c r="BO836" t="s">
        <v>74</v>
      </c>
      <c r="BP836" t="s">
        <v>74</v>
      </c>
      <c r="BQ836" t="s">
        <v>74</v>
      </c>
      <c r="BR836" t="s">
        <v>101</v>
      </c>
      <c r="BS836" t="s">
        <v>15589</v>
      </c>
      <c r="BT836" t="str">
        <f>HYPERLINK("https%3A%2F%2Fwww.webofscience.com%2Fwos%2Fwoscc%2Ffull-record%2FWOS:000305596300003","View Full Record in Web of Science")</f>
        <v>View Full Record in Web of Science</v>
      </c>
    </row>
    <row r="837" spans="1:72" x14ac:dyDescent="0.15">
      <c r="A837" t="s">
        <v>72</v>
      </c>
      <c r="B837" t="s">
        <v>15590</v>
      </c>
      <c r="C837" t="s">
        <v>74</v>
      </c>
      <c r="D837" t="s">
        <v>74</v>
      </c>
      <c r="E837" t="s">
        <v>74</v>
      </c>
      <c r="F837" t="s">
        <v>15591</v>
      </c>
      <c r="G837" t="s">
        <v>74</v>
      </c>
      <c r="H837" t="s">
        <v>74</v>
      </c>
      <c r="I837" t="s">
        <v>15592</v>
      </c>
      <c r="J837" t="s">
        <v>178</v>
      </c>
      <c r="K837" t="s">
        <v>74</v>
      </c>
      <c r="L837" t="s">
        <v>74</v>
      </c>
      <c r="M837" t="s">
        <v>78</v>
      </c>
      <c r="N837" t="s">
        <v>79</v>
      </c>
      <c r="O837" t="s">
        <v>74</v>
      </c>
      <c r="P837" t="s">
        <v>74</v>
      </c>
      <c r="Q837" t="s">
        <v>74</v>
      </c>
      <c r="R837" t="s">
        <v>74</v>
      </c>
      <c r="S837" t="s">
        <v>74</v>
      </c>
      <c r="T837" t="s">
        <v>15593</v>
      </c>
      <c r="U837" t="s">
        <v>15594</v>
      </c>
      <c r="V837" t="s">
        <v>15595</v>
      </c>
      <c r="W837" t="s">
        <v>15596</v>
      </c>
      <c r="X837" t="s">
        <v>15597</v>
      </c>
      <c r="Y837" t="s">
        <v>15598</v>
      </c>
      <c r="Z837" t="s">
        <v>15599</v>
      </c>
      <c r="AA837" t="s">
        <v>15600</v>
      </c>
      <c r="AB837" t="s">
        <v>15601</v>
      </c>
      <c r="AC837" t="s">
        <v>15602</v>
      </c>
      <c r="AD837" t="s">
        <v>15603</v>
      </c>
      <c r="AE837" t="s">
        <v>15604</v>
      </c>
      <c r="AF837" t="s">
        <v>74</v>
      </c>
      <c r="AG837">
        <v>50</v>
      </c>
      <c r="AH837">
        <v>36</v>
      </c>
      <c r="AI837">
        <v>38</v>
      </c>
      <c r="AJ837">
        <v>0</v>
      </c>
      <c r="AK837">
        <v>32</v>
      </c>
      <c r="AL837" t="s">
        <v>188</v>
      </c>
      <c r="AM837" t="s">
        <v>189</v>
      </c>
      <c r="AN837" t="s">
        <v>190</v>
      </c>
      <c r="AO837" t="s">
        <v>191</v>
      </c>
      <c r="AP837" t="s">
        <v>192</v>
      </c>
      <c r="AQ837" t="s">
        <v>74</v>
      </c>
      <c r="AR837" t="s">
        <v>193</v>
      </c>
      <c r="AS837" t="s">
        <v>194</v>
      </c>
      <c r="AT837" t="s">
        <v>15605</v>
      </c>
      <c r="AU837">
        <v>2012</v>
      </c>
      <c r="AV837">
        <v>335</v>
      </c>
      <c r="AW837" t="s">
        <v>74</v>
      </c>
      <c r="AX837" t="s">
        <v>74</v>
      </c>
      <c r="AY837" t="s">
        <v>74</v>
      </c>
      <c r="AZ837" t="s">
        <v>1019</v>
      </c>
      <c r="BA837" t="s">
        <v>74</v>
      </c>
      <c r="BB837">
        <v>4</v>
      </c>
      <c r="BC837">
        <v>11</v>
      </c>
      <c r="BD837" t="s">
        <v>74</v>
      </c>
      <c r="BE837" t="s">
        <v>15606</v>
      </c>
      <c r="BF837" t="str">
        <f>HYPERLINK("http://dx.doi.org/10.1016/j.palaeo.2011.02.001","http://dx.doi.org/10.1016/j.palaeo.2011.02.001")</f>
        <v>http://dx.doi.org/10.1016/j.palaeo.2011.02.001</v>
      </c>
      <c r="BG837" t="s">
        <v>74</v>
      </c>
      <c r="BH837" t="s">
        <v>74</v>
      </c>
      <c r="BI837">
        <v>8</v>
      </c>
      <c r="BJ837" t="s">
        <v>197</v>
      </c>
      <c r="BK837" t="s">
        <v>98</v>
      </c>
      <c r="BL837" t="s">
        <v>198</v>
      </c>
      <c r="BM837" t="s">
        <v>15607</v>
      </c>
      <c r="BN837" t="s">
        <v>74</v>
      </c>
      <c r="BO837" t="s">
        <v>74</v>
      </c>
      <c r="BP837" t="s">
        <v>74</v>
      </c>
      <c r="BQ837" t="s">
        <v>74</v>
      </c>
      <c r="BR837" t="s">
        <v>101</v>
      </c>
      <c r="BS837" t="s">
        <v>15608</v>
      </c>
      <c r="BT837" t="str">
        <f>HYPERLINK("https%3A%2F%2Fwww.webofscience.com%2Fwos%2Fwoscc%2Ffull-record%2FWOS:000305378600002","View Full Record in Web of Science")</f>
        <v>View Full Record in Web of Science</v>
      </c>
    </row>
    <row r="838" spans="1:72" x14ac:dyDescent="0.15">
      <c r="A838" t="s">
        <v>72</v>
      </c>
      <c r="B838" t="s">
        <v>15609</v>
      </c>
      <c r="C838" t="s">
        <v>74</v>
      </c>
      <c r="D838" t="s">
        <v>74</v>
      </c>
      <c r="E838" t="s">
        <v>74</v>
      </c>
      <c r="F838" t="s">
        <v>15610</v>
      </c>
      <c r="G838" t="s">
        <v>74</v>
      </c>
      <c r="H838" t="s">
        <v>74</v>
      </c>
      <c r="I838" t="s">
        <v>15611</v>
      </c>
      <c r="J838" t="s">
        <v>178</v>
      </c>
      <c r="K838" t="s">
        <v>74</v>
      </c>
      <c r="L838" t="s">
        <v>74</v>
      </c>
      <c r="M838" t="s">
        <v>78</v>
      </c>
      <c r="N838" t="s">
        <v>79</v>
      </c>
      <c r="O838" t="s">
        <v>74</v>
      </c>
      <c r="P838" t="s">
        <v>74</v>
      </c>
      <c r="Q838" t="s">
        <v>74</v>
      </c>
      <c r="R838" t="s">
        <v>74</v>
      </c>
      <c r="S838" t="s">
        <v>74</v>
      </c>
      <c r="T838" t="s">
        <v>15612</v>
      </c>
      <c r="U838" t="s">
        <v>15613</v>
      </c>
      <c r="V838" t="s">
        <v>15614</v>
      </c>
      <c r="W838" t="s">
        <v>15615</v>
      </c>
      <c r="X838" t="s">
        <v>3762</v>
      </c>
      <c r="Y838" t="s">
        <v>15616</v>
      </c>
      <c r="Z838" t="s">
        <v>15617</v>
      </c>
      <c r="AA838" t="s">
        <v>74</v>
      </c>
      <c r="AB838" t="s">
        <v>15618</v>
      </c>
      <c r="AC838" t="s">
        <v>74</v>
      </c>
      <c r="AD838" t="s">
        <v>74</v>
      </c>
      <c r="AE838" t="s">
        <v>74</v>
      </c>
      <c r="AF838" t="s">
        <v>74</v>
      </c>
      <c r="AG838">
        <v>39</v>
      </c>
      <c r="AH838">
        <v>26</v>
      </c>
      <c r="AI838">
        <v>27</v>
      </c>
      <c r="AJ838">
        <v>0</v>
      </c>
      <c r="AK838">
        <v>9</v>
      </c>
      <c r="AL838" t="s">
        <v>188</v>
      </c>
      <c r="AM838" t="s">
        <v>189</v>
      </c>
      <c r="AN838" t="s">
        <v>190</v>
      </c>
      <c r="AO838" t="s">
        <v>191</v>
      </c>
      <c r="AP838" t="s">
        <v>192</v>
      </c>
      <c r="AQ838" t="s">
        <v>74</v>
      </c>
      <c r="AR838" t="s">
        <v>193</v>
      </c>
      <c r="AS838" t="s">
        <v>194</v>
      </c>
      <c r="AT838" t="s">
        <v>15605</v>
      </c>
      <c r="AU838">
        <v>2012</v>
      </c>
      <c r="AV838">
        <v>335</v>
      </c>
      <c r="AW838" t="s">
        <v>74</v>
      </c>
      <c r="AX838" t="s">
        <v>74</v>
      </c>
      <c r="AY838" t="s">
        <v>74</v>
      </c>
      <c r="AZ838" t="s">
        <v>1019</v>
      </c>
      <c r="BA838" t="s">
        <v>74</v>
      </c>
      <c r="BB838">
        <v>35</v>
      </c>
      <c r="BC838">
        <v>41</v>
      </c>
      <c r="BD838" t="s">
        <v>74</v>
      </c>
      <c r="BE838" t="s">
        <v>15619</v>
      </c>
      <c r="BF838" t="str">
        <f>HYPERLINK("http://dx.doi.org/10.1016/j.palaeo.2011.02.022","http://dx.doi.org/10.1016/j.palaeo.2011.02.022")</f>
        <v>http://dx.doi.org/10.1016/j.palaeo.2011.02.022</v>
      </c>
      <c r="BG838" t="s">
        <v>74</v>
      </c>
      <c r="BH838" t="s">
        <v>74</v>
      </c>
      <c r="BI838">
        <v>7</v>
      </c>
      <c r="BJ838" t="s">
        <v>197</v>
      </c>
      <c r="BK838" t="s">
        <v>98</v>
      </c>
      <c r="BL838" t="s">
        <v>198</v>
      </c>
      <c r="BM838" t="s">
        <v>15607</v>
      </c>
      <c r="BN838" t="s">
        <v>74</v>
      </c>
      <c r="BO838" t="s">
        <v>1499</v>
      </c>
      <c r="BP838" t="s">
        <v>74</v>
      </c>
      <c r="BQ838" t="s">
        <v>74</v>
      </c>
      <c r="BR838" t="s">
        <v>101</v>
      </c>
      <c r="BS838" t="s">
        <v>15620</v>
      </c>
      <c r="BT838" t="str">
        <f>HYPERLINK("https%3A%2F%2Fwww.webofscience.com%2Fwos%2Fwoscc%2Ffull-record%2FWOS:000305378600005","View Full Record in Web of Science")</f>
        <v>View Full Record in Web of Science</v>
      </c>
    </row>
    <row r="839" spans="1:72" x14ac:dyDescent="0.15">
      <c r="A839" t="s">
        <v>72</v>
      </c>
      <c r="B839" t="s">
        <v>15621</v>
      </c>
      <c r="C839" t="s">
        <v>74</v>
      </c>
      <c r="D839" t="s">
        <v>74</v>
      </c>
      <c r="E839" t="s">
        <v>74</v>
      </c>
      <c r="F839" t="s">
        <v>15622</v>
      </c>
      <c r="G839" t="s">
        <v>74</v>
      </c>
      <c r="H839" t="s">
        <v>74</v>
      </c>
      <c r="I839" t="s">
        <v>15623</v>
      </c>
      <c r="J839" t="s">
        <v>178</v>
      </c>
      <c r="K839" t="s">
        <v>74</v>
      </c>
      <c r="L839" t="s">
        <v>74</v>
      </c>
      <c r="M839" t="s">
        <v>78</v>
      </c>
      <c r="N839" t="s">
        <v>79</v>
      </c>
      <c r="O839" t="s">
        <v>74</v>
      </c>
      <c r="P839" t="s">
        <v>74</v>
      </c>
      <c r="Q839" t="s">
        <v>74</v>
      </c>
      <c r="R839" t="s">
        <v>74</v>
      </c>
      <c r="S839" t="s">
        <v>74</v>
      </c>
      <c r="T839" t="s">
        <v>15624</v>
      </c>
      <c r="U839" t="s">
        <v>15625</v>
      </c>
      <c r="V839" t="s">
        <v>15626</v>
      </c>
      <c r="W839" t="s">
        <v>15627</v>
      </c>
      <c r="X839" t="s">
        <v>15628</v>
      </c>
      <c r="Y839" t="s">
        <v>15629</v>
      </c>
      <c r="Z839" t="s">
        <v>15630</v>
      </c>
      <c r="AA839" t="s">
        <v>74</v>
      </c>
      <c r="AB839" t="s">
        <v>15631</v>
      </c>
      <c r="AC839" t="s">
        <v>15632</v>
      </c>
      <c r="AD839" t="s">
        <v>15633</v>
      </c>
      <c r="AE839" t="s">
        <v>15634</v>
      </c>
      <c r="AF839" t="s">
        <v>74</v>
      </c>
      <c r="AG839">
        <v>76</v>
      </c>
      <c r="AH839">
        <v>25</v>
      </c>
      <c r="AI839">
        <v>29</v>
      </c>
      <c r="AJ839">
        <v>0</v>
      </c>
      <c r="AK839">
        <v>10</v>
      </c>
      <c r="AL839" t="s">
        <v>188</v>
      </c>
      <c r="AM839" t="s">
        <v>189</v>
      </c>
      <c r="AN839" t="s">
        <v>190</v>
      </c>
      <c r="AO839" t="s">
        <v>191</v>
      </c>
      <c r="AP839" t="s">
        <v>192</v>
      </c>
      <c r="AQ839" t="s">
        <v>74</v>
      </c>
      <c r="AR839" t="s">
        <v>193</v>
      </c>
      <c r="AS839" t="s">
        <v>194</v>
      </c>
      <c r="AT839" t="s">
        <v>15605</v>
      </c>
      <c r="AU839">
        <v>2012</v>
      </c>
      <c r="AV839">
        <v>335</v>
      </c>
      <c r="AW839" t="s">
        <v>74</v>
      </c>
      <c r="AX839" t="s">
        <v>74</v>
      </c>
      <c r="AY839" t="s">
        <v>74</v>
      </c>
      <c r="AZ839" t="s">
        <v>1019</v>
      </c>
      <c r="BA839" t="s">
        <v>74</v>
      </c>
      <c r="BB839">
        <v>42</v>
      </c>
      <c r="BC839">
        <v>51</v>
      </c>
      <c r="BD839" t="s">
        <v>74</v>
      </c>
      <c r="BE839" t="s">
        <v>15635</v>
      </c>
      <c r="BF839" t="str">
        <f>HYPERLINK("http://dx.doi.org/10.1016/j.palaeo.2011.06.010","http://dx.doi.org/10.1016/j.palaeo.2011.06.010")</f>
        <v>http://dx.doi.org/10.1016/j.palaeo.2011.06.010</v>
      </c>
      <c r="BG839" t="s">
        <v>74</v>
      </c>
      <c r="BH839" t="s">
        <v>74</v>
      </c>
      <c r="BI839">
        <v>10</v>
      </c>
      <c r="BJ839" t="s">
        <v>197</v>
      </c>
      <c r="BK839" t="s">
        <v>98</v>
      </c>
      <c r="BL839" t="s">
        <v>198</v>
      </c>
      <c r="BM839" t="s">
        <v>15607</v>
      </c>
      <c r="BN839" t="s">
        <v>74</v>
      </c>
      <c r="BO839" t="s">
        <v>74</v>
      </c>
      <c r="BP839" t="s">
        <v>74</v>
      </c>
      <c r="BQ839" t="s">
        <v>74</v>
      </c>
      <c r="BR839" t="s">
        <v>101</v>
      </c>
      <c r="BS839" t="s">
        <v>15636</v>
      </c>
      <c r="BT839" t="str">
        <f>HYPERLINK("https%3A%2F%2Fwww.webofscience.com%2Fwos%2Fwoscc%2Ffull-record%2FWOS:000305378600006","View Full Record in Web of Science")</f>
        <v>View Full Record in Web of Science</v>
      </c>
    </row>
    <row r="840" spans="1:72" x14ac:dyDescent="0.15">
      <c r="A840" t="s">
        <v>72</v>
      </c>
      <c r="B840" t="s">
        <v>15637</v>
      </c>
      <c r="C840" t="s">
        <v>74</v>
      </c>
      <c r="D840" t="s">
        <v>74</v>
      </c>
      <c r="E840" t="s">
        <v>74</v>
      </c>
      <c r="F840" t="s">
        <v>15638</v>
      </c>
      <c r="G840" t="s">
        <v>74</v>
      </c>
      <c r="H840" t="s">
        <v>74</v>
      </c>
      <c r="I840" t="s">
        <v>15639</v>
      </c>
      <c r="J840" t="s">
        <v>178</v>
      </c>
      <c r="K840" t="s">
        <v>74</v>
      </c>
      <c r="L840" t="s">
        <v>74</v>
      </c>
      <c r="M840" t="s">
        <v>78</v>
      </c>
      <c r="N840" t="s">
        <v>79</v>
      </c>
      <c r="O840" t="s">
        <v>74</v>
      </c>
      <c r="P840" t="s">
        <v>74</v>
      </c>
      <c r="Q840" t="s">
        <v>74</v>
      </c>
      <c r="R840" t="s">
        <v>74</v>
      </c>
      <c r="S840" t="s">
        <v>74</v>
      </c>
      <c r="T840" t="s">
        <v>15640</v>
      </c>
      <c r="U840" t="s">
        <v>15641</v>
      </c>
      <c r="V840" t="s">
        <v>15642</v>
      </c>
      <c r="W840" t="s">
        <v>15643</v>
      </c>
      <c r="X840" t="s">
        <v>12241</v>
      </c>
      <c r="Y840" t="s">
        <v>15644</v>
      </c>
      <c r="Z840" t="s">
        <v>7472</v>
      </c>
      <c r="AA840" t="s">
        <v>74</v>
      </c>
      <c r="AB840" t="s">
        <v>74</v>
      </c>
      <c r="AC840" t="s">
        <v>15645</v>
      </c>
      <c r="AD840" t="s">
        <v>349</v>
      </c>
      <c r="AE840" t="s">
        <v>15646</v>
      </c>
      <c r="AF840" t="s">
        <v>74</v>
      </c>
      <c r="AG840">
        <v>46</v>
      </c>
      <c r="AH840">
        <v>37</v>
      </c>
      <c r="AI840">
        <v>50</v>
      </c>
      <c r="AJ840">
        <v>0</v>
      </c>
      <c r="AK840">
        <v>17</v>
      </c>
      <c r="AL840" t="s">
        <v>188</v>
      </c>
      <c r="AM840" t="s">
        <v>189</v>
      </c>
      <c r="AN840" t="s">
        <v>190</v>
      </c>
      <c r="AO840" t="s">
        <v>191</v>
      </c>
      <c r="AP840" t="s">
        <v>192</v>
      </c>
      <c r="AQ840" t="s">
        <v>74</v>
      </c>
      <c r="AR840" t="s">
        <v>193</v>
      </c>
      <c r="AS840" t="s">
        <v>194</v>
      </c>
      <c r="AT840" t="s">
        <v>15605</v>
      </c>
      <c r="AU840">
        <v>2012</v>
      </c>
      <c r="AV840">
        <v>335</v>
      </c>
      <c r="AW840" t="s">
        <v>74</v>
      </c>
      <c r="AX840" t="s">
        <v>74</v>
      </c>
      <c r="AY840" t="s">
        <v>74</v>
      </c>
      <c r="AZ840" t="s">
        <v>1019</v>
      </c>
      <c r="BA840" t="s">
        <v>74</v>
      </c>
      <c r="BB840">
        <v>52</v>
      </c>
      <c r="BC840">
        <v>60</v>
      </c>
      <c r="BD840" t="s">
        <v>74</v>
      </c>
      <c r="BE840" t="s">
        <v>15647</v>
      </c>
      <c r="BF840" t="str">
        <f>HYPERLINK("http://dx.doi.org/10.1016/j.palaeo.2011.08.007","http://dx.doi.org/10.1016/j.palaeo.2011.08.007")</f>
        <v>http://dx.doi.org/10.1016/j.palaeo.2011.08.007</v>
      </c>
      <c r="BG840" t="s">
        <v>74</v>
      </c>
      <c r="BH840" t="s">
        <v>74</v>
      </c>
      <c r="BI840">
        <v>9</v>
      </c>
      <c r="BJ840" t="s">
        <v>197</v>
      </c>
      <c r="BK840" t="s">
        <v>98</v>
      </c>
      <c r="BL840" t="s">
        <v>198</v>
      </c>
      <c r="BM840" t="s">
        <v>15607</v>
      </c>
      <c r="BN840" t="s">
        <v>74</v>
      </c>
      <c r="BO840" t="s">
        <v>74</v>
      </c>
      <c r="BP840" t="s">
        <v>74</v>
      </c>
      <c r="BQ840" t="s">
        <v>74</v>
      </c>
      <c r="BR840" t="s">
        <v>101</v>
      </c>
      <c r="BS840" t="s">
        <v>15648</v>
      </c>
      <c r="BT840" t="str">
        <f>HYPERLINK("https%3A%2F%2Fwww.webofscience.com%2Fwos%2Fwoscc%2Ffull-record%2FWOS:000305378600007","View Full Record in Web of Science")</f>
        <v>View Full Record in Web of Science</v>
      </c>
    </row>
    <row r="841" spans="1:72" x14ac:dyDescent="0.15">
      <c r="A841" t="s">
        <v>72</v>
      </c>
      <c r="B841" t="s">
        <v>15649</v>
      </c>
      <c r="C841" t="s">
        <v>74</v>
      </c>
      <c r="D841" t="s">
        <v>74</v>
      </c>
      <c r="E841" t="s">
        <v>74</v>
      </c>
      <c r="F841" t="s">
        <v>15650</v>
      </c>
      <c r="G841" t="s">
        <v>74</v>
      </c>
      <c r="H841" t="s">
        <v>74</v>
      </c>
      <c r="I841" t="s">
        <v>15651</v>
      </c>
      <c r="J841" t="s">
        <v>178</v>
      </c>
      <c r="K841" t="s">
        <v>74</v>
      </c>
      <c r="L841" t="s">
        <v>74</v>
      </c>
      <c r="M841" t="s">
        <v>78</v>
      </c>
      <c r="N841" t="s">
        <v>79</v>
      </c>
      <c r="O841" t="s">
        <v>74</v>
      </c>
      <c r="P841" t="s">
        <v>74</v>
      </c>
      <c r="Q841" t="s">
        <v>74</v>
      </c>
      <c r="R841" t="s">
        <v>74</v>
      </c>
      <c r="S841" t="s">
        <v>74</v>
      </c>
      <c r="T841" t="s">
        <v>15652</v>
      </c>
      <c r="U841" t="s">
        <v>15653</v>
      </c>
      <c r="V841" t="s">
        <v>15654</v>
      </c>
      <c r="W841" t="s">
        <v>15655</v>
      </c>
      <c r="X841" t="s">
        <v>15656</v>
      </c>
      <c r="Y841" t="s">
        <v>15657</v>
      </c>
      <c r="Z841" t="s">
        <v>15658</v>
      </c>
      <c r="AA841" t="s">
        <v>15659</v>
      </c>
      <c r="AB841" t="s">
        <v>15660</v>
      </c>
      <c r="AC841" t="s">
        <v>74</v>
      </c>
      <c r="AD841" t="s">
        <v>74</v>
      </c>
      <c r="AE841" t="s">
        <v>74</v>
      </c>
      <c r="AF841" t="s">
        <v>74</v>
      </c>
      <c r="AG841">
        <v>43</v>
      </c>
      <c r="AH841">
        <v>10</v>
      </c>
      <c r="AI841">
        <v>10</v>
      </c>
      <c r="AJ841">
        <v>0</v>
      </c>
      <c r="AK841">
        <v>19</v>
      </c>
      <c r="AL841" t="s">
        <v>188</v>
      </c>
      <c r="AM841" t="s">
        <v>189</v>
      </c>
      <c r="AN841" t="s">
        <v>190</v>
      </c>
      <c r="AO841" t="s">
        <v>191</v>
      </c>
      <c r="AP841" t="s">
        <v>192</v>
      </c>
      <c r="AQ841" t="s">
        <v>74</v>
      </c>
      <c r="AR841" t="s">
        <v>193</v>
      </c>
      <c r="AS841" t="s">
        <v>194</v>
      </c>
      <c r="AT841" t="s">
        <v>15605</v>
      </c>
      <c r="AU841">
        <v>2012</v>
      </c>
      <c r="AV841">
        <v>335</v>
      </c>
      <c r="AW841" t="s">
        <v>74</v>
      </c>
      <c r="AX841" t="s">
        <v>74</v>
      </c>
      <c r="AY841" t="s">
        <v>74</v>
      </c>
      <c r="AZ841" t="s">
        <v>1019</v>
      </c>
      <c r="BA841" t="s">
        <v>74</v>
      </c>
      <c r="BB841">
        <v>84</v>
      </c>
      <c r="BC841">
        <v>94</v>
      </c>
      <c r="BD841" t="s">
        <v>74</v>
      </c>
      <c r="BE841" t="s">
        <v>15661</v>
      </c>
      <c r="BF841" t="str">
        <f>HYPERLINK("http://dx.doi.org/10.1016/j.palaeo.2011.08.011","http://dx.doi.org/10.1016/j.palaeo.2011.08.011")</f>
        <v>http://dx.doi.org/10.1016/j.palaeo.2011.08.011</v>
      </c>
      <c r="BG841" t="s">
        <v>74</v>
      </c>
      <c r="BH841" t="s">
        <v>74</v>
      </c>
      <c r="BI841">
        <v>11</v>
      </c>
      <c r="BJ841" t="s">
        <v>197</v>
      </c>
      <c r="BK841" t="s">
        <v>98</v>
      </c>
      <c r="BL841" t="s">
        <v>198</v>
      </c>
      <c r="BM841" t="s">
        <v>15607</v>
      </c>
      <c r="BN841" t="s">
        <v>74</v>
      </c>
      <c r="BO841" t="s">
        <v>74</v>
      </c>
      <c r="BP841" t="s">
        <v>74</v>
      </c>
      <c r="BQ841" t="s">
        <v>74</v>
      </c>
      <c r="BR841" t="s">
        <v>101</v>
      </c>
      <c r="BS841" t="s">
        <v>15662</v>
      </c>
      <c r="BT841" t="str">
        <f>HYPERLINK("https%3A%2F%2Fwww.webofscience.com%2Fwos%2Fwoscc%2Ffull-record%2FWOS:000305378600011","View Full Record in Web of Science")</f>
        <v>View Full Record in Web of Science</v>
      </c>
    </row>
    <row r="842" spans="1:72" x14ac:dyDescent="0.15">
      <c r="A842" t="s">
        <v>72</v>
      </c>
      <c r="B842" t="s">
        <v>15663</v>
      </c>
      <c r="C842" t="s">
        <v>74</v>
      </c>
      <c r="D842" t="s">
        <v>74</v>
      </c>
      <c r="E842" t="s">
        <v>74</v>
      </c>
      <c r="F842" t="s">
        <v>15664</v>
      </c>
      <c r="G842" t="s">
        <v>74</v>
      </c>
      <c r="H842" t="s">
        <v>74</v>
      </c>
      <c r="I842" t="s">
        <v>15665</v>
      </c>
      <c r="J842" t="s">
        <v>15666</v>
      </c>
      <c r="K842" t="s">
        <v>74</v>
      </c>
      <c r="L842" t="s">
        <v>74</v>
      </c>
      <c r="M842" t="s">
        <v>78</v>
      </c>
      <c r="N842" t="s">
        <v>79</v>
      </c>
      <c r="O842" t="s">
        <v>74</v>
      </c>
      <c r="P842" t="s">
        <v>74</v>
      </c>
      <c r="Q842" t="s">
        <v>74</v>
      </c>
      <c r="R842" t="s">
        <v>74</v>
      </c>
      <c r="S842" t="s">
        <v>74</v>
      </c>
      <c r="T842" t="s">
        <v>15667</v>
      </c>
      <c r="U842" t="s">
        <v>15668</v>
      </c>
      <c r="V842" t="s">
        <v>15669</v>
      </c>
      <c r="W842" t="s">
        <v>15670</v>
      </c>
      <c r="X842" t="s">
        <v>15671</v>
      </c>
      <c r="Y842" t="s">
        <v>15672</v>
      </c>
      <c r="Z842" t="s">
        <v>15673</v>
      </c>
      <c r="AA842" t="s">
        <v>15674</v>
      </c>
      <c r="AB842" t="s">
        <v>15675</v>
      </c>
      <c r="AC842" t="s">
        <v>15676</v>
      </c>
      <c r="AD842" t="s">
        <v>15677</v>
      </c>
      <c r="AE842" t="s">
        <v>15678</v>
      </c>
      <c r="AF842" t="s">
        <v>74</v>
      </c>
      <c r="AG842">
        <v>61</v>
      </c>
      <c r="AH842">
        <v>20</v>
      </c>
      <c r="AI842">
        <v>23</v>
      </c>
      <c r="AJ842">
        <v>2</v>
      </c>
      <c r="AK842">
        <v>73</v>
      </c>
      <c r="AL842" t="s">
        <v>1081</v>
      </c>
      <c r="AM842" t="s">
        <v>1082</v>
      </c>
      <c r="AN842" t="s">
        <v>1083</v>
      </c>
      <c r="AO842" t="s">
        <v>15679</v>
      </c>
      <c r="AP842" t="s">
        <v>15680</v>
      </c>
      <c r="AQ842" t="s">
        <v>74</v>
      </c>
      <c r="AR842" t="s">
        <v>15666</v>
      </c>
      <c r="AS842" t="s">
        <v>15681</v>
      </c>
      <c r="AT842" t="s">
        <v>15365</v>
      </c>
      <c r="AU842">
        <v>2012</v>
      </c>
      <c r="AV842">
        <v>64</v>
      </c>
      <c r="AW842">
        <v>3</v>
      </c>
      <c r="AX842" t="s">
        <v>74</v>
      </c>
      <c r="AY842" t="s">
        <v>74</v>
      </c>
      <c r="AZ842" t="s">
        <v>74</v>
      </c>
      <c r="BA842" t="s">
        <v>74</v>
      </c>
      <c r="BB842">
        <v>215</v>
      </c>
      <c r="BC842">
        <v>222</v>
      </c>
      <c r="BD842" t="s">
        <v>74</v>
      </c>
      <c r="BE842" t="s">
        <v>15682</v>
      </c>
      <c r="BF842" t="str">
        <f>HYPERLINK("http://dx.doi.org/10.1016/j.cryobiol.2012.02.002","http://dx.doi.org/10.1016/j.cryobiol.2012.02.002")</f>
        <v>http://dx.doi.org/10.1016/j.cryobiol.2012.02.002</v>
      </c>
      <c r="BG842" t="s">
        <v>74</v>
      </c>
      <c r="BH842" t="s">
        <v>74</v>
      </c>
      <c r="BI842">
        <v>8</v>
      </c>
      <c r="BJ842" t="s">
        <v>12939</v>
      </c>
      <c r="BK842" t="s">
        <v>98</v>
      </c>
      <c r="BL842" t="s">
        <v>12940</v>
      </c>
      <c r="BM842" t="s">
        <v>15683</v>
      </c>
      <c r="BN842">
        <v>22342877</v>
      </c>
      <c r="BO842" t="s">
        <v>74</v>
      </c>
      <c r="BP842" t="s">
        <v>74</v>
      </c>
      <c r="BQ842" t="s">
        <v>74</v>
      </c>
      <c r="BR842" t="s">
        <v>101</v>
      </c>
      <c r="BS842" t="s">
        <v>15684</v>
      </c>
      <c r="BT842" t="str">
        <f>HYPERLINK("https%3A%2F%2Fwww.webofscience.com%2Fwos%2Fwoscc%2Ffull-record%2FWOS:000305167400011","View Full Record in Web of Science")</f>
        <v>View Full Record in Web of Science</v>
      </c>
    </row>
    <row r="843" spans="1:72" x14ac:dyDescent="0.15">
      <c r="A843" t="s">
        <v>72</v>
      </c>
      <c r="B843" t="s">
        <v>15685</v>
      </c>
      <c r="C843" t="s">
        <v>74</v>
      </c>
      <c r="D843" t="s">
        <v>74</v>
      </c>
      <c r="E843" t="s">
        <v>74</v>
      </c>
      <c r="F843" t="s">
        <v>15686</v>
      </c>
      <c r="G843" t="s">
        <v>74</v>
      </c>
      <c r="H843" t="s">
        <v>74</v>
      </c>
      <c r="I843" t="s">
        <v>15687</v>
      </c>
      <c r="J843" t="s">
        <v>15666</v>
      </c>
      <c r="K843" t="s">
        <v>74</v>
      </c>
      <c r="L843" t="s">
        <v>74</v>
      </c>
      <c r="M843" t="s">
        <v>78</v>
      </c>
      <c r="N843" t="s">
        <v>79</v>
      </c>
      <c r="O843" t="s">
        <v>74</v>
      </c>
      <c r="P843" t="s">
        <v>74</v>
      </c>
      <c r="Q843" t="s">
        <v>74</v>
      </c>
      <c r="R843" t="s">
        <v>74</v>
      </c>
      <c r="S843" t="s">
        <v>74</v>
      </c>
      <c r="T843" t="s">
        <v>15688</v>
      </c>
      <c r="U843" t="s">
        <v>15689</v>
      </c>
      <c r="V843" t="s">
        <v>15690</v>
      </c>
      <c r="W843" t="s">
        <v>15691</v>
      </c>
      <c r="X843" t="s">
        <v>15692</v>
      </c>
      <c r="Y843" t="s">
        <v>12396</v>
      </c>
      <c r="Z843" t="s">
        <v>13398</v>
      </c>
      <c r="AA843" t="s">
        <v>74</v>
      </c>
      <c r="AB843" t="s">
        <v>13399</v>
      </c>
      <c r="AC843" t="s">
        <v>15693</v>
      </c>
      <c r="AD843" t="s">
        <v>13220</v>
      </c>
      <c r="AE843" t="s">
        <v>15694</v>
      </c>
      <c r="AF843" t="s">
        <v>74</v>
      </c>
      <c r="AG843">
        <v>59</v>
      </c>
      <c r="AH843">
        <v>38</v>
      </c>
      <c r="AI843">
        <v>44</v>
      </c>
      <c r="AJ843">
        <v>1</v>
      </c>
      <c r="AK843">
        <v>31</v>
      </c>
      <c r="AL843" t="s">
        <v>1081</v>
      </c>
      <c r="AM843" t="s">
        <v>1082</v>
      </c>
      <c r="AN843" t="s">
        <v>1083</v>
      </c>
      <c r="AO843" t="s">
        <v>15679</v>
      </c>
      <c r="AP843" t="s">
        <v>74</v>
      </c>
      <c r="AQ843" t="s">
        <v>74</v>
      </c>
      <c r="AR843" t="s">
        <v>15666</v>
      </c>
      <c r="AS843" t="s">
        <v>15681</v>
      </c>
      <c r="AT843" t="s">
        <v>15365</v>
      </c>
      <c r="AU843">
        <v>2012</v>
      </c>
      <c r="AV843">
        <v>64</v>
      </c>
      <c r="AW843">
        <v>3</v>
      </c>
      <c r="AX843" t="s">
        <v>74</v>
      </c>
      <c r="AY843" t="s">
        <v>74</v>
      </c>
      <c r="AZ843" t="s">
        <v>74</v>
      </c>
      <c r="BA843" t="s">
        <v>74</v>
      </c>
      <c r="BB843">
        <v>286</v>
      </c>
      <c r="BC843">
        <v>296</v>
      </c>
      <c r="BD843" t="s">
        <v>74</v>
      </c>
      <c r="BE843" t="s">
        <v>15695</v>
      </c>
      <c r="BF843" t="str">
        <f>HYPERLINK("http://dx.doi.org/10.1016/j.cryobiol.2012.02.014","http://dx.doi.org/10.1016/j.cryobiol.2012.02.014")</f>
        <v>http://dx.doi.org/10.1016/j.cryobiol.2012.02.014</v>
      </c>
      <c r="BG843" t="s">
        <v>74</v>
      </c>
      <c r="BH843" t="s">
        <v>74</v>
      </c>
      <c r="BI843">
        <v>11</v>
      </c>
      <c r="BJ843" t="s">
        <v>12939</v>
      </c>
      <c r="BK843" t="s">
        <v>98</v>
      </c>
      <c r="BL843" t="s">
        <v>12940</v>
      </c>
      <c r="BM843" t="s">
        <v>15683</v>
      </c>
      <c r="BN843">
        <v>22426061</v>
      </c>
      <c r="BO843" t="s">
        <v>74</v>
      </c>
      <c r="BP843" t="s">
        <v>74</v>
      </c>
      <c r="BQ843" t="s">
        <v>74</v>
      </c>
      <c r="BR843" t="s">
        <v>101</v>
      </c>
      <c r="BS843" t="s">
        <v>15696</v>
      </c>
      <c r="BT843" t="str">
        <f>HYPERLINK("https%3A%2F%2Fwww.webofscience.com%2Fwos%2Fwoscc%2Ffull-record%2FWOS:000305167400021","View Full Record in Web of Science")</f>
        <v>View Full Record in Web of Science</v>
      </c>
    </row>
    <row r="844" spans="1:72" x14ac:dyDescent="0.15">
      <c r="A844" t="s">
        <v>72</v>
      </c>
      <c r="B844" t="s">
        <v>15697</v>
      </c>
      <c r="C844" t="s">
        <v>74</v>
      </c>
      <c r="D844" t="s">
        <v>74</v>
      </c>
      <c r="E844" t="s">
        <v>74</v>
      </c>
      <c r="F844" t="s">
        <v>15698</v>
      </c>
      <c r="G844" t="s">
        <v>74</v>
      </c>
      <c r="H844" t="s">
        <v>74</v>
      </c>
      <c r="I844" t="s">
        <v>15699</v>
      </c>
      <c r="J844" t="s">
        <v>15700</v>
      </c>
      <c r="K844" t="s">
        <v>74</v>
      </c>
      <c r="L844" t="s">
        <v>74</v>
      </c>
      <c r="M844" t="s">
        <v>78</v>
      </c>
      <c r="N844" t="s">
        <v>79</v>
      </c>
      <c r="O844" t="s">
        <v>74</v>
      </c>
      <c r="P844" t="s">
        <v>74</v>
      </c>
      <c r="Q844" t="s">
        <v>74</v>
      </c>
      <c r="R844" t="s">
        <v>74</v>
      </c>
      <c r="S844" t="s">
        <v>74</v>
      </c>
      <c r="T844" t="s">
        <v>74</v>
      </c>
      <c r="U844" t="s">
        <v>15701</v>
      </c>
      <c r="V844" t="s">
        <v>15702</v>
      </c>
      <c r="W844" t="s">
        <v>15703</v>
      </c>
      <c r="X844" t="s">
        <v>15704</v>
      </c>
      <c r="Y844" t="s">
        <v>12472</v>
      </c>
      <c r="Z844" t="s">
        <v>12473</v>
      </c>
      <c r="AA844" t="s">
        <v>15705</v>
      </c>
      <c r="AB844" t="s">
        <v>15706</v>
      </c>
      <c r="AC844" t="s">
        <v>15707</v>
      </c>
      <c r="AD844" t="s">
        <v>15708</v>
      </c>
      <c r="AE844" t="s">
        <v>15709</v>
      </c>
      <c r="AF844" t="s">
        <v>74</v>
      </c>
      <c r="AG844">
        <v>27</v>
      </c>
      <c r="AH844">
        <v>66</v>
      </c>
      <c r="AI844">
        <v>71</v>
      </c>
      <c r="AJ844">
        <v>1</v>
      </c>
      <c r="AK844">
        <v>73</v>
      </c>
      <c r="AL844" t="s">
        <v>898</v>
      </c>
      <c r="AM844" t="s">
        <v>899</v>
      </c>
      <c r="AN844" t="s">
        <v>900</v>
      </c>
      <c r="AO844" t="s">
        <v>15710</v>
      </c>
      <c r="AP844" t="s">
        <v>15711</v>
      </c>
      <c r="AQ844" t="s">
        <v>74</v>
      </c>
      <c r="AR844" t="s">
        <v>15712</v>
      </c>
      <c r="AS844" t="s">
        <v>15713</v>
      </c>
      <c r="AT844" t="s">
        <v>15365</v>
      </c>
      <c r="AU844">
        <v>2012</v>
      </c>
      <c r="AV844">
        <v>10</v>
      </c>
      <c r="AW844">
        <v>5</v>
      </c>
      <c r="AX844" t="s">
        <v>74</v>
      </c>
      <c r="AY844" t="s">
        <v>74</v>
      </c>
      <c r="AZ844" t="s">
        <v>74</v>
      </c>
      <c r="BA844" t="s">
        <v>74</v>
      </c>
      <c r="BB844">
        <v>237</v>
      </c>
      <c r="BC844">
        <v>242</v>
      </c>
      <c r="BD844" t="s">
        <v>74</v>
      </c>
      <c r="BE844" t="s">
        <v>15714</v>
      </c>
      <c r="BF844" t="str">
        <f>HYPERLINK("http://dx.doi.org/10.1890/110194","http://dx.doi.org/10.1890/110194")</f>
        <v>http://dx.doi.org/10.1890/110194</v>
      </c>
      <c r="BG844" t="s">
        <v>74</v>
      </c>
      <c r="BH844" t="s">
        <v>74</v>
      </c>
      <c r="BI844">
        <v>6</v>
      </c>
      <c r="BJ844" t="s">
        <v>4969</v>
      </c>
      <c r="BK844" t="s">
        <v>98</v>
      </c>
      <c r="BL844" t="s">
        <v>333</v>
      </c>
      <c r="BM844" t="s">
        <v>15715</v>
      </c>
      <c r="BN844" t="s">
        <v>74</v>
      </c>
      <c r="BO844" t="s">
        <v>1254</v>
      </c>
      <c r="BP844" t="s">
        <v>74</v>
      </c>
      <c r="BQ844" t="s">
        <v>74</v>
      </c>
      <c r="BR844" t="s">
        <v>101</v>
      </c>
      <c r="BS844" t="s">
        <v>15716</v>
      </c>
      <c r="BT844" t="str">
        <f>HYPERLINK("https%3A%2F%2Fwww.webofscience.com%2Fwos%2Fwoscc%2Ffull-record%2FWOS:000305170600014","View Full Record in Web of Science")</f>
        <v>View Full Record in Web of Science</v>
      </c>
    </row>
    <row r="845" spans="1:72" x14ac:dyDescent="0.15">
      <c r="A845" t="s">
        <v>72</v>
      </c>
      <c r="B845" t="s">
        <v>15717</v>
      </c>
      <c r="C845" t="s">
        <v>74</v>
      </c>
      <c r="D845" t="s">
        <v>74</v>
      </c>
      <c r="E845" t="s">
        <v>74</v>
      </c>
      <c r="F845" t="s">
        <v>15718</v>
      </c>
      <c r="G845" t="s">
        <v>74</v>
      </c>
      <c r="H845" t="s">
        <v>74</v>
      </c>
      <c r="I845" t="s">
        <v>15719</v>
      </c>
      <c r="J845" t="s">
        <v>15720</v>
      </c>
      <c r="K845" t="s">
        <v>74</v>
      </c>
      <c r="L845" t="s">
        <v>74</v>
      </c>
      <c r="M845" t="s">
        <v>78</v>
      </c>
      <c r="N845" t="s">
        <v>79</v>
      </c>
      <c r="O845" t="s">
        <v>74</v>
      </c>
      <c r="P845" t="s">
        <v>74</v>
      </c>
      <c r="Q845" t="s">
        <v>74</v>
      </c>
      <c r="R845" t="s">
        <v>74</v>
      </c>
      <c r="S845" t="s">
        <v>74</v>
      </c>
      <c r="T845" t="s">
        <v>15721</v>
      </c>
      <c r="U845" t="s">
        <v>15722</v>
      </c>
      <c r="V845" t="s">
        <v>15723</v>
      </c>
      <c r="W845" t="s">
        <v>15724</v>
      </c>
      <c r="X845" t="s">
        <v>15725</v>
      </c>
      <c r="Y845" t="s">
        <v>15726</v>
      </c>
      <c r="Z845" t="s">
        <v>9661</v>
      </c>
      <c r="AA845" t="s">
        <v>15727</v>
      </c>
      <c r="AB845" t="s">
        <v>15728</v>
      </c>
      <c r="AC845" t="s">
        <v>15729</v>
      </c>
      <c r="AD845" t="s">
        <v>15730</v>
      </c>
      <c r="AE845" t="s">
        <v>15731</v>
      </c>
      <c r="AF845" t="s">
        <v>74</v>
      </c>
      <c r="AG845">
        <v>36</v>
      </c>
      <c r="AH845">
        <v>15</v>
      </c>
      <c r="AI845">
        <v>16</v>
      </c>
      <c r="AJ845">
        <v>18</v>
      </c>
      <c r="AK845">
        <v>245</v>
      </c>
      <c r="AL845" t="s">
        <v>916</v>
      </c>
      <c r="AM845" t="s">
        <v>899</v>
      </c>
      <c r="AN845" t="s">
        <v>900</v>
      </c>
      <c r="AO845" t="s">
        <v>15732</v>
      </c>
      <c r="AP845" t="s">
        <v>74</v>
      </c>
      <c r="AQ845" t="s">
        <v>74</v>
      </c>
      <c r="AR845" t="s">
        <v>15733</v>
      </c>
      <c r="AS845" t="s">
        <v>15734</v>
      </c>
      <c r="AT845" t="s">
        <v>15365</v>
      </c>
      <c r="AU845">
        <v>2012</v>
      </c>
      <c r="AV845">
        <v>7</v>
      </c>
      <c r="AW845">
        <v>2</v>
      </c>
      <c r="AX845" t="s">
        <v>74</v>
      </c>
      <c r="AY845" t="s">
        <v>74</v>
      </c>
      <c r="AZ845" t="s">
        <v>74</v>
      </c>
      <c r="BA845" t="s">
        <v>74</v>
      </c>
      <c r="BB845">
        <v>113</v>
      </c>
      <c r="BC845">
        <v>120</v>
      </c>
      <c r="BD845" t="s">
        <v>74</v>
      </c>
      <c r="BE845" t="s">
        <v>15735</v>
      </c>
      <c r="BF845" t="str">
        <f>HYPERLINK("http://dx.doi.org/10.1111/j.1749-4877.2012.00288.x","http://dx.doi.org/10.1111/j.1749-4877.2012.00288.x")</f>
        <v>http://dx.doi.org/10.1111/j.1749-4877.2012.00288.x</v>
      </c>
      <c r="BG845" t="s">
        <v>74</v>
      </c>
      <c r="BH845" t="s">
        <v>74</v>
      </c>
      <c r="BI845">
        <v>8</v>
      </c>
      <c r="BJ845" t="s">
        <v>675</v>
      </c>
      <c r="BK845" t="s">
        <v>98</v>
      </c>
      <c r="BL845" t="s">
        <v>675</v>
      </c>
      <c r="BM845" t="s">
        <v>15736</v>
      </c>
      <c r="BN845">
        <v>22691195</v>
      </c>
      <c r="BO845" t="s">
        <v>74</v>
      </c>
      <c r="BP845" t="s">
        <v>74</v>
      </c>
      <c r="BQ845" t="s">
        <v>74</v>
      </c>
      <c r="BR845" t="s">
        <v>101</v>
      </c>
      <c r="BS845" t="s">
        <v>15737</v>
      </c>
      <c r="BT845" t="str">
        <f>HYPERLINK("https%3A%2F%2Fwww.webofscience.com%2Fwos%2Fwoscc%2Ffull-record%2FWOS:000305184600002","View Full Record in Web of Science")</f>
        <v>View Full Record in Web of Science</v>
      </c>
    </row>
    <row r="846" spans="1:72" x14ac:dyDescent="0.15">
      <c r="A846" t="s">
        <v>72</v>
      </c>
      <c r="B846" t="s">
        <v>15738</v>
      </c>
      <c r="C846" t="s">
        <v>74</v>
      </c>
      <c r="D846" t="s">
        <v>74</v>
      </c>
      <c r="E846" t="s">
        <v>74</v>
      </c>
      <c r="F846" t="s">
        <v>15739</v>
      </c>
      <c r="G846" t="s">
        <v>74</v>
      </c>
      <c r="H846" t="s">
        <v>74</v>
      </c>
      <c r="I846" t="s">
        <v>15740</v>
      </c>
      <c r="J846" t="s">
        <v>1634</v>
      </c>
      <c r="K846" t="s">
        <v>74</v>
      </c>
      <c r="L846" t="s">
        <v>74</v>
      </c>
      <c r="M846" t="s">
        <v>78</v>
      </c>
      <c r="N846" t="s">
        <v>79</v>
      </c>
      <c r="O846" t="s">
        <v>74</v>
      </c>
      <c r="P846" t="s">
        <v>74</v>
      </c>
      <c r="Q846" t="s">
        <v>74</v>
      </c>
      <c r="R846" t="s">
        <v>74</v>
      </c>
      <c r="S846" t="s">
        <v>74</v>
      </c>
      <c r="T846" t="s">
        <v>74</v>
      </c>
      <c r="U846" t="s">
        <v>15741</v>
      </c>
      <c r="V846" t="s">
        <v>15742</v>
      </c>
      <c r="W846" t="s">
        <v>15743</v>
      </c>
      <c r="X846" t="s">
        <v>15744</v>
      </c>
      <c r="Y846" t="s">
        <v>15745</v>
      </c>
      <c r="Z846" t="s">
        <v>15746</v>
      </c>
      <c r="AA846" t="s">
        <v>15747</v>
      </c>
      <c r="AB846" t="s">
        <v>15748</v>
      </c>
      <c r="AC846" t="s">
        <v>15749</v>
      </c>
      <c r="AD846" t="s">
        <v>15750</v>
      </c>
      <c r="AE846" t="s">
        <v>15751</v>
      </c>
      <c r="AF846" t="s">
        <v>74</v>
      </c>
      <c r="AG846">
        <v>9</v>
      </c>
      <c r="AH846">
        <v>3</v>
      </c>
      <c r="AI846">
        <v>3</v>
      </c>
      <c r="AJ846">
        <v>0</v>
      </c>
      <c r="AK846">
        <v>10</v>
      </c>
      <c r="AL846" t="s">
        <v>1646</v>
      </c>
      <c r="AM846" t="s">
        <v>119</v>
      </c>
      <c r="AN846" t="s">
        <v>1647</v>
      </c>
      <c r="AO846" t="s">
        <v>1648</v>
      </c>
      <c r="AP846" t="s">
        <v>1649</v>
      </c>
      <c r="AQ846" t="s">
        <v>74</v>
      </c>
      <c r="AR846" t="s">
        <v>1650</v>
      </c>
      <c r="AS846" t="s">
        <v>1651</v>
      </c>
      <c r="AT846" t="s">
        <v>15365</v>
      </c>
      <c r="AU846">
        <v>2012</v>
      </c>
      <c r="AV846">
        <v>194</v>
      </c>
      <c r="AW846">
        <v>12</v>
      </c>
      <c r="AX846" t="s">
        <v>74</v>
      </c>
      <c r="AY846" t="s">
        <v>74</v>
      </c>
      <c r="AZ846" t="s">
        <v>74</v>
      </c>
      <c r="BA846" t="s">
        <v>74</v>
      </c>
      <c r="BB846">
        <v>3267</v>
      </c>
      <c r="BC846">
        <v>3267</v>
      </c>
      <c r="BD846" t="s">
        <v>74</v>
      </c>
      <c r="BE846" t="s">
        <v>15752</v>
      </c>
      <c r="BF846" t="str">
        <f>HYPERLINK("http://dx.doi.org/10.1128/JB.00463-12","http://dx.doi.org/10.1128/JB.00463-12")</f>
        <v>http://dx.doi.org/10.1128/JB.00463-12</v>
      </c>
      <c r="BG846" t="s">
        <v>74</v>
      </c>
      <c r="BH846" t="s">
        <v>74</v>
      </c>
      <c r="BI846">
        <v>1</v>
      </c>
      <c r="BJ846" t="s">
        <v>775</v>
      </c>
      <c r="BK846" t="s">
        <v>98</v>
      </c>
      <c r="BL846" t="s">
        <v>775</v>
      </c>
      <c r="BM846" t="s">
        <v>15753</v>
      </c>
      <c r="BN846">
        <v>22628500</v>
      </c>
      <c r="BO846" t="s">
        <v>1654</v>
      </c>
      <c r="BP846" t="s">
        <v>74</v>
      </c>
      <c r="BQ846" t="s">
        <v>74</v>
      </c>
      <c r="BR846" t="s">
        <v>101</v>
      </c>
      <c r="BS846" t="s">
        <v>15754</v>
      </c>
      <c r="BT846" t="str">
        <f>HYPERLINK("https%3A%2F%2Fwww.webofscience.com%2Fwos%2Fwoscc%2Ffull-record%2FWOS:000304978400029","View Full Record in Web of Science")</f>
        <v>View Full Record in Web of Science</v>
      </c>
    </row>
    <row r="847" spans="1:72" x14ac:dyDescent="0.15">
      <c r="A847" t="s">
        <v>72</v>
      </c>
      <c r="B847" t="s">
        <v>15755</v>
      </c>
      <c r="C847" t="s">
        <v>74</v>
      </c>
      <c r="D847" t="s">
        <v>74</v>
      </c>
      <c r="E847" t="s">
        <v>74</v>
      </c>
      <c r="F847" t="s">
        <v>15756</v>
      </c>
      <c r="G847" t="s">
        <v>74</v>
      </c>
      <c r="H847" t="s">
        <v>74</v>
      </c>
      <c r="I847" t="s">
        <v>15757</v>
      </c>
      <c r="J847" t="s">
        <v>10648</v>
      </c>
      <c r="K847" t="s">
        <v>74</v>
      </c>
      <c r="L847" t="s">
        <v>74</v>
      </c>
      <c r="M847" t="s">
        <v>78</v>
      </c>
      <c r="N847" t="s">
        <v>79</v>
      </c>
      <c r="O847" t="s">
        <v>74</v>
      </c>
      <c r="P847" t="s">
        <v>74</v>
      </c>
      <c r="Q847" t="s">
        <v>74</v>
      </c>
      <c r="R847" t="s">
        <v>74</v>
      </c>
      <c r="S847" t="s">
        <v>74</v>
      </c>
      <c r="T847" t="s">
        <v>15758</v>
      </c>
      <c r="U847" t="s">
        <v>15759</v>
      </c>
      <c r="V847" t="s">
        <v>15760</v>
      </c>
      <c r="W847" t="s">
        <v>15761</v>
      </c>
      <c r="X847" t="s">
        <v>15762</v>
      </c>
      <c r="Y847" t="s">
        <v>15763</v>
      </c>
      <c r="Z847" t="s">
        <v>15764</v>
      </c>
      <c r="AA847" t="s">
        <v>15765</v>
      </c>
      <c r="AB847" t="s">
        <v>15766</v>
      </c>
      <c r="AC847" t="s">
        <v>15767</v>
      </c>
      <c r="AD847" t="s">
        <v>15768</v>
      </c>
      <c r="AE847" t="s">
        <v>15769</v>
      </c>
      <c r="AF847" t="s">
        <v>74</v>
      </c>
      <c r="AG847">
        <v>52</v>
      </c>
      <c r="AH847">
        <v>10</v>
      </c>
      <c r="AI847">
        <v>10</v>
      </c>
      <c r="AJ847">
        <v>0</v>
      </c>
      <c r="AK847">
        <v>50</v>
      </c>
      <c r="AL847" t="s">
        <v>916</v>
      </c>
      <c r="AM847" t="s">
        <v>899</v>
      </c>
      <c r="AN847" t="s">
        <v>900</v>
      </c>
      <c r="AO847" t="s">
        <v>10653</v>
      </c>
      <c r="AP847" t="s">
        <v>74</v>
      </c>
      <c r="AQ847" t="s">
        <v>74</v>
      </c>
      <c r="AR847" t="s">
        <v>10654</v>
      </c>
      <c r="AS847" t="s">
        <v>10655</v>
      </c>
      <c r="AT847" t="s">
        <v>15365</v>
      </c>
      <c r="AU847">
        <v>2012</v>
      </c>
      <c r="AV847">
        <v>48</v>
      </c>
      <c r="AW847">
        <v>3</v>
      </c>
      <c r="AX847" t="s">
        <v>74</v>
      </c>
      <c r="AY847" t="s">
        <v>74</v>
      </c>
      <c r="AZ847" t="s">
        <v>74</v>
      </c>
      <c r="BA847" t="s">
        <v>74</v>
      </c>
      <c r="BB847">
        <v>585</v>
      </c>
      <c r="BC847">
        <v>594</v>
      </c>
      <c r="BD847" t="s">
        <v>74</v>
      </c>
      <c r="BE847" t="s">
        <v>15770</v>
      </c>
      <c r="BF847" t="str">
        <f>HYPERLINK("http://dx.doi.org/10.1111/j.1529-8817.2012.01153.x","http://dx.doi.org/10.1111/j.1529-8817.2012.01153.x")</f>
        <v>http://dx.doi.org/10.1111/j.1529-8817.2012.01153.x</v>
      </c>
      <c r="BG847" t="s">
        <v>74</v>
      </c>
      <c r="BH847" t="s">
        <v>74</v>
      </c>
      <c r="BI847">
        <v>10</v>
      </c>
      <c r="BJ847" t="s">
        <v>10657</v>
      </c>
      <c r="BK847" t="s">
        <v>98</v>
      </c>
      <c r="BL847" t="s">
        <v>10657</v>
      </c>
      <c r="BM847" t="s">
        <v>15771</v>
      </c>
      <c r="BN847">
        <v>27011074</v>
      </c>
      <c r="BO847" t="s">
        <v>74</v>
      </c>
      <c r="BP847" t="s">
        <v>74</v>
      </c>
      <c r="BQ847" t="s">
        <v>74</v>
      </c>
      <c r="BR847" t="s">
        <v>101</v>
      </c>
      <c r="BS847" t="s">
        <v>15772</v>
      </c>
      <c r="BT847" t="str">
        <f>HYPERLINK("https%3A%2F%2Fwww.webofscience.com%2Fwos%2Fwoscc%2Ffull-record%2FWOS:000304810200010","View Full Record in Web of Science")</f>
        <v>View Full Record in Web of Science</v>
      </c>
    </row>
    <row r="848" spans="1:72" x14ac:dyDescent="0.15">
      <c r="A848" t="s">
        <v>72</v>
      </c>
      <c r="B848" t="s">
        <v>15773</v>
      </c>
      <c r="C848" t="s">
        <v>74</v>
      </c>
      <c r="D848" t="s">
        <v>74</v>
      </c>
      <c r="E848" t="s">
        <v>74</v>
      </c>
      <c r="F848" t="s">
        <v>15774</v>
      </c>
      <c r="G848" t="s">
        <v>74</v>
      </c>
      <c r="H848" t="s">
        <v>74</v>
      </c>
      <c r="I848" t="s">
        <v>15775</v>
      </c>
      <c r="J848" t="s">
        <v>15776</v>
      </c>
      <c r="K848" t="s">
        <v>74</v>
      </c>
      <c r="L848" t="s">
        <v>74</v>
      </c>
      <c r="M848" t="s">
        <v>78</v>
      </c>
      <c r="N848" t="s">
        <v>974</v>
      </c>
      <c r="O848" t="s">
        <v>74</v>
      </c>
      <c r="P848" t="s">
        <v>74</v>
      </c>
      <c r="Q848" t="s">
        <v>74</v>
      </c>
      <c r="R848" t="s">
        <v>74</v>
      </c>
      <c r="S848" t="s">
        <v>74</v>
      </c>
      <c r="T848" t="s">
        <v>15777</v>
      </c>
      <c r="U848" t="s">
        <v>15778</v>
      </c>
      <c r="V848" t="s">
        <v>15779</v>
      </c>
      <c r="W848" t="s">
        <v>15780</v>
      </c>
      <c r="X848" t="s">
        <v>15781</v>
      </c>
      <c r="Y848" t="s">
        <v>15782</v>
      </c>
      <c r="Z848" t="s">
        <v>15783</v>
      </c>
      <c r="AA848" t="s">
        <v>15784</v>
      </c>
      <c r="AB848" t="s">
        <v>15785</v>
      </c>
      <c r="AC848" t="s">
        <v>15786</v>
      </c>
      <c r="AD848" t="s">
        <v>15786</v>
      </c>
      <c r="AE848" t="s">
        <v>15787</v>
      </c>
      <c r="AF848" t="s">
        <v>74</v>
      </c>
      <c r="AG848">
        <v>73</v>
      </c>
      <c r="AH848">
        <v>16</v>
      </c>
      <c r="AI848">
        <v>17</v>
      </c>
      <c r="AJ848">
        <v>11</v>
      </c>
      <c r="AK848">
        <v>100</v>
      </c>
      <c r="AL848" t="s">
        <v>259</v>
      </c>
      <c r="AM848" t="s">
        <v>189</v>
      </c>
      <c r="AN848" t="s">
        <v>260</v>
      </c>
      <c r="AO848" t="s">
        <v>15788</v>
      </c>
      <c r="AP848" t="s">
        <v>74</v>
      </c>
      <c r="AQ848" t="s">
        <v>74</v>
      </c>
      <c r="AR848" t="s">
        <v>15789</v>
      </c>
      <c r="AS848" t="s">
        <v>15790</v>
      </c>
      <c r="AT848" t="s">
        <v>15365</v>
      </c>
      <c r="AU848">
        <v>2012</v>
      </c>
      <c r="AV848">
        <v>6</v>
      </c>
      <c r="AW848" t="s">
        <v>74</v>
      </c>
      <c r="AX848" t="s">
        <v>74</v>
      </c>
      <c r="AY848" t="s">
        <v>74</v>
      </c>
      <c r="AZ848" t="s">
        <v>74</v>
      </c>
      <c r="BA848" t="s">
        <v>74</v>
      </c>
      <c r="BB848">
        <v>1</v>
      </c>
      <c r="BC848">
        <v>6</v>
      </c>
      <c r="BD848" t="s">
        <v>74</v>
      </c>
      <c r="BE848" t="s">
        <v>15791</v>
      </c>
      <c r="BF848" t="str">
        <f>HYPERLINK("http://dx.doi.org/10.1016/j.margen.2011.09.003","http://dx.doi.org/10.1016/j.margen.2011.09.003")</f>
        <v>http://dx.doi.org/10.1016/j.margen.2011.09.003</v>
      </c>
      <c r="BG848" t="s">
        <v>74</v>
      </c>
      <c r="BH848" t="s">
        <v>74</v>
      </c>
      <c r="BI848">
        <v>6</v>
      </c>
      <c r="BJ848" t="s">
        <v>15792</v>
      </c>
      <c r="BK848" t="s">
        <v>98</v>
      </c>
      <c r="BL848" t="s">
        <v>15792</v>
      </c>
      <c r="BM848" t="s">
        <v>15793</v>
      </c>
      <c r="BN848">
        <v>22578653</v>
      </c>
      <c r="BO848" t="s">
        <v>74</v>
      </c>
      <c r="BP848" t="s">
        <v>74</v>
      </c>
      <c r="BQ848" t="s">
        <v>74</v>
      </c>
      <c r="BR848" t="s">
        <v>101</v>
      </c>
      <c r="BS848" t="s">
        <v>15794</v>
      </c>
      <c r="BT848" t="str">
        <f>HYPERLINK("https%3A%2F%2Fwww.webofscience.com%2Fwos%2Fwoscc%2Ffull-record%2FWOS:000304847500001","View Full Record in Web of Science")</f>
        <v>View Full Record in Web of Science</v>
      </c>
    </row>
    <row r="849" spans="1:72" x14ac:dyDescent="0.15">
      <c r="A849" t="s">
        <v>72</v>
      </c>
      <c r="B849" t="s">
        <v>15795</v>
      </c>
      <c r="C849" t="s">
        <v>74</v>
      </c>
      <c r="D849" t="s">
        <v>74</v>
      </c>
      <c r="E849" t="s">
        <v>74</v>
      </c>
      <c r="F849" t="s">
        <v>15796</v>
      </c>
      <c r="G849" t="s">
        <v>74</v>
      </c>
      <c r="H849" t="s">
        <v>74</v>
      </c>
      <c r="I849" t="s">
        <v>15797</v>
      </c>
      <c r="J849" t="s">
        <v>8094</v>
      </c>
      <c r="K849" t="s">
        <v>74</v>
      </c>
      <c r="L849" t="s">
        <v>74</v>
      </c>
      <c r="M849" t="s">
        <v>78</v>
      </c>
      <c r="N849" t="s">
        <v>79</v>
      </c>
      <c r="O849" t="s">
        <v>74</v>
      </c>
      <c r="P849" t="s">
        <v>74</v>
      </c>
      <c r="Q849" t="s">
        <v>74</v>
      </c>
      <c r="R849" t="s">
        <v>74</v>
      </c>
      <c r="S849" t="s">
        <v>74</v>
      </c>
      <c r="T849" t="s">
        <v>15798</v>
      </c>
      <c r="U849" t="s">
        <v>74</v>
      </c>
      <c r="V849" t="s">
        <v>15799</v>
      </c>
      <c r="W849" t="s">
        <v>15800</v>
      </c>
      <c r="X849" t="s">
        <v>15801</v>
      </c>
      <c r="Y849" t="s">
        <v>15802</v>
      </c>
      <c r="Z849" t="s">
        <v>1170</v>
      </c>
      <c r="AA849" t="s">
        <v>74</v>
      </c>
      <c r="AB849" t="s">
        <v>74</v>
      </c>
      <c r="AC849" t="s">
        <v>15803</v>
      </c>
      <c r="AD849" t="s">
        <v>15804</v>
      </c>
      <c r="AE849" t="s">
        <v>15805</v>
      </c>
      <c r="AF849" t="s">
        <v>74</v>
      </c>
      <c r="AG849">
        <v>27</v>
      </c>
      <c r="AH849">
        <v>0</v>
      </c>
      <c r="AI849">
        <v>0</v>
      </c>
      <c r="AJ849">
        <v>0</v>
      </c>
      <c r="AK849">
        <v>4</v>
      </c>
      <c r="AL849" t="s">
        <v>370</v>
      </c>
      <c r="AM849" t="s">
        <v>371</v>
      </c>
      <c r="AN849" t="s">
        <v>8106</v>
      </c>
      <c r="AO849" t="s">
        <v>8107</v>
      </c>
      <c r="AP849" t="s">
        <v>74</v>
      </c>
      <c r="AQ849" t="s">
        <v>74</v>
      </c>
      <c r="AR849" t="s">
        <v>8109</v>
      </c>
      <c r="AS849" t="s">
        <v>8110</v>
      </c>
      <c r="AT849" t="s">
        <v>15806</v>
      </c>
      <c r="AU849">
        <v>2012</v>
      </c>
      <c r="AV849">
        <v>23</v>
      </c>
      <c r="AW849">
        <v>2</v>
      </c>
      <c r="AX849" t="s">
        <v>74</v>
      </c>
      <c r="AY849" t="s">
        <v>74</v>
      </c>
      <c r="AZ849" t="s">
        <v>74</v>
      </c>
      <c r="BA849" t="s">
        <v>74</v>
      </c>
      <c r="BB849">
        <v>170</v>
      </c>
      <c r="BC849">
        <v>174</v>
      </c>
      <c r="BD849" t="s">
        <v>74</v>
      </c>
      <c r="BE849" t="s">
        <v>15807</v>
      </c>
      <c r="BF849" t="str">
        <f>HYPERLINK("http://dx.doi.org/10.1016/j.wem.2012.02.011","http://dx.doi.org/10.1016/j.wem.2012.02.011")</f>
        <v>http://dx.doi.org/10.1016/j.wem.2012.02.011</v>
      </c>
      <c r="BG849" t="s">
        <v>74</v>
      </c>
      <c r="BH849" t="s">
        <v>74</v>
      </c>
      <c r="BI849">
        <v>5</v>
      </c>
      <c r="BJ849" t="s">
        <v>8112</v>
      </c>
      <c r="BK849" t="s">
        <v>98</v>
      </c>
      <c r="BL849" t="s">
        <v>8112</v>
      </c>
      <c r="BM849" t="s">
        <v>15808</v>
      </c>
      <c r="BN849">
        <v>22656665</v>
      </c>
      <c r="BO849" t="s">
        <v>607</v>
      </c>
      <c r="BP849" t="s">
        <v>74</v>
      </c>
      <c r="BQ849" t="s">
        <v>74</v>
      </c>
      <c r="BR849" t="s">
        <v>101</v>
      </c>
      <c r="BS849" t="s">
        <v>15809</v>
      </c>
      <c r="BT849" t="str">
        <f>HYPERLINK("https%3A%2F%2Fwww.webofscience.com%2Fwos%2Fwoscc%2Ffull-record%2FWOS:000305098100015","View Full Record in Web of Science")</f>
        <v>View Full Record in Web of Science</v>
      </c>
    </row>
    <row r="850" spans="1:72" x14ac:dyDescent="0.15">
      <c r="A850" t="s">
        <v>72</v>
      </c>
      <c r="B850" t="s">
        <v>15810</v>
      </c>
      <c r="C850" t="s">
        <v>74</v>
      </c>
      <c r="D850" t="s">
        <v>74</v>
      </c>
      <c r="E850" t="s">
        <v>74</v>
      </c>
      <c r="F850" t="s">
        <v>15811</v>
      </c>
      <c r="G850" t="s">
        <v>74</v>
      </c>
      <c r="H850" t="s">
        <v>74</v>
      </c>
      <c r="I850" t="s">
        <v>15812</v>
      </c>
      <c r="J850" t="s">
        <v>1709</v>
      </c>
      <c r="K850" t="s">
        <v>74</v>
      </c>
      <c r="L850" t="s">
        <v>74</v>
      </c>
      <c r="M850" t="s">
        <v>78</v>
      </c>
      <c r="N850" t="s">
        <v>79</v>
      </c>
      <c r="O850" t="s">
        <v>74</v>
      </c>
      <c r="P850" t="s">
        <v>74</v>
      </c>
      <c r="Q850" t="s">
        <v>74</v>
      </c>
      <c r="R850" t="s">
        <v>74</v>
      </c>
      <c r="S850" t="s">
        <v>74</v>
      </c>
      <c r="T850" t="s">
        <v>74</v>
      </c>
      <c r="U850" t="s">
        <v>15813</v>
      </c>
      <c r="V850" t="s">
        <v>15814</v>
      </c>
      <c r="W850" t="s">
        <v>15815</v>
      </c>
      <c r="X850" t="s">
        <v>15816</v>
      </c>
      <c r="Y850" t="s">
        <v>7256</v>
      </c>
      <c r="Z850" t="s">
        <v>7257</v>
      </c>
      <c r="AA850" t="s">
        <v>15817</v>
      </c>
      <c r="AB850" t="s">
        <v>15818</v>
      </c>
      <c r="AC850" t="s">
        <v>15819</v>
      </c>
      <c r="AD850" t="s">
        <v>15820</v>
      </c>
      <c r="AE850" t="s">
        <v>15821</v>
      </c>
      <c r="AF850" t="s">
        <v>74</v>
      </c>
      <c r="AG850">
        <v>24</v>
      </c>
      <c r="AH850">
        <v>12</v>
      </c>
      <c r="AI850">
        <v>14</v>
      </c>
      <c r="AJ850">
        <v>2</v>
      </c>
      <c r="AK850">
        <v>25</v>
      </c>
      <c r="AL850" t="s">
        <v>935</v>
      </c>
      <c r="AM850" t="s">
        <v>371</v>
      </c>
      <c r="AN850" t="s">
        <v>1873</v>
      </c>
      <c r="AO850" t="s">
        <v>1722</v>
      </c>
      <c r="AP850" t="s">
        <v>1723</v>
      </c>
      <c r="AQ850" t="s">
        <v>74</v>
      </c>
      <c r="AR850" t="s">
        <v>1724</v>
      </c>
      <c r="AS850" t="s">
        <v>1725</v>
      </c>
      <c r="AT850" t="s">
        <v>15365</v>
      </c>
      <c r="AU850">
        <v>2012</v>
      </c>
      <c r="AV850">
        <v>38</v>
      </c>
      <c r="AW850" t="s">
        <v>868</v>
      </c>
      <c r="AX850" t="s">
        <v>74</v>
      </c>
      <c r="AY850" t="s">
        <v>74</v>
      </c>
      <c r="AZ850" t="s">
        <v>74</v>
      </c>
      <c r="BA850" t="s">
        <v>74</v>
      </c>
      <c r="BB850">
        <v>2355</v>
      </c>
      <c r="BC850">
        <v>2363</v>
      </c>
      <c r="BD850" t="s">
        <v>74</v>
      </c>
      <c r="BE850" t="s">
        <v>15822</v>
      </c>
      <c r="BF850" t="str">
        <f>HYPERLINK("http://dx.doi.org/10.1007/s00382-011-1143-9","http://dx.doi.org/10.1007/s00382-011-1143-9")</f>
        <v>http://dx.doi.org/10.1007/s00382-011-1143-9</v>
      </c>
      <c r="BG850" t="s">
        <v>74</v>
      </c>
      <c r="BH850" t="s">
        <v>74</v>
      </c>
      <c r="BI850">
        <v>9</v>
      </c>
      <c r="BJ850" t="s">
        <v>378</v>
      </c>
      <c r="BK850" t="s">
        <v>98</v>
      </c>
      <c r="BL850" t="s">
        <v>378</v>
      </c>
      <c r="BM850" t="s">
        <v>15823</v>
      </c>
      <c r="BN850" t="s">
        <v>74</v>
      </c>
      <c r="BO850" t="s">
        <v>74</v>
      </c>
      <c r="BP850" t="s">
        <v>74</v>
      </c>
      <c r="BQ850" t="s">
        <v>74</v>
      </c>
      <c r="BR850" t="s">
        <v>101</v>
      </c>
      <c r="BS850" t="s">
        <v>15824</v>
      </c>
      <c r="BT850" t="str">
        <f>HYPERLINK("https%3A%2F%2Fwww.webofscience.com%2Fwos%2Fwoscc%2Ffull-record%2FWOS:000304696300014","View Full Record in Web of Science")</f>
        <v>View Full Record in Web of Science</v>
      </c>
    </row>
    <row r="851" spans="1:72" x14ac:dyDescent="0.15">
      <c r="A851" t="s">
        <v>72</v>
      </c>
      <c r="B851" t="s">
        <v>15825</v>
      </c>
      <c r="C851" t="s">
        <v>74</v>
      </c>
      <c r="D851" t="s">
        <v>74</v>
      </c>
      <c r="E851" t="s">
        <v>74</v>
      </c>
      <c r="F851" t="s">
        <v>15826</v>
      </c>
      <c r="G851" t="s">
        <v>74</v>
      </c>
      <c r="H851" t="s">
        <v>74</v>
      </c>
      <c r="I851" t="s">
        <v>15827</v>
      </c>
      <c r="J851" t="s">
        <v>5900</v>
      </c>
      <c r="K851" t="s">
        <v>74</v>
      </c>
      <c r="L851" t="s">
        <v>74</v>
      </c>
      <c r="M851" t="s">
        <v>78</v>
      </c>
      <c r="N851" t="s">
        <v>79</v>
      </c>
      <c r="O851" t="s">
        <v>74</v>
      </c>
      <c r="P851" t="s">
        <v>74</v>
      </c>
      <c r="Q851" t="s">
        <v>74</v>
      </c>
      <c r="R851" t="s">
        <v>74</v>
      </c>
      <c r="S851" t="s">
        <v>74</v>
      </c>
      <c r="T851" t="s">
        <v>74</v>
      </c>
      <c r="U851" t="s">
        <v>15828</v>
      </c>
      <c r="V851" t="s">
        <v>15829</v>
      </c>
      <c r="W851" t="s">
        <v>15830</v>
      </c>
      <c r="X851" t="s">
        <v>15831</v>
      </c>
      <c r="Y851" t="s">
        <v>15832</v>
      </c>
      <c r="Z851" t="s">
        <v>15833</v>
      </c>
      <c r="AA851" t="s">
        <v>15834</v>
      </c>
      <c r="AB851" t="s">
        <v>15835</v>
      </c>
      <c r="AC851" t="s">
        <v>15836</v>
      </c>
      <c r="AD851" t="s">
        <v>15837</v>
      </c>
      <c r="AE851" t="s">
        <v>15838</v>
      </c>
      <c r="AF851" t="s">
        <v>74</v>
      </c>
      <c r="AG851">
        <v>55</v>
      </c>
      <c r="AH851">
        <v>35</v>
      </c>
      <c r="AI851">
        <v>40</v>
      </c>
      <c r="AJ851">
        <v>0</v>
      </c>
      <c r="AK851">
        <v>9</v>
      </c>
      <c r="AL851" t="s">
        <v>1429</v>
      </c>
      <c r="AM851" t="s">
        <v>1430</v>
      </c>
      <c r="AN851" t="s">
        <v>3557</v>
      </c>
      <c r="AO851" t="s">
        <v>5911</v>
      </c>
      <c r="AP851" t="s">
        <v>5912</v>
      </c>
      <c r="AQ851" t="s">
        <v>74</v>
      </c>
      <c r="AR851" t="s">
        <v>5913</v>
      </c>
      <c r="AS851" t="s">
        <v>5914</v>
      </c>
      <c r="AT851" t="s">
        <v>15365</v>
      </c>
      <c r="AU851">
        <v>2012</v>
      </c>
      <c r="AV851">
        <v>69</v>
      </c>
      <c r="AW851">
        <v>6</v>
      </c>
      <c r="AX851" t="s">
        <v>74</v>
      </c>
      <c r="AY851" t="s">
        <v>74</v>
      </c>
      <c r="AZ851" t="s">
        <v>74</v>
      </c>
      <c r="BA851" t="s">
        <v>74</v>
      </c>
      <c r="BB851">
        <v>2061</v>
      </c>
      <c r="BC851">
        <v>2082</v>
      </c>
      <c r="BD851" t="s">
        <v>74</v>
      </c>
      <c r="BE851" t="s">
        <v>15839</v>
      </c>
      <c r="BF851" t="str">
        <f>HYPERLINK("http://dx.doi.org/10.1175/JAS-D-11-0212.1","http://dx.doi.org/10.1175/JAS-D-11-0212.1")</f>
        <v>http://dx.doi.org/10.1175/JAS-D-11-0212.1</v>
      </c>
      <c r="BG851" t="s">
        <v>74</v>
      </c>
      <c r="BH851" t="s">
        <v>74</v>
      </c>
      <c r="BI851">
        <v>22</v>
      </c>
      <c r="BJ851" t="s">
        <v>378</v>
      </c>
      <c r="BK851" t="s">
        <v>98</v>
      </c>
      <c r="BL851" t="s">
        <v>378</v>
      </c>
      <c r="BM851" t="s">
        <v>15840</v>
      </c>
      <c r="BN851" t="s">
        <v>74</v>
      </c>
      <c r="BO851" t="s">
        <v>380</v>
      </c>
      <c r="BP851" t="s">
        <v>74</v>
      </c>
      <c r="BQ851" t="s">
        <v>74</v>
      </c>
      <c r="BR851" t="s">
        <v>101</v>
      </c>
      <c r="BS851" t="s">
        <v>15841</v>
      </c>
      <c r="BT851" t="str">
        <f>HYPERLINK("https%3A%2F%2Fwww.webofscience.com%2Fwos%2Fwoscc%2Ffull-record%2FWOS:000304736500019","View Full Record in Web of Science")</f>
        <v>View Full Record in Web of Science</v>
      </c>
    </row>
    <row r="852" spans="1:72" x14ac:dyDescent="0.15">
      <c r="A852" t="s">
        <v>72</v>
      </c>
      <c r="B852" t="s">
        <v>15842</v>
      </c>
      <c r="C852" t="s">
        <v>74</v>
      </c>
      <c r="D852" t="s">
        <v>74</v>
      </c>
      <c r="E852" t="s">
        <v>74</v>
      </c>
      <c r="F852" t="s">
        <v>15843</v>
      </c>
      <c r="G852" t="s">
        <v>74</v>
      </c>
      <c r="H852" t="s">
        <v>74</v>
      </c>
      <c r="I852" t="s">
        <v>15844</v>
      </c>
      <c r="J852" t="s">
        <v>15845</v>
      </c>
      <c r="K852" t="s">
        <v>74</v>
      </c>
      <c r="L852" t="s">
        <v>74</v>
      </c>
      <c r="M852" t="s">
        <v>78</v>
      </c>
      <c r="N852" t="s">
        <v>974</v>
      </c>
      <c r="O852" t="s">
        <v>74</v>
      </c>
      <c r="P852" t="s">
        <v>74</v>
      </c>
      <c r="Q852" t="s">
        <v>74</v>
      </c>
      <c r="R852" t="s">
        <v>74</v>
      </c>
      <c r="S852" t="s">
        <v>74</v>
      </c>
      <c r="T852" t="s">
        <v>15846</v>
      </c>
      <c r="U852" t="s">
        <v>15847</v>
      </c>
      <c r="V852" t="s">
        <v>15848</v>
      </c>
      <c r="W852" t="s">
        <v>15849</v>
      </c>
      <c r="X852" t="s">
        <v>14483</v>
      </c>
      <c r="Y852" t="s">
        <v>15850</v>
      </c>
      <c r="Z852" t="s">
        <v>12149</v>
      </c>
      <c r="AA852" t="s">
        <v>74</v>
      </c>
      <c r="AB852" t="s">
        <v>74</v>
      </c>
      <c r="AC852" t="s">
        <v>74</v>
      </c>
      <c r="AD852" t="s">
        <v>74</v>
      </c>
      <c r="AE852" t="s">
        <v>74</v>
      </c>
      <c r="AF852" t="s">
        <v>74</v>
      </c>
      <c r="AG852">
        <v>51</v>
      </c>
      <c r="AH852">
        <v>23</v>
      </c>
      <c r="AI852">
        <v>23</v>
      </c>
      <c r="AJ852">
        <v>0</v>
      </c>
      <c r="AK852">
        <v>13</v>
      </c>
      <c r="AL852" t="s">
        <v>1245</v>
      </c>
      <c r="AM852" t="s">
        <v>1246</v>
      </c>
      <c r="AN852" t="s">
        <v>15851</v>
      </c>
      <c r="AO852" t="s">
        <v>15852</v>
      </c>
      <c r="AP852" t="s">
        <v>15853</v>
      </c>
      <c r="AQ852" t="s">
        <v>74</v>
      </c>
      <c r="AR852" t="s">
        <v>15854</v>
      </c>
      <c r="AS852" t="s">
        <v>15855</v>
      </c>
      <c r="AT852" t="s">
        <v>15365</v>
      </c>
      <c r="AU852">
        <v>2012</v>
      </c>
      <c r="AV852">
        <v>46</v>
      </c>
      <c r="AW852">
        <v>2</v>
      </c>
      <c r="AX852" t="s">
        <v>74</v>
      </c>
      <c r="AY852" t="s">
        <v>74</v>
      </c>
      <c r="AZ852" t="s">
        <v>74</v>
      </c>
      <c r="BA852" t="s">
        <v>74</v>
      </c>
      <c r="BB852">
        <v>279</v>
      </c>
      <c r="BC852">
        <v>284</v>
      </c>
      <c r="BD852" t="s">
        <v>74</v>
      </c>
      <c r="BE852" t="s">
        <v>15856</v>
      </c>
      <c r="BF852" t="str">
        <f>HYPERLINK("http://dx.doi.org/10.1080/00288330.2011.621130","http://dx.doi.org/10.1080/00288330.2011.621130")</f>
        <v>http://dx.doi.org/10.1080/00288330.2011.621130</v>
      </c>
      <c r="BG852" t="s">
        <v>74</v>
      </c>
      <c r="BH852" t="s">
        <v>74</v>
      </c>
      <c r="BI852">
        <v>6</v>
      </c>
      <c r="BJ852" t="s">
        <v>7844</v>
      </c>
      <c r="BK852" t="s">
        <v>98</v>
      </c>
      <c r="BL852" t="s">
        <v>7844</v>
      </c>
      <c r="BM852" t="s">
        <v>15857</v>
      </c>
      <c r="BN852" t="s">
        <v>74</v>
      </c>
      <c r="BO852" t="s">
        <v>74</v>
      </c>
      <c r="BP852" t="s">
        <v>74</v>
      </c>
      <c r="BQ852" t="s">
        <v>74</v>
      </c>
      <c r="BR852" t="s">
        <v>101</v>
      </c>
      <c r="BS852" t="s">
        <v>15858</v>
      </c>
      <c r="BT852" t="str">
        <f>HYPERLINK("https%3A%2F%2Fwww.webofscience.com%2Fwos%2Fwoscc%2Ffull-record%2FWOS:000304675900009","View Full Record in Web of Science")</f>
        <v>View Full Record in Web of Science</v>
      </c>
    </row>
    <row r="853" spans="1:72" x14ac:dyDescent="0.15">
      <c r="A853" t="s">
        <v>72</v>
      </c>
      <c r="B853" t="s">
        <v>15859</v>
      </c>
      <c r="C853" t="s">
        <v>74</v>
      </c>
      <c r="D853" t="s">
        <v>74</v>
      </c>
      <c r="E853" t="s">
        <v>74</v>
      </c>
      <c r="F853" t="s">
        <v>15860</v>
      </c>
      <c r="G853" t="s">
        <v>74</v>
      </c>
      <c r="H853" t="s">
        <v>74</v>
      </c>
      <c r="I853" t="s">
        <v>15861</v>
      </c>
      <c r="J853" t="s">
        <v>15862</v>
      </c>
      <c r="K853" t="s">
        <v>74</v>
      </c>
      <c r="L853" t="s">
        <v>74</v>
      </c>
      <c r="M853" t="s">
        <v>78</v>
      </c>
      <c r="N853" t="s">
        <v>807</v>
      </c>
      <c r="O853" t="s">
        <v>74</v>
      </c>
      <c r="P853" t="s">
        <v>74</v>
      </c>
      <c r="Q853" t="s">
        <v>74</v>
      </c>
      <c r="R853" t="s">
        <v>74</v>
      </c>
      <c r="S853" t="s">
        <v>74</v>
      </c>
      <c r="T853" t="s">
        <v>74</v>
      </c>
      <c r="U853" t="s">
        <v>74</v>
      </c>
      <c r="V853" t="s">
        <v>74</v>
      </c>
      <c r="W853" t="s">
        <v>15112</v>
      </c>
      <c r="X853" t="s">
        <v>636</v>
      </c>
      <c r="Y853" t="s">
        <v>15863</v>
      </c>
      <c r="Z853" t="s">
        <v>15864</v>
      </c>
      <c r="AA853" t="s">
        <v>74</v>
      </c>
      <c r="AB853" t="s">
        <v>74</v>
      </c>
      <c r="AC853" t="s">
        <v>74</v>
      </c>
      <c r="AD853" t="s">
        <v>74</v>
      </c>
      <c r="AE853" t="s">
        <v>74</v>
      </c>
      <c r="AF853" t="s">
        <v>74</v>
      </c>
      <c r="AG853">
        <v>0</v>
      </c>
      <c r="AH853">
        <v>0</v>
      </c>
      <c r="AI853">
        <v>0</v>
      </c>
      <c r="AJ853">
        <v>0</v>
      </c>
      <c r="AK853">
        <v>0</v>
      </c>
      <c r="AL853" t="s">
        <v>11343</v>
      </c>
      <c r="AM853" t="s">
        <v>4123</v>
      </c>
      <c r="AN853" t="s">
        <v>4124</v>
      </c>
      <c r="AO853" t="s">
        <v>15865</v>
      </c>
      <c r="AP853" t="s">
        <v>74</v>
      </c>
      <c r="AQ853" t="s">
        <v>74</v>
      </c>
      <c r="AR853" t="s">
        <v>15866</v>
      </c>
      <c r="AS853" t="s">
        <v>15867</v>
      </c>
      <c r="AT853" t="s">
        <v>15365</v>
      </c>
      <c r="AU853">
        <v>2012</v>
      </c>
      <c r="AV853">
        <v>25</v>
      </c>
      <c r="AW853">
        <v>6</v>
      </c>
      <c r="AX853" t="s">
        <v>74</v>
      </c>
      <c r="AY853" t="s">
        <v>74</v>
      </c>
      <c r="AZ853" t="s">
        <v>74</v>
      </c>
      <c r="BA853" t="s">
        <v>74</v>
      </c>
      <c r="BB853">
        <v>21</v>
      </c>
      <c r="BC853">
        <v>21</v>
      </c>
      <c r="BD853" t="s">
        <v>74</v>
      </c>
      <c r="BE853" t="s">
        <v>74</v>
      </c>
      <c r="BF853" t="s">
        <v>74</v>
      </c>
      <c r="BG853" t="s">
        <v>74</v>
      </c>
      <c r="BH853" t="s">
        <v>74</v>
      </c>
      <c r="BI853">
        <v>1</v>
      </c>
      <c r="BJ853" t="s">
        <v>10810</v>
      </c>
      <c r="BK853" t="s">
        <v>98</v>
      </c>
      <c r="BL853" t="s">
        <v>10811</v>
      </c>
      <c r="BM853" t="s">
        <v>15868</v>
      </c>
      <c r="BN853" t="s">
        <v>74</v>
      </c>
      <c r="BO853" t="s">
        <v>74</v>
      </c>
      <c r="BP853" t="s">
        <v>74</v>
      </c>
      <c r="BQ853" t="s">
        <v>74</v>
      </c>
      <c r="BR853" t="s">
        <v>101</v>
      </c>
      <c r="BS853" t="s">
        <v>15869</v>
      </c>
      <c r="BT853" t="str">
        <f>HYPERLINK("https%3A%2F%2Fwww.webofscience.com%2Fwos%2Fwoscc%2Ffull-record%2FWOS:000305042300022","View Full Record in Web of Science")</f>
        <v>View Full Record in Web of Science</v>
      </c>
    </row>
    <row r="854" spans="1:72" x14ac:dyDescent="0.15">
      <c r="A854" t="s">
        <v>72</v>
      </c>
      <c r="B854" t="s">
        <v>15870</v>
      </c>
      <c r="C854" t="s">
        <v>74</v>
      </c>
      <c r="D854" t="s">
        <v>74</v>
      </c>
      <c r="E854" t="s">
        <v>74</v>
      </c>
      <c r="F854" t="s">
        <v>15871</v>
      </c>
      <c r="G854" t="s">
        <v>74</v>
      </c>
      <c r="H854" t="s">
        <v>74</v>
      </c>
      <c r="I854" t="s">
        <v>15872</v>
      </c>
      <c r="J854" t="s">
        <v>12121</v>
      </c>
      <c r="K854" t="s">
        <v>74</v>
      </c>
      <c r="L854" t="s">
        <v>74</v>
      </c>
      <c r="M854" t="s">
        <v>78</v>
      </c>
      <c r="N854" t="s">
        <v>79</v>
      </c>
      <c r="O854" t="s">
        <v>74</v>
      </c>
      <c r="P854" t="s">
        <v>74</v>
      </c>
      <c r="Q854" t="s">
        <v>74</v>
      </c>
      <c r="R854" t="s">
        <v>74</v>
      </c>
      <c r="S854" t="s">
        <v>74</v>
      </c>
      <c r="T854" t="s">
        <v>15873</v>
      </c>
      <c r="U854" t="s">
        <v>15874</v>
      </c>
      <c r="V854" t="s">
        <v>15875</v>
      </c>
      <c r="W854" t="s">
        <v>15876</v>
      </c>
      <c r="X854" t="s">
        <v>15877</v>
      </c>
      <c r="Y854" t="s">
        <v>15878</v>
      </c>
      <c r="Z854" t="s">
        <v>15879</v>
      </c>
      <c r="AA854" t="s">
        <v>15880</v>
      </c>
      <c r="AB854" t="s">
        <v>15881</v>
      </c>
      <c r="AC854" t="s">
        <v>15882</v>
      </c>
      <c r="AD854" t="s">
        <v>15883</v>
      </c>
      <c r="AE854" t="s">
        <v>15884</v>
      </c>
      <c r="AF854" t="s">
        <v>74</v>
      </c>
      <c r="AG854">
        <v>100</v>
      </c>
      <c r="AH854">
        <v>67</v>
      </c>
      <c r="AI854">
        <v>81</v>
      </c>
      <c r="AJ854">
        <v>0</v>
      </c>
      <c r="AK854">
        <v>26</v>
      </c>
      <c r="AL854" t="s">
        <v>188</v>
      </c>
      <c r="AM854" t="s">
        <v>189</v>
      </c>
      <c r="AN854" t="s">
        <v>190</v>
      </c>
      <c r="AO854" t="s">
        <v>12134</v>
      </c>
      <c r="AP854" t="s">
        <v>12135</v>
      </c>
      <c r="AQ854" t="s">
        <v>74</v>
      </c>
      <c r="AR854" t="s">
        <v>12136</v>
      </c>
      <c r="AS854" t="s">
        <v>12137</v>
      </c>
      <c r="AT854" t="s">
        <v>15365</v>
      </c>
      <c r="AU854">
        <v>2012</v>
      </c>
      <c r="AV854">
        <v>206</v>
      </c>
      <c r="AW854" t="s">
        <v>74</v>
      </c>
      <c r="AX854" t="s">
        <v>74</v>
      </c>
      <c r="AY854" t="s">
        <v>74</v>
      </c>
      <c r="AZ854" t="s">
        <v>74</v>
      </c>
      <c r="BA854" t="s">
        <v>74</v>
      </c>
      <c r="BB854">
        <v>87</v>
      </c>
      <c r="BC854">
        <v>108</v>
      </c>
      <c r="BD854" t="s">
        <v>74</v>
      </c>
      <c r="BE854" t="s">
        <v>15885</v>
      </c>
      <c r="BF854" t="str">
        <f>HYPERLINK("http://dx.doi.org/10.1016/j.precamres.2012.02.016","http://dx.doi.org/10.1016/j.precamres.2012.02.016")</f>
        <v>http://dx.doi.org/10.1016/j.precamres.2012.02.016</v>
      </c>
      <c r="BG854" t="s">
        <v>74</v>
      </c>
      <c r="BH854" t="s">
        <v>74</v>
      </c>
      <c r="BI854">
        <v>22</v>
      </c>
      <c r="BJ854" t="s">
        <v>461</v>
      </c>
      <c r="BK854" t="s">
        <v>98</v>
      </c>
      <c r="BL854" t="s">
        <v>462</v>
      </c>
      <c r="BM854" t="s">
        <v>15886</v>
      </c>
      <c r="BN854" t="s">
        <v>74</v>
      </c>
      <c r="BO854" t="s">
        <v>74</v>
      </c>
      <c r="BP854" t="s">
        <v>74</v>
      </c>
      <c r="BQ854" t="s">
        <v>74</v>
      </c>
      <c r="BR854" t="s">
        <v>101</v>
      </c>
      <c r="BS854" t="s">
        <v>15887</v>
      </c>
      <c r="BT854" t="str">
        <f>HYPERLINK("https%3A%2F%2Fwww.webofscience.com%2Fwos%2Fwoscc%2Ffull-record%2FWOS:000304796600006","View Full Record in Web of Science")</f>
        <v>View Full Record in Web of Science</v>
      </c>
    </row>
    <row r="855" spans="1:72" x14ac:dyDescent="0.15">
      <c r="A855" t="s">
        <v>72</v>
      </c>
      <c r="B855" t="s">
        <v>15888</v>
      </c>
      <c r="C855" t="s">
        <v>74</v>
      </c>
      <c r="D855" t="s">
        <v>74</v>
      </c>
      <c r="E855" t="s">
        <v>74</v>
      </c>
      <c r="F855" t="s">
        <v>15889</v>
      </c>
      <c r="G855" t="s">
        <v>74</v>
      </c>
      <c r="H855" t="s">
        <v>74</v>
      </c>
      <c r="I855" t="s">
        <v>15890</v>
      </c>
      <c r="J855" t="s">
        <v>15891</v>
      </c>
      <c r="K855" t="s">
        <v>74</v>
      </c>
      <c r="L855" t="s">
        <v>74</v>
      </c>
      <c r="M855" t="s">
        <v>78</v>
      </c>
      <c r="N855" t="s">
        <v>79</v>
      </c>
      <c r="O855" t="s">
        <v>74</v>
      </c>
      <c r="P855" t="s">
        <v>74</v>
      </c>
      <c r="Q855" t="s">
        <v>74</v>
      </c>
      <c r="R855" t="s">
        <v>74</v>
      </c>
      <c r="S855" t="s">
        <v>74</v>
      </c>
      <c r="T855" t="s">
        <v>15892</v>
      </c>
      <c r="U855" t="s">
        <v>15893</v>
      </c>
      <c r="V855" t="s">
        <v>15894</v>
      </c>
      <c r="W855" t="s">
        <v>15895</v>
      </c>
      <c r="X855" t="s">
        <v>15896</v>
      </c>
      <c r="Y855" t="s">
        <v>15897</v>
      </c>
      <c r="Z855" t="s">
        <v>15898</v>
      </c>
      <c r="AA855" t="s">
        <v>15899</v>
      </c>
      <c r="AB855" t="s">
        <v>15900</v>
      </c>
      <c r="AC855" t="s">
        <v>15901</v>
      </c>
      <c r="AD855" t="s">
        <v>15902</v>
      </c>
      <c r="AE855" t="s">
        <v>15903</v>
      </c>
      <c r="AF855" t="s">
        <v>74</v>
      </c>
      <c r="AG855">
        <v>37</v>
      </c>
      <c r="AH855">
        <v>27</v>
      </c>
      <c r="AI855">
        <v>27</v>
      </c>
      <c r="AJ855">
        <v>0</v>
      </c>
      <c r="AK855">
        <v>13</v>
      </c>
      <c r="AL855" t="s">
        <v>5506</v>
      </c>
      <c r="AM855" t="s">
        <v>5507</v>
      </c>
      <c r="AN855" t="s">
        <v>15904</v>
      </c>
      <c r="AO855" t="s">
        <v>15905</v>
      </c>
      <c r="AP855" t="s">
        <v>74</v>
      </c>
      <c r="AQ855" t="s">
        <v>74</v>
      </c>
      <c r="AR855" t="s">
        <v>15891</v>
      </c>
      <c r="AS855" t="s">
        <v>15906</v>
      </c>
      <c r="AT855" t="s">
        <v>15365</v>
      </c>
      <c r="AU855">
        <v>2012</v>
      </c>
      <c r="AV855">
        <v>7</v>
      </c>
      <c r="AW855">
        <v>6</v>
      </c>
      <c r="AX855" t="s">
        <v>74</v>
      </c>
      <c r="AY855" t="s">
        <v>74</v>
      </c>
      <c r="AZ855" t="s">
        <v>74</v>
      </c>
      <c r="BA855" t="s">
        <v>74</v>
      </c>
      <c r="BB855">
        <v>983</v>
      </c>
      <c r="BC855">
        <v>990</v>
      </c>
      <c r="BD855" t="s">
        <v>74</v>
      </c>
      <c r="BE855" t="s">
        <v>15907</v>
      </c>
      <c r="BF855" t="str">
        <f>HYPERLINK("http://dx.doi.org/10.1002/cmdc.201200169","http://dx.doi.org/10.1002/cmdc.201200169")</f>
        <v>http://dx.doi.org/10.1002/cmdc.201200169</v>
      </c>
      <c r="BG855" t="s">
        <v>74</v>
      </c>
      <c r="BH855" t="s">
        <v>74</v>
      </c>
      <c r="BI855">
        <v>8</v>
      </c>
      <c r="BJ855" t="s">
        <v>10859</v>
      </c>
      <c r="BK855" t="s">
        <v>98</v>
      </c>
      <c r="BL855" t="s">
        <v>10860</v>
      </c>
      <c r="BM855" t="s">
        <v>15908</v>
      </c>
      <c r="BN855">
        <v>22532438</v>
      </c>
      <c r="BO855" t="s">
        <v>74</v>
      </c>
      <c r="BP855" t="s">
        <v>74</v>
      </c>
      <c r="BQ855" t="s">
        <v>74</v>
      </c>
      <c r="BR855" t="s">
        <v>101</v>
      </c>
      <c r="BS855" t="s">
        <v>15909</v>
      </c>
      <c r="BT855" t="str">
        <f>HYPERLINK("https%3A%2F%2Fwww.webofscience.com%2Fwos%2Fwoscc%2Ffull-record%2FWOS:000304438900004","View Full Record in Web of Science")</f>
        <v>View Full Record in Web of Science</v>
      </c>
    </row>
    <row r="856" spans="1:72" x14ac:dyDescent="0.15">
      <c r="A856" t="s">
        <v>72</v>
      </c>
      <c r="B856" t="s">
        <v>15910</v>
      </c>
      <c r="C856" t="s">
        <v>74</v>
      </c>
      <c r="D856" t="s">
        <v>74</v>
      </c>
      <c r="E856" t="s">
        <v>74</v>
      </c>
      <c r="F856" t="s">
        <v>15911</v>
      </c>
      <c r="G856" t="s">
        <v>74</v>
      </c>
      <c r="H856" t="s">
        <v>74</v>
      </c>
      <c r="I856" t="s">
        <v>15912</v>
      </c>
      <c r="J856" t="s">
        <v>11602</v>
      </c>
      <c r="K856" t="s">
        <v>74</v>
      </c>
      <c r="L856" t="s">
        <v>74</v>
      </c>
      <c r="M856" t="s">
        <v>78</v>
      </c>
      <c r="N856" t="s">
        <v>79</v>
      </c>
      <c r="O856" t="s">
        <v>74</v>
      </c>
      <c r="P856" t="s">
        <v>74</v>
      </c>
      <c r="Q856" t="s">
        <v>74</v>
      </c>
      <c r="R856" t="s">
        <v>74</v>
      </c>
      <c r="S856" t="s">
        <v>74</v>
      </c>
      <c r="T856" t="s">
        <v>15913</v>
      </c>
      <c r="U856" t="s">
        <v>15914</v>
      </c>
      <c r="V856" t="s">
        <v>15915</v>
      </c>
      <c r="W856" t="s">
        <v>15916</v>
      </c>
      <c r="X856" t="s">
        <v>13553</v>
      </c>
      <c r="Y856" t="s">
        <v>15917</v>
      </c>
      <c r="Z856" t="s">
        <v>13555</v>
      </c>
      <c r="AA856" t="s">
        <v>15918</v>
      </c>
      <c r="AB856" t="s">
        <v>15919</v>
      </c>
      <c r="AC856" t="s">
        <v>15920</v>
      </c>
      <c r="AD856" t="s">
        <v>15921</v>
      </c>
      <c r="AE856" t="s">
        <v>15922</v>
      </c>
      <c r="AF856" t="s">
        <v>74</v>
      </c>
      <c r="AG856">
        <v>28</v>
      </c>
      <c r="AH856">
        <v>4</v>
      </c>
      <c r="AI856">
        <v>8</v>
      </c>
      <c r="AJ856">
        <v>1</v>
      </c>
      <c r="AK856">
        <v>9</v>
      </c>
      <c r="AL856" t="s">
        <v>1932</v>
      </c>
      <c r="AM856" t="s">
        <v>1933</v>
      </c>
      <c r="AN856" t="s">
        <v>1934</v>
      </c>
      <c r="AO856" t="s">
        <v>11613</v>
      </c>
      <c r="AP856" t="s">
        <v>11614</v>
      </c>
      <c r="AQ856" t="s">
        <v>74</v>
      </c>
      <c r="AR856" t="s">
        <v>11615</v>
      </c>
      <c r="AS856" t="s">
        <v>11616</v>
      </c>
      <c r="AT856" t="s">
        <v>15365</v>
      </c>
      <c r="AU856">
        <v>2012</v>
      </c>
      <c r="AV856">
        <v>57</v>
      </c>
      <c r="AW856">
        <v>16</v>
      </c>
      <c r="AX856" t="s">
        <v>74</v>
      </c>
      <c r="AY856" t="s">
        <v>74</v>
      </c>
      <c r="AZ856" t="s">
        <v>74</v>
      </c>
      <c r="BA856" t="s">
        <v>74</v>
      </c>
      <c r="BB856">
        <v>2015</v>
      </c>
      <c r="BC856">
        <v>2021</v>
      </c>
      <c r="BD856" t="s">
        <v>74</v>
      </c>
      <c r="BE856" t="s">
        <v>15923</v>
      </c>
      <c r="BF856" t="str">
        <f>HYPERLINK("http://dx.doi.org/10.1007/s11434-012-5040-3","http://dx.doi.org/10.1007/s11434-012-5040-3")</f>
        <v>http://dx.doi.org/10.1007/s11434-012-5040-3</v>
      </c>
      <c r="BG856" t="s">
        <v>74</v>
      </c>
      <c r="BH856" t="s">
        <v>74</v>
      </c>
      <c r="BI856">
        <v>7</v>
      </c>
      <c r="BJ856" t="s">
        <v>153</v>
      </c>
      <c r="BK856" t="s">
        <v>98</v>
      </c>
      <c r="BL856" t="s">
        <v>154</v>
      </c>
      <c r="BM856" t="s">
        <v>15924</v>
      </c>
      <c r="BN856" t="s">
        <v>74</v>
      </c>
      <c r="BO856" t="s">
        <v>607</v>
      </c>
      <c r="BP856" t="s">
        <v>74</v>
      </c>
      <c r="BQ856" t="s">
        <v>74</v>
      </c>
      <c r="BR856" t="s">
        <v>101</v>
      </c>
      <c r="BS856" t="s">
        <v>15925</v>
      </c>
      <c r="BT856" t="str">
        <f>HYPERLINK("https%3A%2F%2Fwww.webofscience.com%2Fwos%2Fwoscc%2Ffull-record%2FWOS:000304654700016","View Full Record in Web of Science")</f>
        <v>View Full Record in Web of Science</v>
      </c>
    </row>
    <row r="857" spans="1:72" x14ac:dyDescent="0.15">
      <c r="A857" t="s">
        <v>72</v>
      </c>
      <c r="B857" t="s">
        <v>15926</v>
      </c>
      <c r="C857" t="s">
        <v>74</v>
      </c>
      <c r="D857" t="s">
        <v>74</v>
      </c>
      <c r="E857" t="s">
        <v>74</v>
      </c>
      <c r="F857" t="s">
        <v>15927</v>
      </c>
      <c r="G857" t="s">
        <v>74</v>
      </c>
      <c r="H857" t="s">
        <v>74</v>
      </c>
      <c r="I857" t="s">
        <v>15928</v>
      </c>
      <c r="J857" t="s">
        <v>15929</v>
      </c>
      <c r="K857" t="s">
        <v>74</v>
      </c>
      <c r="L857" t="s">
        <v>74</v>
      </c>
      <c r="M857" t="s">
        <v>78</v>
      </c>
      <c r="N857" t="s">
        <v>79</v>
      </c>
      <c r="O857" t="s">
        <v>74</v>
      </c>
      <c r="P857" t="s">
        <v>74</v>
      </c>
      <c r="Q857" t="s">
        <v>74</v>
      </c>
      <c r="R857" t="s">
        <v>74</v>
      </c>
      <c r="S857" t="s">
        <v>74</v>
      </c>
      <c r="T857" t="s">
        <v>15930</v>
      </c>
      <c r="U857" t="s">
        <v>15931</v>
      </c>
      <c r="V857" t="s">
        <v>15932</v>
      </c>
      <c r="W857" t="s">
        <v>15933</v>
      </c>
      <c r="X857" t="s">
        <v>15934</v>
      </c>
      <c r="Y857" t="s">
        <v>15935</v>
      </c>
      <c r="Z857" t="s">
        <v>15936</v>
      </c>
      <c r="AA857" t="s">
        <v>74</v>
      </c>
      <c r="AB857" t="s">
        <v>74</v>
      </c>
      <c r="AC857" t="s">
        <v>15937</v>
      </c>
      <c r="AD857" t="s">
        <v>15938</v>
      </c>
      <c r="AE857" t="s">
        <v>15939</v>
      </c>
      <c r="AF857" t="s">
        <v>74</v>
      </c>
      <c r="AG857">
        <v>88</v>
      </c>
      <c r="AH857">
        <v>11</v>
      </c>
      <c r="AI857">
        <v>14</v>
      </c>
      <c r="AJ857">
        <v>0</v>
      </c>
      <c r="AK857">
        <v>39</v>
      </c>
      <c r="AL857" t="s">
        <v>898</v>
      </c>
      <c r="AM857" t="s">
        <v>899</v>
      </c>
      <c r="AN857" t="s">
        <v>900</v>
      </c>
      <c r="AO857" t="s">
        <v>15940</v>
      </c>
      <c r="AP857" t="s">
        <v>15941</v>
      </c>
      <c r="AQ857" t="s">
        <v>74</v>
      </c>
      <c r="AR857" t="s">
        <v>15942</v>
      </c>
      <c r="AS857" t="s">
        <v>15943</v>
      </c>
      <c r="AT857" t="s">
        <v>15365</v>
      </c>
      <c r="AU857">
        <v>2012</v>
      </c>
      <c r="AV857">
        <v>279</v>
      </c>
      <c r="AW857">
        <v>12</v>
      </c>
      <c r="AX857" t="s">
        <v>74</v>
      </c>
      <c r="AY857" t="s">
        <v>74</v>
      </c>
      <c r="AZ857" t="s">
        <v>74</v>
      </c>
      <c r="BA857" t="s">
        <v>74</v>
      </c>
      <c r="BB857">
        <v>2215</v>
      </c>
      <c r="BC857">
        <v>2230</v>
      </c>
      <c r="BD857" t="s">
        <v>74</v>
      </c>
      <c r="BE857" t="s">
        <v>15944</v>
      </c>
      <c r="BF857" t="str">
        <f>HYPERLINK("http://dx.doi.org/10.1111/j.1742-4658.2012.08605.x","http://dx.doi.org/10.1111/j.1742-4658.2012.08605.x")</f>
        <v>http://dx.doi.org/10.1111/j.1742-4658.2012.08605.x</v>
      </c>
      <c r="BG857" t="s">
        <v>74</v>
      </c>
      <c r="BH857" t="s">
        <v>74</v>
      </c>
      <c r="BI857">
        <v>16</v>
      </c>
      <c r="BJ857" t="s">
        <v>3727</v>
      </c>
      <c r="BK857" t="s">
        <v>98</v>
      </c>
      <c r="BL857" t="s">
        <v>3727</v>
      </c>
      <c r="BM857" t="s">
        <v>15945</v>
      </c>
      <c r="BN857">
        <v>22520964</v>
      </c>
      <c r="BO857" t="s">
        <v>607</v>
      </c>
      <c r="BP857" t="s">
        <v>74</v>
      </c>
      <c r="BQ857" t="s">
        <v>74</v>
      </c>
      <c r="BR857" t="s">
        <v>101</v>
      </c>
      <c r="BS857" t="s">
        <v>15946</v>
      </c>
      <c r="BT857" t="str">
        <f>HYPERLINK("https%3A%2F%2Fwww.webofscience.com%2Fwos%2Fwoscc%2Ffull-record%2FWOS:000304529700011","View Full Record in Web of Science")</f>
        <v>View Full Record in Web of Science</v>
      </c>
    </row>
    <row r="858" spans="1:72" x14ac:dyDescent="0.15">
      <c r="A858" t="s">
        <v>72</v>
      </c>
      <c r="B858" t="s">
        <v>15947</v>
      </c>
      <c r="C858" t="s">
        <v>74</v>
      </c>
      <c r="D858" t="s">
        <v>74</v>
      </c>
      <c r="E858" t="s">
        <v>74</v>
      </c>
      <c r="F858" t="s">
        <v>15948</v>
      </c>
      <c r="G858" t="s">
        <v>74</v>
      </c>
      <c r="H858" t="s">
        <v>74</v>
      </c>
      <c r="I858" t="s">
        <v>15949</v>
      </c>
      <c r="J858" t="s">
        <v>11354</v>
      </c>
      <c r="K858" t="s">
        <v>74</v>
      </c>
      <c r="L858" t="s">
        <v>74</v>
      </c>
      <c r="M858" t="s">
        <v>78</v>
      </c>
      <c r="N858" t="s">
        <v>79</v>
      </c>
      <c r="O858" t="s">
        <v>74</v>
      </c>
      <c r="P858" t="s">
        <v>74</v>
      </c>
      <c r="Q858" t="s">
        <v>74</v>
      </c>
      <c r="R858" t="s">
        <v>74</v>
      </c>
      <c r="S858" t="s">
        <v>74</v>
      </c>
      <c r="T858" t="s">
        <v>15950</v>
      </c>
      <c r="U858" t="s">
        <v>15951</v>
      </c>
      <c r="V858" t="s">
        <v>15952</v>
      </c>
      <c r="W858" t="s">
        <v>15953</v>
      </c>
      <c r="X858" t="s">
        <v>13704</v>
      </c>
      <c r="Y858" t="s">
        <v>15954</v>
      </c>
      <c r="Z858" t="s">
        <v>15955</v>
      </c>
      <c r="AA858" t="s">
        <v>15956</v>
      </c>
      <c r="AB858" t="s">
        <v>15957</v>
      </c>
      <c r="AC858" t="s">
        <v>74</v>
      </c>
      <c r="AD858" t="s">
        <v>74</v>
      </c>
      <c r="AE858" t="s">
        <v>74</v>
      </c>
      <c r="AF858" t="s">
        <v>74</v>
      </c>
      <c r="AG858">
        <v>33</v>
      </c>
      <c r="AH858">
        <v>17</v>
      </c>
      <c r="AI858">
        <v>18</v>
      </c>
      <c r="AJ858">
        <v>2</v>
      </c>
      <c r="AK858">
        <v>92</v>
      </c>
      <c r="AL858" t="s">
        <v>898</v>
      </c>
      <c r="AM858" t="s">
        <v>899</v>
      </c>
      <c r="AN858" t="s">
        <v>900</v>
      </c>
      <c r="AO858" t="s">
        <v>11366</v>
      </c>
      <c r="AP858" t="s">
        <v>11367</v>
      </c>
      <c r="AQ858" t="s">
        <v>74</v>
      </c>
      <c r="AR858" t="s">
        <v>11368</v>
      </c>
      <c r="AS858" t="s">
        <v>11369</v>
      </c>
      <c r="AT858" t="s">
        <v>15365</v>
      </c>
      <c r="AU858">
        <v>2012</v>
      </c>
      <c r="AV858">
        <v>49</v>
      </c>
      <c r="AW858">
        <v>3</v>
      </c>
      <c r="AX858" t="s">
        <v>74</v>
      </c>
      <c r="AY858" t="s">
        <v>74</v>
      </c>
      <c r="AZ858" t="s">
        <v>74</v>
      </c>
      <c r="BA858" t="s">
        <v>74</v>
      </c>
      <c r="BB858">
        <v>733</v>
      </c>
      <c r="BC858">
        <v>741</v>
      </c>
      <c r="BD858" t="s">
        <v>74</v>
      </c>
      <c r="BE858" t="s">
        <v>15958</v>
      </c>
      <c r="BF858" t="str">
        <f>HYPERLINK("http://dx.doi.org/10.1111/j.1365-2664.2012.02133.x","http://dx.doi.org/10.1111/j.1365-2664.2012.02133.x")</f>
        <v>http://dx.doi.org/10.1111/j.1365-2664.2012.02133.x</v>
      </c>
      <c r="BG858" t="s">
        <v>74</v>
      </c>
      <c r="BH858" t="s">
        <v>74</v>
      </c>
      <c r="BI858">
        <v>9</v>
      </c>
      <c r="BJ858" t="s">
        <v>1879</v>
      </c>
      <c r="BK858" t="s">
        <v>98</v>
      </c>
      <c r="BL858" t="s">
        <v>1880</v>
      </c>
      <c r="BM858" t="s">
        <v>15959</v>
      </c>
      <c r="BN858" t="s">
        <v>74</v>
      </c>
      <c r="BO858" t="s">
        <v>607</v>
      </c>
      <c r="BP858" t="s">
        <v>74</v>
      </c>
      <c r="BQ858" t="s">
        <v>74</v>
      </c>
      <c r="BR858" t="s">
        <v>101</v>
      </c>
      <c r="BS858" t="s">
        <v>15960</v>
      </c>
      <c r="BT858" t="str">
        <f>HYPERLINK("https%3A%2F%2Fwww.webofscience.com%2Fwos%2Fwoscc%2Ffull-record%2FWOS:000304660500024","View Full Record in Web of Science")</f>
        <v>View Full Record in Web of Science</v>
      </c>
    </row>
    <row r="859" spans="1:72" x14ac:dyDescent="0.15">
      <c r="A859" t="s">
        <v>72</v>
      </c>
      <c r="B859" t="s">
        <v>15961</v>
      </c>
      <c r="C859" t="s">
        <v>74</v>
      </c>
      <c r="D859" t="s">
        <v>74</v>
      </c>
      <c r="E859" t="s">
        <v>74</v>
      </c>
      <c r="F859" t="s">
        <v>15962</v>
      </c>
      <c r="G859" t="s">
        <v>74</v>
      </c>
      <c r="H859" t="s">
        <v>74</v>
      </c>
      <c r="I859" t="s">
        <v>15963</v>
      </c>
      <c r="J859" t="s">
        <v>15964</v>
      </c>
      <c r="K859" t="s">
        <v>74</v>
      </c>
      <c r="L859" t="s">
        <v>74</v>
      </c>
      <c r="M859" t="s">
        <v>78</v>
      </c>
      <c r="N859" t="s">
        <v>79</v>
      </c>
      <c r="O859" t="s">
        <v>74</v>
      </c>
      <c r="P859" t="s">
        <v>74</v>
      </c>
      <c r="Q859" t="s">
        <v>74</v>
      </c>
      <c r="R859" t="s">
        <v>74</v>
      </c>
      <c r="S859" t="s">
        <v>74</v>
      </c>
      <c r="T859" t="s">
        <v>15965</v>
      </c>
      <c r="U859" t="s">
        <v>15966</v>
      </c>
      <c r="V859" t="s">
        <v>15967</v>
      </c>
      <c r="W859" t="s">
        <v>15968</v>
      </c>
      <c r="X859" t="s">
        <v>15969</v>
      </c>
      <c r="Y859" t="s">
        <v>15970</v>
      </c>
      <c r="Z859" t="s">
        <v>15971</v>
      </c>
      <c r="AA859" t="s">
        <v>74</v>
      </c>
      <c r="AB859" t="s">
        <v>74</v>
      </c>
      <c r="AC859" t="s">
        <v>15972</v>
      </c>
      <c r="AD859" t="s">
        <v>603</v>
      </c>
      <c r="AE859" t="s">
        <v>74</v>
      </c>
      <c r="AF859" t="s">
        <v>74</v>
      </c>
      <c r="AG859">
        <v>19</v>
      </c>
      <c r="AH859">
        <v>3</v>
      </c>
      <c r="AI859">
        <v>3</v>
      </c>
      <c r="AJ859">
        <v>1</v>
      </c>
      <c r="AK859">
        <v>9</v>
      </c>
      <c r="AL859" t="s">
        <v>1034</v>
      </c>
      <c r="AM859" t="s">
        <v>90</v>
      </c>
      <c r="AN859" t="s">
        <v>1035</v>
      </c>
      <c r="AO859" t="s">
        <v>15973</v>
      </c>
      <c r="AP859" t="s">
        <v>74</v>
      </c>
      <c r="AQ859" t="s">
        <v>74</v>
      </c>
      <c r="AR859" t="s">
        <v>15974</v>
      </c>
      <c r="AS859" t="s">
        <v>15975</v>
      </c>
      <c r="AT859" t="s">
        <v>15365</v>
      </c>
      <c r="AU859">
        <v>2012</v>
      </c>
      <c r="AV859">
        <v>97</v>
      </c>
      <c r="AW859">
        <v>6</v>
      </c>
      <c r="AX859" t="s">
        <v>74</v>
      </c>
      <c r="AY859" t="s">
        <v>74</v>
      </c>
      <c r="AZ859" t="s">
        <v>74</v>
      </c>
      <c r="BA859" t="s">
        <v>74</v>
      </c>
      <c r="BB859">
        <v>1002</v>
      </c>
      <c r="BC859">
        <v>1009</v>
      </c>
      <c r="BD859" t="s">
        <v>74</v>
      </c>
      <c r="BE859" t="s">
        <v>15976</v>
      </c>
      <c r="BF859" t="str">
        <f>HYPERLINK("http://dx.doi.org/10.1016/j.polymdegradstab.2012.03.018","http://dx.doi.org/10.1016/j.polymdegradstab.2012.03.018")</f>
        <v>http://dx.doi.org/10.1016/j.polymdegradstab.2012.03.018</v>
      </c>
      <c r="BG859" t="s">
        <v>74</v>
      </c>
      <c r="BH859" t="s">
        <v>74</v>
      </c>
      <c r="BI859">
        <v>8</v>
      </c>
      <c r="BJ859" t="s">
        <v>15977</v>
      </c>
      <c r="BK859" t="s">
        <v>98</v>
      </c>
      <c r="BL859" t="s">
        <v>15977</v>
      </c>
      <c r="BM859" t="s">
        <v>15978</v>
      </c>
      <c r="BN859" t="s">
        <v>74</v>
      </c>
      <c r="BO859" t="s">
        <v>74</v>
      </c>
      <c r="BP859" t="s">
        <v>74</v>
      </c>
      <c r="BQ859" t="s">
        <v>74</v>
      </c>
      <c r="BR859" t="s">
        <v>101</v>
      </c>
      <c r="BS859" t="s">
        <v>15979</v>
      </c>
      <c r="BT859" t="str">
        <f>HYPERLINK("https%3A%2F%2Fwww.webofscience.com%2Fwos%2Fwoscc%2Ffull-record%2FWOS:000304641300023","View Full Record in Web of Science")</f>
        <v>View Full Record in Web of Science</v>
      </c>
    </row>
    <row r="860" spans="1:72" x14ac:dyDescent="0.15">
      <c r="A860" t="s">
        <v>72</v>
      </c>
      <c r="B860" t="s">
        <v>15980</v>
      </c>
      <c r="C860" t="s">
        <v>74</v>
      </c>
      <c r="D860" t="s">
        <v>74</v>
      </c>
      <c r="E860" t="s">
        <v>74</v>
      </c>
      <c r="F860" t="s">
        <v>15981</v>
      </c>
      <c r="G860" t="s">
        <v>74</v>
      </c>
      <c r="H860" t="s">
        <v>74</v>
      </c>
      <c r="I860" t="s">
        <v>15982</v>
      </c>
      <c r="J860" t="s">
        <v>3489</v>
      </c>
      <c r="K860" t="s">
        <v>74</v>
      </c>
      <c r="L860" t="s">
        <v>74</v>
      </c>
      <c r="M860" t="s">
        <v>78</v>
      </c>
      <c r="N860" t="s">
        <v>79</v>
      </c>
      <c r="O860" t="s">
        <v>74</v>
      </c>
      <c r="P860" t="s">
        <v>74</v>
      </c>
      <c r="Q860" t="s">
        <v>74</v>
      </c>
      <c r="R860" t="s">
        <v>74</v>
      </c>
      <c r="S860" t="s">
        <v>74</v>
      </c>
      <c r="T860" t="s">
        <v>15983</v>
      </c>
      <c r="U860" t="s">
        <v>15984</v>
      </c>
      <c r="V860" t="s">
        <v>15985</v>
      </c>
      <c r="W860" t="s">
        <v>15986</v>
      </c>
      <c r="X860" t="s">
        <v>15987</v>
      </c>
      <c r="Y860" t="s">
        <v>15988</v>
      </c>
      <c r="Z860" t="s">
        <v>15989</v>
      </c>
      <c r="AA860" t="s">
        <v>15990</v>
      </c>
      <c r="AB860" t="s">
        <v>15991</v>
      </c>
      <c r="AC860" t="s">
        <v>15992</v>
      </c>
      <c r="AD860" t="s">
        <v>15993</v>
      </c>
      <c r="AE860" t="s">
        <v>15994</v>
      </c>
      <c r="AF860" t="s">
        <v>74</v>
      </c>
      <c r="AG860">
        <v>12</v>
      </c>
      <c r="AH860">
        <v>2</v>
      </c>
      <c r="AI860">
        <v>2</v>
      </c>
      <c r="AJ860">
        <v>0</v>
      </c>
      <c r="AK860">
        <v>6</v>
      </c>
      <c r="AL860" t="s">
        <v>1034</v>
      </c>
      <c r="AM860" t="s">
        <v>90</v>
      </c>
      <c r="AN860" t="s">
        <v>1035</v>
      </c>
      <c r="AO860" t="s">
        <v>3499</v>
      </c>
      <c r="AP860" t="s">
        <v>74</v>
      </c>
      <c r="AQ860" t="s">
        <v>74</v>
      </c>
      <c r="AR860" t="s">
        <v>3500</v>
      </c>
      <c r="AS860" t="s">
        <v>3501</v>
      </c>
      <c r="AT860" t="s">
        <v>15605</v>
      </c>
      <c r="AU860">
        <v>2012</v>
      </c>
      <c r="AV860">
        <v>49</v>
      </c>
      <c r="AW860">
        <v>11</v>
      </c>
      <c r="AX860" t="s">
        <v>74</v>
      </c>
      <c r="AY860" t="s">
        <v>74</v>
      </c>
      <c r="AZ860" t="s">
        <v>74</v>
      </c>
      <c r="BA860" t="s">
        <v>74</v>
      </c>
      <c r="BB860">
        <v>1538</v>
      </c>
      <c r="BC860">
        <v>1543</v>
      </c>
      <c r="BD860" t="s">
        <v>74</v>
      </c>
      <c r="BE860" t="s">
        <v>15995</v>
      </c>
      <c r="BF860" t="str">
        <f>HYPERLINK("http://dx.doi.org/10.1016/j.asr.2012.02.019","http://dx.doi.org/10.1016/j.asr.2012.02.019")</f>
        <v>http://dx.doi.org/10.1016/j.asr.2012.02.019</v>
      </c>
      <c r="BG860" t="s">
        <v>74</v>
      </c>
      <c r="BH860" t="s">
        <v>74</v>
      </c>
      <c r="BI860">
        <v>6</v>
      </c>
      <c r="BJ860" t="s">
        <v>3503</v>
      </c>
      <c r="BK860" t="s">
        <v>98</v>
      </c>
      <c r="BL860" t="s">
        <v>3504</v>
      </c>
      <c r="BM860" t="s">
        <v>15996</v>
      </c>
      <c r="BN860" t="s">
        <v>74</v>
      </c>
      <c r="BO860" t="s">
        <v>74</v>
      </c>
      <c r="BP860" t="s">
        <v>74</v>
      </c>
      <c r="BQ860" t="s">
        <v>74</v>
      </c>
      <c r="BR860" t="s">
        <v>101</v>
      </c>
      <c r="BS860" t="s">
        <v>15997</v>
      </c>
      <c r="BT860" t="str">
        <f>HYPERLINK("https%3A%2F%2Fwww.webofscience.com%2Fwos%2Fwoscc%2Ffull-record%2FWOS:000304502000002","View Full Record in Web of Science")</f>
        <v>View Full Record in Web of Science</v>
      </c>
    </row>
    <row r="861" spans="1:72" x14ac:dyDescent="0.15">
      <c r="A861" t="s">
        <v>72</v>
      </c>
      <c r="B861" t="s">
        <v>15998</v>
      </c>
      <c r="C861" t="s">
        <v>74</v>
      </c>
      <c r="D861" t="s">
        <v>74</v>
      </c>
      <c r="E861" t="s">
        <v>74</v>
      </c>
      <c r="F861" t="s">
        <v>15999</v>
      </c>
      <c r="G861" t="s">
        <v>74</v>
      </c>
      <c r="H861" t="s">
        <v>74</v>
      </c>
      <c r="I861" t="s">
        <v>16000</v>
      </c>
      <c r="J861" t="s">
        <v>5097</v>
      </c>
      <c r="K861" t="s">
        <v>74</v>
      </c>
      <c r="L861" t="s">
        <v>74</v>
      </c>
      <c r="M861" t="s">
        <v>78</v>
      </c>
      <c r="N861" t="s">
        <v>79</v>
      </c>
      <c r="O861" t="s">
        <v>74</v>
      </c>
      <c r="P861" t="s">
        <v>74</v>
      </c>
      <c r="Q861" t="s">
        <v>74</v>
      </c>
      <c r="R861" t="s">
        <v>74</v>
      </c>
      <c r="S861" t="s">
        <v>74</v>
      </c>
      <c r="T861" t="s">
        <v>16001</v>
      </c>
      <c r="U861" t="s">
        <v>16002</v>
      </c>
      <c r="V861" t="s">
        <v>16003</v>
      </c>
      <c r="W861" t="s">
        <v>16004</v>
      </c>
      <c r="X861" t="s">
        <v>16005</v>
      </c>
      <c r="Y861" t="s">
        <v>16006</v>
      </c>
      <c r="Z861" t="s">
        <v>16007</v>
      </c>
      <c r="AA861" t="s">
        <v>74</v>
      </c>
      <c r="AB861" t="s">
        <v>16008</v>
      </c>
      <c r="AC861" t="s">
        <v>16009</v>
      </c>
      <c r="AD861" t="s">
        <v>16010</v>
      </c>
      <c r="AE861" t="s">
        <v>16011</v>
      </c>
      <c r="AF861" t="s">
        <v>74</v>
      </c>
      <c r="AG861">
        <v>50</v>
      </c>
      <c r="AH861">
        <v>35</v>
      </c>
      <c r="AI861">
        <v>43</v>
      </c>
      <c r="AJ861">
        <v>1</v>
      </c>
      <c r="AK861">
        <v>43</v>
      </c>
      <c r="AL861" t="s">
        <v>2780</v>
      </c>
      <c r="AM861" t="s">
        <v>371</v>
      </c>
      <c r="AN861" t="s">
        <v>2781</v>
      </c>
      <c r="AO861" t="s">
        <v>5108</v>
      </c>
      <c r="AP861" t="s">
        <v>5109</v>
      </c>
      <c r="AQ861" t="s">
        <v>74</v>
      </c>
      <c r="AR861" t="s">
        <v>5110</v>
      </c>
      <c r="AS861" t="s">
        <v>5111</v>
      </c>
      <c r="AT861" t="s">
        <v>15365</v>
      </c>
      <c r="AU861">
        <v>2012</v>
      </c>
      <c r="AV861">
        <v>24</v>
      </c>
      <c r="AW861">
        <v>3</v>
      </c>
      <c r="AX861" t="s">
        <v>74</v>
      </c>
      <c r="AY861" t="s">
        <v>74</v>
      </c>
      <c r="AZ861" t="s">
        <v>74</v>
      </c>
      <c r="BA861" t="s">
        <v>74</v>
      </c>
      <c r="BB861">
        <v>211</v>
      </c>
      <c r="BC861">
        <v>228</v>
      </c>
      <c r="BD861" t="s">
        <v>74</v>
      </c>
      <c r="BE861" t="s">
        <v>16012</v>
      </c>
      <c r="BF861" t="str">
        <f>HYPERLINK("http://dx.doi.org/10.1017/S0954102011000800","http://dx.doi.org/10.1017/S0954102011000800")</f>
        <v>http://dx.doi.org/10.1017/S0954102011000800</v>
      </c>
      <c r="BG861" t="s">
        <v>74</v>
      </c>
      <c r="BH861" t="s">
        <v>74</v>
      </c>
      <c r="BI861">
        <v>18</v>
      </c>
      <c r="BJ861" t="s">
        <v>5113</v>
      </c>
      <c r="BK861" t="s">
        <v>98</v>
      </c>
      <c r="BL861" t="s">
        <v>5114</v>
      </c>
      <c r="BM861" t="s">
        <v>16013</v>
      </c>
      <c r="BN861" t="s">
        <v>74</v>
      </c>
      <c r="BO861" t="s">
        <v>74</v>
      </c>
      <c r="BP861" t="s">
        <v>74</v>
      </c>
      <c r="BQ861" t="s">
        <v>74</v>
      </c>
      <c r="BR861" t="s">
        <v>101</v>
      </c>
      <c r="BS861" t="s">
        <v>16014</v>
      </c>
      <c r="BT861" t="str">
        <f>HYPERLINK("https%3A%2F%2Fwww.webofscience.com%2Fwos%2Fwoscc%2Ffull-record%2FWOS:000304440700002","View Full Record in Web of Science")</f>
        <v>View Full Record in Web of Science</v>
      </c>
    </row>
    <row r="862" spans="1:72" x14ac:dyDescent="0.15">
      <c r="A862" t="s">
        <v>72</v>
      </c>
      <c r="B862" t="s">
        <v>16015</v>
      </c>
      <c r="C862" t="s">
        <v>74</v>
      </c>
      <c r="D862" t="s">
        <v>74</v>
      </c>
      <c r="E862" t="s">
        <v>74</v>
      </c>
      <c r="F862" t="s">
        <v>16016</v>
      </c>
      <c r="G862" t="s">
        <v>74</v>
      </c>
      <c r="H862" t="s">
        <v>74</v>
      </c>
      <c r="I862" t="s">
        <v>16017</v>
      </c>
      <c r="J862" t="s">
        <v>5097</v>
      </c>
      <c r="K862" t="s">
        <v>74</v>
      </c>
      <c r="L862" t="s">
        <v>74</v>
      </c>
      <c r="M862" t="s">
        <v>78</v>
      </c>
      <c r="N862" t="s">
        <v>79</v>
      </c>
      <c r="O862" t="s">
        <v>74</v>
      </c>
      <c r="P862" t="s">
        <v>74</v>
      </c>
      <c r="Q862" t="s">
        <v>74</v>
      </c>
      <c r="R862" t="s">
        <v>74</v>
      </c>
      <c r="S862" t="s">
        <v>74</v>
      </c>
      <c r="T862" t="s">
        <v>16018</v>
      </c>
      <c r="U862" t="s">
        <v>16019</v>
      </c>
      <c r="V862" t="s">
        <v>16020</v>
      </c>
      <c r="W862" t="s">
        <v>16021</v>
      </c>
      <c r="X862" t="s">
        <v>16022</v>
      </c>
      <c r="Y862" t="s">
        <v>16023</v>
      </c>
      <c r="Z862" t="s">
        <v>16024</v>
      </c>
      <c r="AA862" t="s">
        <v>16025</v>
      </c>
      <c r="AB862" t="s">
        <v>16026</v>
      </c>
      <c r="AC862" t="s">
        <v>16027</v>
      </c>
      <c r="AD862" t="s">
        <v>16028</v>
      </c>
      <c r="AE862" t="s">
        <v>16029</v>
      </c>
      <c r="AF862" t="s">
        <v>74</v>
      </c>
      <c r="AG862">
        <v>39</v>
      </c>
      <c r="AH862">
        <v>10</v>
      </c>
      <c r="AI862">
        <v>10</v>
      </c>
      <c r="AJ862">
        <v>0</v>
      </c>
      <c r="AK862">
        <v>12</v>
      </c>
      <c r="AL862" t="s">
        <v>2780</v>
      </c>
      <c r="AM862" t="s">
        <v>371</v>
      </c>
      <c r="AN862" t="s">
        <v>2781</v>
      </c>
      <c r="AO862" t="s">
        <v>5108</v>
      </c>
      <c r="AP862" t="s">
        <v>5109</v>
      </c>
      <c r="AQ862" t="s">
        <v>74</v>
      </c>
      <c r="AR862" t="s">
        <v>5110</v>
      </c>
      <c r="AS862" t="s">
        <v>5111</v>
      </c>
      <c r="AT862" t="s">
        <v>15365</v>
      </c>
      <c r="AU862">
        <v>2012</v>
      </c>
      <c r="AV862">
        <v>24</v>
      </c>
      <c r="AW862">
        <v>3</v>
      </c>
      <c r="AX862" t="s">
        <v>74</v>
      </c>
      <c r="AY862" t="s">
        <v>74</v>
      </c>
      <c r="AZ862" t="s">
        <v>74</v>
      </c>
      <c r="BA862" t="s">
        <v>74</v>
      </c>
      <c r="BB862">
        <v>229</v>
      </c>
      <c r="BC862">
        <v>242</v>
      </c>
      <c r="BD862" t="s">
        <v>74</v>
      </c>
      <c r="BE862" t="s">
        <v>16030</v>
      </c>
      <c r="BF862" t="str">
        <f>HYPERLINK("http://dx.doi.org/10.1017/S0954102011000824","http://dx.doi.org/10.1017/S0954102011000824")</f>
        <v>http://dx.doi.org/10.1017/S0954102011000824</v>
      </c>
      <c r="BG862" t="s">
        <v>74</v>
      </c>
      <c r="BH862" t="s">
        <v>74</v>
      </c>
      <c r="BI862">
        <v>14</v>
      </c>
      <c r="BJ862" t="s">
        <v>5113</v>
      </c>
      <c r="BK862" t="s">
        <v>98</v>
      </c>
      <c r="BL862" t="s">
        <v>5114</v>
      </c>
      <c r="BM862" t="s">
        <v>16013</v>
      </c>
      <c r="BN862" t="s">
        <v>74</v>
      </c>
      <c r="BO862" t="s">
        <v>1254</v>
      </c>
      <c r="BP862" t="s">
        <v>74</v>
      </c>
      <c r="BQ862" t="s">
        <v>74</v>
      </c>
      <c r="BR862" t="s">
        <v>101</v>
      </c>
      <c r="BS862" t="s">
        <v>16031</v>
      </c>
      <c r="BT862" t="str">
        <f>HYPERLINK("https%3A%2F%2Fwww.webofscience.com%2Fwos%2Fwoscc%2Ffull-record%2FWOS:000304440700003","View Full Record in Web of Science")</f>
        <v>View Full Record in Web of Science</v>
      </c>
    </row>
    <row r="863" spans="1:72" x14ac:dyDescent="0.15">
      <c r="A863" t="s">
        <v>72</v>
      </c>
      <c r="B863" t="s">
        <v>16032</v>
      </c>
      <c r="C863" t="s">
        <v>74</v>
      </c>
      <c r="D863" t="s">
        <v>74</v>
      </c>
      <c r="E863" t="s">
        <v>74</v>
      </c>
      <c r="F863" t="s">
        <v>16033</v>
      </c>
      <c r="G863" t="s">
        <v>74</v>
      </c>
      <c r="H863" t="s">
        <v>74</v>
      </c>
      <c r="I863" t="s">
        <v>16034</v>
      </c>
      <c r="J863" t="s">
        <v>5097</v>
      </c>
      <c r="K863" t="s">
        <v>74</v>
      </c>
      <c r="L863" t="s">
        <v>74</v>
      </c>
      <c r="M863" t="s">
        <v>78</v>
      </c>
      <c r="N863" t="s">
        <v>79</v>
      </c>
      <c r="O863" t="s">
        <v>74</v>
      </c>
      <c r="P863" t="s">
        <v>74</v>
      </c>
      <c r="Q863" t="s">
        <v>74</v>
      </c>
      <c r="R863" t="s">
        <v>74</v>
      </c>
      <c r="S863" t="s">
        <v>74</v>
      </c>
      <c r="T863" t="s">
        <v>16035</v>
      </c>
      <c r="U863" t="s">
        <v>16036</v>
      </c>
      <c r="V863" t="s">
        <v>16037</v>
      </c>
      <c r="W863" t="s">
        <v>16038</v>
      </c>
      <c r="X863" t="s">
        <v>16039</v>
      </c>
      <c r="Y863" t="s">
        <v>16040</v>
      </c>
      <c r="Z863" t="s">
        <v>16041</v>
      </c>
      <c r="AA863" t="s">
        <v>74</v>
      </c>
      <c r="AB863" t="s">
        <v>16042</v>
      </c>
      <c r="AC863" t="s">
        <v>9829</v>
      </c>
      <c r="AD863" t="s">
        <v>830</v>
      </c>
      <c r="AE863" t="s">
        <v>16043</v>
      </c>
      <c r="AF863" t="s">
        <v>74</v>
      </c>
      <c r="AG863">
        <v>28</v>
      </c>
      <c r="AH863">
        <v>10</v>
      </c>
      <c r="AI863">
        <v>10</v>
      </c>
      <c r="AJ863">
        <v>1</v>
      </c>
      <c r="AK863">
        <v>16</v>
      </c>
      <c r="AL863" t="s">
        <v>2780</v>
      </c>
      <c r="AM863" t="s">
        <v>371</v>
      </c>
      <c r="AN863" t="s">
        <v>2781</v>
      </c>
      <c r="AO863" t="s">
        <v>5108</v>
      </c>
      <c r="AP863" t="s">
        <v>74</v>
      </c>
      <c r="AQ863" t="s">
        <v>74</v>
      </c>
      <c r="AR863" t="s">
        <v>5110</v>
      </c>
      <c r="AS863" t="s">
        <v>5111</v>
      </c>
      <c r="AT863" t="s">
        <v>15365</v>
      </c>
      <c r="AU863">
        <v>2012</v>
      </c>
      <c r="AV863">
        <v>24</v>
      </c>
      <c r="AW863">
        <v>3</v>
      </c>
      <c r="AX863" t="s">
        <v>74</v>
      </c>
      <c r="AY863" t="s">
        <v>74</v>
      </c>
      <c r="AZ863" t="s">
        <v>74</v>
      </c>
      <c r="BA863" t="s">
        <v>74</v>
      </c>
      <c r="BB863">
        <v>243</v>
      </c>
      <c r="BC863">
        <v>248</v>
      </c>
      <c r="BD863" t="s">
        <v>74</v>
      </c>
      <c r="BE863" t="s">
        <v>16044</v>
      </c>
      <c r="BF863" t="str">
        <f>HYPERLINK("http://dx.doi.org/10.1017/S0954102011000915","http://dx.doi.org/10.1017/S0954102011000915")</f>
        <v>http://dx.doi.org/10.1017/S0954102011000915</v>
      </c>
      <c r="BG863" t="s">
        <v>74</v>
      </c>
      <c r="BH863" t="s">
        <v>74</v>
      </c>
      <c r="BI863">
        <v>6</v>
      </c>
      <c r="BJ863" t="s">
        <v>5113</v>
      </c>
      <c r="BK863" t="s">
        <v>98</v>
      </c>
      <c r="BL863" t="s">
        <v>5114</v>
      </c>
      <c r="BM863" t="s">
        <v>16013</v>
      </c>
      <c r="BN863" t="s">
        <v>74</v>
      </c>
      <c r="BO863" t="s">
        <v>74</v>
      </c>
      <c r="BP863" t="s">
        <v>74</v>
      </c>
      <c r="BQ863" t="s">
        <v>74</v>
      </c>
      <c r="BR863" t="s">
        <v>101</v>
      </c>
      <c r="BS863" t="s">
        <v>16045</v>
      </c>
      <c r="BT863" t="str">
        <f>HYPERLINK("https%3A%2F%2Fwww.webofscience.com%2Fwos%2Fwoscc%2Ffull-record%2FWOS:000304440700004","View Full Record in Web of Science")</f>
        <v>View Full Record in Web of Science</v>
      </c>
    </row>
    <row r="864" spans="1:72" x14ac:dyDescent="0.15">
      <c r="A864" t="s">
        <v>72</v>
      </c>
      <c r="B864" t="s">
        <v>16046</v>
      </c>
      <c r="C864" t="s">
        <v>74</v>
      </c>
      <c r="D864" t="s">
        <v>74</v>
      </c>
      <c r="E864" t="s">
        <v>74</v>
      </c>
      <c r="F864" t="s">
        <v>16047</v>
      </c>
      <c r="G864" t="s">
        <v>74</v>
      </c>
      <c r="H864" t="s">
        <v>74</v>
      </c>
      <c r="I864" t="s">
        <v>16048</v>
      </c>
      <c r="J864" t="s">
        <v>5097</v>
      </c>
      <c r="K864" t="s">
        <v>74</v>
      </c>
      <c r="L864" t="s">
        <v>74</v>
      </c>
      <c r="M864" t="s">
        <v>78</v>
      </c>
      <c r="N864" t="s">
        <v>79</v>
      </c>
      <c r="O864" t="s">
        <v>74</v>
      </c>
      <c r="P864" t="s">
        <v>74</v>
      </c>
      <c r="Q864" t="s">
        <v>74</v>
      </c>
      <c r="R864" t="s">
        <v>74</v>
      </c>
      <c r="S864" t="s">
        <v>74</v>
      </c>
      <c r="T864" t="s">
        <v>16049</v>
      </c>
      <c r="U864" t="s">
        <v>16050</v>
      </c>
      <c r="V864" t="s">
        <v>16051</v>
      </c>
      <c r="W864" t="s">
        <v>16052</v>
      </c>
      <c r="X864" t="s">
        <v>16053</v>
      </c>
      <c r="Y864" t="s">
        <v>16054</v>
      </c>
      <c r="Z864" t="s">
        <v>16055</v>
      </c>
      <c r="AA864" t="s">
        <v>16056</v>
      </c>
      <c r="AB864" t="s">
        <v>16057</v>
      </c>
      <c r="AC864" t="s">
        <v>16058</v>
      </c>
      <c r="AD864" t="s">
        <v>16059</v>
      </c>
      <c r="AE864" t="s">
        <v>16060</v>
      </c>
      <c r="AF864" t="s">
        <v>74</v>
      </c>
      <c r="AG864">
        <v>43</v>
      </c>
      <c r="AH864">
        <v>28</v>
      </c>
      <c r="AI864">
        <v>29</v>
      </c>
      <c r="AJ864">
        <v>2</v>
      </c>
      <c r="AK864">
        <v>43</v>
      </c>
      <c r="AL864" t="s">
        <v>2780</v>
      </c>
      <c r="AM864" t="s">
        <v>371</v>
      </c>
      <c r="AN864" t="s">
        <v>2781</v>
      </c>
      <c r="AO864" t="s">
        <v>5108</v>
      </c>
      <c r="AP864" t="s">
        <v>5109</v>
      </c>
      <c r="AQ864" t="s">
        <v>74</v>
      </c>
      <c r="AR864" t="s">
        <v>5110</v>
      </c>
      <c r="AS864" t="s">
        <v>5111</v>
      </c>
      <c r="AT864" t="s">
        <v>15365</v>
      </c>
      <c r="AU864">
        <v>2012</v>
      </c>
      <c r="AV864">
        <v>24</v>
      </c>
      <c r="AW864">
        <v>3</v>
      </c>
      <c r="AX864" t="s">
        <v>74</v>
      </c>
      <c r="AY864" t="s">
        <v>74</v>
      </c>
      <c r="AZ864" t="s">
        <v>74</v>
      </c>
      <c r="BA864" t="s">
        <v>74</v>
      </c>
      <c r="BB864">
        <v>281</v>
      </c>
      <c r="BC864">
        <v>291</v>
      </c>
      <c r="BD864" t="s">
        <v>74</v>
      </c>
      <c r="BE864" t="s">
        <v>16061</v>
      </c>
      <c r="BF864" t="str">
        <f>HYPERLINK("http://dx.doi.org/10.1017/S095410201200003X","http://dx.doi.org/10.1017/S095410201200003X")</f>
        <v>http://dx.doi.org/10.1017/S095410201200003X</v>
      </c>
      <c r="BG864" t="s">
        <v>74</v>
      </c>
      <c r="BH864" t="s">
        <v>74</v>
      </c>
      <c r="BI864">
        <v>11</v>
      </c>
      <c r="BJ864" t="s">
        <v>5113</v>
      </c>
      <c r="BK864" t="s">
        <v>98</v>
      </c>
      <c r="BL864" t="s">
        <v>5114</v>
      </c>
      <c r="BM864" t="s">
        <v>16013</v>
      </c>
      <c r="BN864" t="s">
        <v>74</v>
      </c>
      <c r="BO864" t="s">
        <v>1254</v>
      </c>
      <c r="BP864" t="s">
        <v>74</v>
      </c>
      <c r="BQ864" t="s">
        <v>74</v>
      </c>
      <c r="BR864" t="s">
        <v>101</v>
      </c>
      <c r="BS864" t="s">
        <v>16062</v>
      </c>
      <c r="BT864" t="str">
        <f>HYPERLINK("https%3A%2F%2Fwww.webofscience.com%2Fwos%2Fwoscc%2Ffull-record%2FWOS:000304440700008","View Full Record in Web of Science")</f>
        <v>View Full Record in Web of Science</v>
      </c>
    </row>
    <row r="865" spans="1:72" x14ac:dyDescent="0.15">
      <c r="A865" t="s">
        <v>72</v>
      </c>
      <c r="B865" t="s">
        <v>16063</v>
      </c>
      <c r="C865" t="s">
        <v>74</v>
      </c>
      <c r="D865" t="s">
        <v>74</v>
      </c>
      <c r="E865" t="s">
        <v>74</v>
      </c>
      <c r="F865" t="s">
        <v>16064</v>
      </c>
      <c r="G865" t="s">
        <v>74</v>
      </c>
      <c r="H865" t="s">
        <v>74</v>
      </c>
      <c r="I865" t="s">
        <v>16065</v>
      </c>
      <c r="J865" t="s">
        <v>5097</v>
      </c>
      <c r="K865" t="s">
        <v>74</v>
      </c>
      <c r="L865" t="s">
        <v>74</v>
      </c>
      <c r="M865" t="s">
        <v>78</v>
      </c>
      <c r="N865" t="s">
        <v>79</v>
      </c>
      <c r="O865" t="s">
        <v>74</v>
      </c>
      <c r="P865" t="s">
        <v>74</v>
      </c>
      <c r="Q865" t="s">
        <v>74</v>
      </c>
      <c r="R865" t="s">
        <v>74</v>
      </c>
      <c r="S865" t="s">
        <v>74</v>
      </c>
      <c r="T865" t="s">
        <v>16066</v>
      </c>
      <c r="U865" t="s">
        <v>16067</v>
      </c>
      <c r="V865" t="s">
        <v>16068</v>
      </c>
      <c r="W865" t="s">
        <v>16069</v>
      </c>
      <c r="X865" t="s">
        <v>16070</v>
      </c>
      <c r="Y865" t="s">
        <v>16071</v>
      </c>
      <c r="Z865" t="s">
        <v>16072</v>
      </c>
      <c r="AA865" t="s">
        <v>74</v>
      </c>
      <c r="AB865" t="s">
        <v>74</v>
      </c>
      <c r="AC865" t="s">
        <v>16073</v>
      </c>
      <c r="AD865" t="s">
        <v>16074</v>
      </c>
      <c r="AE865" t="s">
        <v>16075</v>
      </c>
      <c r="AF865" t="s">
        <v>74</v>
      </c>
      <c r="AG865">
        <v>28</v>
      </c>
      <c r="AH865">
        <v>9</v>
      </c>
      <c r="AI865">
        <v>12</v>
      </c>
      <c r="AJ865">
        <v>2</v>
      </c>
      <c r="AK865">
        <v>27</v>
      </c>
      <c r="AL865" t="s">
        <v>2780</v>
      </c>
      <c r="AM865" t="s">
        <v>371</v>
      </c>
      <c r="AN865" t="s">
        <v>2781</v>
      </c>
      <c r="AO865" t="s">
        <v>5108</v>
      </c>
      <c r="AP865" t="s">
        <v>5109</v>
      </c>
      <c r="AQ865" t="s">
        <v>74</v>
      </c>
      <c r="AR865" t="s">
        <v>5110</v>
      </c>
      <c r="AS865" t="s">
        <v>5111</v>
      </c>
      <c r="AT865" t="s">
        <v>15365</v>
      </c>
      <c r="AU865">
        <v>2012</v>
      </c>
      <c r="AV865">
        <v>24</v>
      </c>
      <c r="AW865">
        <v>3</v>
      </c>
      <c r="AX865" t="s">
        <v>74</v>
      </c>
      <c r="AY865" t="s">
        <v>74</v>
      </c>
      <c r="AZ865" t="s">
        <v>74</v>
      </c>
      <c r="BA865" t="s">
        <v>74</v>
      </c>
      <c r="BB865">
        <v>293</v>
      </c>
      <c r="BC865">
        <v>298</v>
      </c>
      <c r="BD865" t="s">
        <v>74</v>
      </c>
      <c r="BE865" t="s">
        <v>16076</v>
      </c>
      <c r="BF865" t="str">
        <f>HYPERLINK("http://dx.doi.org/10.1017/S0954102011000897","http://dx.doi.org/10.1017/S0954102011000897")</f>
        <v>http://dx.doi.org/10.1017/S0954102011000897</v>
      </c>
      <c r="BG865" t="s">
        <v>74</v>
      </c>
      <c r="BH865" t="s">
        <v>74</v>
      </c>
      <c r="BI865">
        <v>6</v>
      </c>
      <c r="BJ865" t="s">
        <v>5113</v>
      </c>
      <c r="BK865" t="s">
        <v>98</v>
      </c>
      <c r="BL865" t="s">
        <v>5114</v>
      </c>
      <c r="BM865" t="s">
        <v>16013</v>
      </c>
      <c r="BN865" t="s">
        <v>74</v>
      </c>
      <c r="BO865" t="s">
        <v>74</v>
      </c>
      <c r="BP865" t="s">
        <v>74</v>
      </c>
      <c r="BQ865" t="s">
        <v>74</v>
      </c>
      <c r="BR865" t="s">
        <v>101</v>
      </c>
      <c r="BS865" t="s">
        <v>16077</v>
      </c>
      <c r="BT865" t="str">
        <f>HYPERLINK("https%3A%2F%2Fwww.webofscience.com%2Fwos%2Fwoscc%2Ffull-record%2FWOS:000304440700009","View Full Record in Web of Science")</f>
        <v>View Full Record in Web of Science</v>
      </c>
    </row>
    <row r="866" spans="1:72" x14ac:dyDescent="0.15">
      <c r="A866" t="s">
        <v>72</v>
      </c>
      <c r="B866" t="s">
        <v>16078</v>
      </c>
      <c r="C866" t="s">
        <v>74</v>
      </c>
      <c r="D866" t="s">
        <v>74</v>
      </c>
      <c r="E866" t="s">
        <v>74</v>
      </c>
      <c r="F866" t="s">
        <v>16079</v>
      </c>
      <c r="G866" t="s">
        <v>74</v>
      </c>
      <c r="H866" t="s">
        <v>74</v>
      </c>
      <c r="I866" t="s">
        <v>16080</v>
      </c>
      <c r="J866" t="s">
        <v>5097</v>
      </c>
      <c r="K866" t="s">
        <v>74</v>
      </c>
      <c r="L866" t="s">
        <v>74</v>
      </c>
      <c r="M866" t="s">
        <v>78</v>
      </c>
      <c r="N866" t="s">
        <v>79</v>
      </c>
      <c r="O866" t="s">
        <v>74</v>
      </c>
      <c r="P866" t="s">
        <v>74</v>
      </c>
      <c r="Q866" t="s">
        <v>74</v>
      </c>
      <c r="R866" t="s">
        <v>74</v>
      </c>
      <c r="S866" t="s">
        <v>74</v>
      </c>
      <c r="T866" t="s">
        <v>16081</v>
      </c>
      <c r="U866" t="s">
        <v>16082</v>
      </c>
      <c r="V866" t="s">
        <v>16083</v>
      </c>
      <c r="W866" t="s">
        <v>16084</v>
      </c>
      <c r="X866" t="s">
        <v>16085</v>
      </c>
      <c r="Y866" t="s">
        <v>16086</v>
      </c>
      <c r="Z866" t="s">
        <v>16087</v>
      </c>
      <c r="AA866" t="s">
        <v>16088</v>
      </c>
      <c r="AB866" t="s">
        <v>16089</v>
      </c>
      <c r="AC866" t="s">
        <v>16090</v>
      </c>
      <c r="AD866" t="s">
        <v>16091</v>
      </c>
      <c r="AE866" t="s">
        <v>16092</v>
      </c>
      <c r="AF866" t="s">
        <v>74</v>
      </c>
      <c r="AG866">
        <v>42</v>
      </c>
      <c r="AH866">
        <v>16</v>
      </c>
      <c r="AI866">
        <v>17</v>
      </c>
      <c r="AJ866">
        <v>0</v>
      </c>
      <c r="AK866">
        <v>16</v>
      </c>
      <c r="AL866" t="s">
        <v>2780</v>
      </c>
      <c r="AM866" t="s">
        <v>371</v>
      </c>
      <c r="AN866" t="s">
        <v>2781</v>
      </c>
      <c r="AO866" t="s">
        <v>5108</v>
      </c>
      <c r="AP866" t="s">
        <v>5109</v>
      </c>
      <c r="AQ866" t="s">
        <v>74</v>
      </c>
      <c r="AR866" t="s">
        <v>5110</v>
      </c>
      <c r="AS866" t="s">
        <v>5111</v>
      </c>
      <c r="AT866" t="s">
        <v>15365</v>
      </c>
      <c r="AU866">
        <v>2012</v>
      </c>
      <c r="AV866">
        <v>24</v>
      </c>
      <c r="AW866">
        <v>3</v>
      </c>
      <c r="AX866" t="s">
        <v>74</v>
      </c>
      <c r="AY866" t="s">
        <v>74</v>
      </c>
      <c r="AZ866" t="s">
        <v>74</v>
      </c>
      <c r="BA866" t="s">
        <v>74</v>
      </c>
      <c r="BB866">
        <v>299</v>
      </c>
      <c r="BC866">
        <v>316</v>
      </c>
      <c r="BD866" t="s">
        <v>74</v>
      </c>
      <c r="BE866" t="s">
        <v>16093</v>
      </c>
      <c r="BF866" t="str">
        <f>HYPERLINK("http://dx.doi.org/10.1017/S0954102011000903","http://dx.doi.org/10.1017/S0954102011000903")</f>
        <v>http://dx.doi.org/10.1017/S0954102011000903</v>
      </c>
      <c r="BG866" t="s">
        <v>74</v>
      </c>
      <c r="BH866" t="s">
        <v>74</v>
      </c>
      <c r="BI866">
        <v>18</v>
      </c>
      <c r="BJ866" t="s">
        <v>5113</v>
      </c>
      <c r="BK866" t="s">
        <v>98</v>
      </c>
      <c r="BL866" t="s">
        <v>5114</v>
      </c>
      <c r="BM866" t="s">
        <v>16013</v>
      </c>
      <c r="BN866" t="s">
        <v>74</v>
      </c>
      <c r="BO866" t="s">
        <v>74</v>
      </c>
      <c r="BP866" t="s">
        <v>74</v>
      </c>
      <c r="BQ866" t="s">
        <v>74</v>
      </c>
      <c r="BR866" t="s">
        <v>101</v>
      </c>
      <c r="BS866" t="s">
        <v>16094</v>
      </c>
      <c r="BT866" t="str">
        <f>HYPERLINK("https%3A%2F%2Fwww.webofscience.com%2Fwos%2Fwoscc%2Ffull-record%2FWOS:000304440700010","View Full Record in Web of Science")</f>
        <v>View Full Record in Web of Science</v>
      </c>
    </row>
    <row r="867" spans="1:72" x14ac:dyDescent="0.15">
      <c r="A867" t="s">
        <v>72</v>
      </c>
      <c r="B867" t="s">
        <v>16095</v>
      </c>
      <c r="C867" t="s">
        <v>74</v>
      </c>
      <c r="D867" t="s">
        <v>74</v>
      </c>
      <c r="E867" t="s">
        <v>74</v>
      </c>
      <c r="F867" t="s">
        <v>16096</v>
      </c>
      <c r="G867" t="s">
        <v>74</v>
      </c>
      <c r="H867" t="s">
        <v>74</v>
      </c>
      <c r="I867" t="s">
        <v>16097</v>
      </c>
      <c r="J867" t="s">
        <v>5274</v>
      </c>
      <c r="K867" t="s">
        <v>74</v>
      </c>
      <c r="L867" t="s">
        <v>74</v>
      </c>
      <c r="M867" t="s">
        <v>78</v>
      </c>
      <c r="N867" t="s">
        <v>79</v>
      </c>
      <c r="O867" t="s">
        <v>74</v>
      </c>
      <c r="P867" t="s">
        <v>74</v>
      </c>
      <c r="Q867" t="s">
        <v>74</v>
      </c>
      <c r="R867" t="s">
        <v>74</v>
      </c>
      <c r="S867" t="s">
        <v>74</v>
      </c>
      <c r="T867" t="s">
        <v>16098</v>
      </c>
      <c r="U867" t="s">
        <v>16099</v>
      </c>
      <c r="V867" t="s">
        <v>16100</v>
      </c>
      <c r="W867" t="s">
        <v>16101</v>
      </c>
      <c r="X867" t="s">
        <v>16102</v>
      </c>
      <c r="Y867" t="s">
        <v>16103</v>
      </c>
      <c r="Z867" t="s">
        <v>16104</v>
      </c>
      <c r="AA867" t="s">
        <v>16105</v>
      </c>
      <c r="AB867" t="s">
        <v>16106</v>
      </c>
      <c r="AC867" t="s">
        <v>16107</v>
      </c>
      <c r="AD867" t="s">
        <v>16108</v>
      </c>
      <c r="AE867" t="s">
        <v>16109</v>
      </c>
      <c r="AF867" t="s">
        <v>74</v>
      </c>
      <c r="AG867">
        <v>56</v>
      </c>
      <c r="AH867">
        <v>18</v>
      </c>
      <c r="AI867">
        <v>18</v>
      </c>
      <c r="AJ867">
        <v>0</v>
      </c>
      <c r="AK867">
        <v>20</v>
      </c>
      <c r="AL867" t="s">
        <v>188</v>
      </c>
      <c r="AM867" t="s">
        <v>189</v>
      </c>
      <c r="AN867" t="s">
        <v>190</v>
      </c>
      <c r="AO867" t="s">
        <v>5287</v>
      </c>
      <c r="AP867" t="s">
        <v>5288</v>
      </c>
      <c r="AQ867" t="s">
        <v>74</v>
      </c>
      <c r="AR867" t="s">
        <v>5289</v>
      </c>
      <c r="AS867" t="s">
        <v>5290</v>
      </c>
      <c r="AT867" t="s">
        <v>15365</v>
      </c>
      <c r="AU867">
        <v>2012</v>
      </c>
      <c r="AV867">
        <v>121</v>
      </c>
      <c r="AW867" t="s">
        <v>74</v>
      </c>
      <c r="AX867" t="s">
        <v>74</v>
      </c>
      <c r="AY867" t="s">
        <v>74</v>
      </c>
      <c r="AZ867" t="s">
        <v>74</v>
      </c>
      <c r="BA867" t="s">
        <v>74</v>
      </c>
      <c r="BB867">
        <v>144</v>
      </c>
      <c r="BC867">
        <v>152</v>
      </c>
      <c r="BD867" t="s">
        <v>74</v>
      </c>
      <c r="BE867" t="s">
        <v>16110</v>
      </c>
      <c r="BF867" t="str">
        <f>HYPERLINK("http://dx.doi.org/10.1016/j.fishres.2012.01.023","http://dx.doi.org/10.1016/j.fishres.2012.01.023")</f>
        <v>http://dx.doi.org/10.1016/j.fishres.2012.01.023</v>
      </c>
      <c r="BG867" t="s">
        <v>74</v>
      </c>
      <c r="BH867" t="s">
        <v>74</v>
      </c>
      <c r="BI867">
        <v>9</v>
      </c>
      <c r="BJ867" t="s">
        <v>5292</v>
      </c>
      <c r="BK867" t="s">
        <v>98</v>
      </c>
      <c r="BL867" t="s">
        <v>5292</v>
      </c>
      <c r="BM867" t="s">
        <v>16111</v>
      </c>
      <c r="BN867" t="s">
        <v>74</v>
      </c>
      <c r="BO867" t="s">
        <v>74</v>
      </c>
      <c r="BP867" t="s">
        <v>74</v>
      </c>
      <c r="BQ867" t="s">
        <v>74</v>
      </c>
      <c r="BR867" t="s">
        <v>101</v>
      </c>
      <c r="BS867" t="s">
        <v>16112</v>
      </c>
      <c r="BT867" t="str">
        <f>HYPERLINK("https%3A%2F%2Fwww.webofscience.com%2Fwos%2Fwoscc%2Ffull-record%2FWOS:000304222700015","View Full Record in Web of Science")</f>
        <v>View Full Record in Web of Science</v>
      </c>
    </row>
    <row r="868" spans="1:72" x14ac:dyDescent="0.15">
      <c r="A868" t="s">
        <v>72</v>
      </c>
      <c r="B868" t="s">
        <v>16113</v>
      </c>
      <c r="C868" t="s">
        <v>74</v>
      </c>
      <c r="D868" t="s">
        <v>74</v>
      </c>
      <c r="E868" t="s">
        <v>74</v>
      </c>
      <c r="F868" t="s">
        <v>16114</v>
      </c>
      <c r="G868" t="s">
        <v>74</v>
      </c>
      <c r="H868" t="s">
        <v>74</v>
      </c>
      <c r="I868" t="s">
        <v>16115</v>
      </c>
      <c r="J868" t="s">
        <v>5574</v>
      </c>
      <c r="K868" t="s">
        <v>74</v>
      </c>
      <c r="L868" t="s">
        <v>74</v>
      </c>
      <c r="M868" t="s">
        <v>78</v>
      </c>
      <c r="N868" t="s">
        <v>79</v>
      </c>
      <c r="O868" t="s">
        <v>74</v>
      </c>
      <c r="P868" t="s">
        <v>74</v>
      </c>
      <c r="Q868" t="s">
        <v>74</v>
      </c>
      <c r="R868" t="s">
        <v>74</v>
      </c>
      <c r="S868" t="s">
        <v>74</v>
      </c>
      <c r="T868" t="s">
        <v>16116</v>
      </c>
      <c r="U868" t="s">
        <v>16117</v>
      </c>
      <c r="V868" t="s">
        <v>16118</v>
      </c>
      <c r="W868" t="s">
        <v>16119</v>
      </c>
      <c r="X868" t="s">
        <v>16120</v>
      </c>
      <c r="Y868" t="s">
        <v>16121</v>
      </c>
      <c r="Z868" t="s">
        <v>16122</v>
      </c>
      <c r="AA868" t="s">
        <v>16123</v>
      </c>
      <c r="AB868" t="s">
        <v>16124</v>
      </c>
      <c r="AC868" t="s">
        <v>16125</v>
      </c>
      <c r="AD868" t="s">
        <v>16126</v>
      </c>
      <c r="AE868" t="s">
        <v>16127</v>
      </c>
      <c r="AF868" t="s">
        <v>74</v>
      </c>
      <c r="AG868">
        <v>69</v>
      </c>
      <c r="AH868">
        <v>79</v>
      </c>
      <c r="AI868">
        <v>86</v>
      </c>
      <c r="AJ868">
        <v>1</v>
      </c>
      <c r="AK868">
        <v>107</v>
      </c>
      <c r="AL868" t="s">
        <v>898</v>
      </c>
      <c r="AM868" t="s">
        <v>899</v>
      </c>
      <c r="AN868" t="s">
        <v>900</v>
      </c>
      <c r="AO868" t="s">
        <v>5587</v>
      </c>
      <c r="AP868" t="s">
        <v>5588</v>
      </c>
      <c r="AQ868" t="s">
        <v>74</v>
      </c>
      <c r="AR868" t="s">
        <v>5589</v>
      </c>
      <c r="AS868" t="s">
        <v>5590</v>
      </c>
      <c r="AT868" t="s">
        <v>15365</v>
      </c>
      <c r="AU868">
        <v>2012</v>
      </c>
      <c r="AV868">
        <v>26</v>
      </c>
      <c r="AW868">
        <v>3</v>
      </c>
      <c r="AX868" t="s">
        <v>74</v>
      </c>
      <c r="AY868" t="s">
        <v>74</v>
      </c>
      <c r="AZ868" t="s">
        <v>74</v>
      </c>
      <c r="BA868" t="s">
        <v>74</v>
      </c>
      <c r="BB868">
        <v>711</v>
      </c>
      <c r="BC868">
        <v>722</v>
      </c>
      <c r="BD868" t="s">
        <v>74</v>
      </c>
      <c r="BE868" t="s">
        <v>16128</v>
      </c>
      <c r="BF868" t="str">
        <f>HYPERLINK("http://dx.doi.org/10.1111/j.1365-2435.2012.01985.x","http://dx.doi.org/10.1111/j.1365-2435.2012.01985.x")</f>
        <v>http://dx.doi.org/10.1111/j.1365-2435.2012.01985.x</v>
      </c>
      <c r="BG868" t="s">
        <v>74</v>
      </c>
      <c r="BH868" t="s">
        <v>74</v>
      </c>
      <c r="BI868">
        <v>12</v>
      </c>
      <c r="BJ868" t="s">
        <v>515</v>
      </c>
      <c r="BK868" t="s">
        <v>98</v>
      </c>
      <c r="BL868" t="s">
        <v>333</v>
      </c>
      <c r="BM868" t="s">
        <v>16129</v>
      </c>
      <c r="BN868" t="s">
        <v>74</v>
      </c>
      <c r="BO868" t="s">
        <v>607</v>
      </c>
      <c r="BP868" t="s">
        <v>74</v>
      </c>
      <c r="BQ868" t="s">
        <v>74</v>
      </c>
      <c r="BR868" t="s">
        <v>101</v>
      </c>
      <c r="BS868" t="s">
        <v>16130</v>
      </c>
      <c r="BT868" t="str">
        <f>HYPERLINK("https%3A%2F%2Fwww.webofscience.com%2Fwos%2Fwoscc%2Ffull-record%2FWOS:000304256500018","View Full Record in Web of Science")</f>
        <v>View Full Record in Web of Science</v>
      </c>
    </row>
    <row r="869" spans="1:72" x14ac:dyDescent="0.15">
      <c r="A869" t="s">
        <v>72</v>
      </c>
      <c r="B869" t="s">
        <v>16131</v>
      </c>
      <c r="C869" t="s">
        <v>74</v>
      </c>
      <c r="D869" t="s">
        <v>74</v>
      </c>
      <c r="E869" t="s">
        <v>74</v>
      </c>
      <c r="F869" t="s">
        <v>16132</v>
      </c>
      <c r="G869" t="s">
        <v>74</v>
      </c>
      <c r="H869" t="s">
        <v>74</v>
      </c>
      <c r="I869" t="s">
        <v>16133</v>
      </c>
      <c r="J869" t="s">
        <v>16134</v>
      </c>
      <c r="K869" t="s">
        <v>74</v>
      </c>
      <c r="L869" t="s">
        <v>74</v>
      </c>
      <c r="M869" t="s">
        <v>78</v>
      </c>
      <c r="N869" t="s">
        <v>79</v>
      </c>
      <c r="O869" t="s">
        <v>74</v>
      </c>
      <c r="P869" t="s">
        <v>74</v>
      </c>
      <c r="Q869" t="s">
        <v>74</v>
      </c>
      <c r="R869" t="s">
        <v>74</v>
      </c>
      <c r="S869" t="s">
        <v>74</v>
      </c>
      <c r="T869" t="s">
        <v>74</v>
      </c>
      <c r="U869" t="s">
        <v>16135</v>
      </c>
      <c r="V869" t="s">
        <v>16136</v>
      </c>
      <c r="W869" t="s">
        <v>16137</v>
      </c>
      <c r="X869" t="s">
        <v>16138</v>
      </c>
      <c r="Y869" t="s">
        <v>16139</v>
      </c>
      <c r="Z869" t="s">
        <v>16140</v>
      </c>
      <c r="AA869" t="s">
        <v>3867</v>
      </c>
      <c r="AB869" t="s">
        <v>3868</v>
      </c>
      <c r="AC869" t="s">
        <v>74</v>
      </c>
      <c r="AD869" t="s">
        <v>74</v>
      </c>
      <c r="AE869" t="s">
        <v>74</v>
      </c>
      <c r="AF869" t="s">
        <v>74</v>
      </c>
      <c r="AG869">
        <v>69</v>
      </c>
      <c r="AH869">
        <v>12</v>
      </c>
      <c r="AI869">
        <v>13</v>
      </c>
      <c r="AJ869">
        <v>1</v>
      </c>
      <c r="AK869">
        <v>19</v>
      </c>
      <c r="AL869" t="s">
        <v>935</v>
      </c>
      <c r="AM869" t="s">
        <v>371</v>
      </c>
      <c r="AN869" t="s">
        <v>1873</v>
      </c>
      <c r="AO869" t="s">
        <v>16141</v>
      </c>
      <c r="AP869" t="s">
        <v>16142</v>
      </c>
      <c r="AQ869" t="s">
        <v>74</v>
      </c>
      <c r="AR869" t="s">
        <v>16143</v>
      </c>
      <c r="AS869" t="s">
        <v>16144</v>
      </c>
      <c r="AT869" t="s">
        <v>15365</v>
      </c>
      <c r="AU869">
        <v>2012</v>
      </c>
      <c r="AV869">
        <v>32</v>
      </c>
      <c r="AW869">
        <v>3</v>
      </c>
      <c r="AX869" t="s">
        <v>74</v>
      </c>
      <c r="AY869" t="s">
        <v>74</v>
      </c>
      <c r="AZ869" t="s">
        <v>74</v>
      </c>
      <c r="BA869" t="s">
        <v>74</v>
      </c>
      <c r="BB869">
        <v>251</v>
      </c>
      <c r="BC869">
        <v>265</v>
      </c>
      <c r="BD869" t="s">
        <v>74</v>
      </c>
      <c r="BE869" t="s">
        <v>16145</v>
      </c>
      <c r="BF869" t="str">
        <f>HYPERLINK("http://dx.doi.org/10.1007/s00367-011-0267-6","http://dx.doi.org/10.1007/s00367-011-0267-6")</f>
        <v>http://dx.doi.org/10.1007/s00367-011-0267-6</v>
      </c>
      <c r="BG869" t="s">
        <v>74</v>
      </c>
      <c r="BH869" t="s">
        <v>74</v>
      </c>
      <c r="BI869">
        <v>15</v>
      </c>
      <c r="BJ869" t="s">
        <v>966</v>
      </c>
      <c r="BK869" t="s">
        <v>98</v>
      </c>
      <c r="BL869" t="s">
        <v>967</v>
      </c>
      <c r="BM869" t="s">
        <v>16146</v>
      </c>
      <c r="BN869" t="s">
        <v>74</v>
      </c>
      <c r="BO869" t="s">
        <v>74</v>
      </c>
      <c r="BP869" t="s">
        <v>74</v>
      </c>
      <c r="BQ869" t="s">
        <v>74</v>
      </c>
      <c r="BR869" t="s">
        <v>101</v>
      </c>
      <c r="BS869" t="s">
        <v>16147</v>
      </c>
      <c r="BT869" t="str">
        <f>HYPERLINK("https%3A%2F%2Fwww.webofscience.com%2Fwos%2Fwoscc%2Ffull-record%2FWOS:000304137200005","View Full Record in Web of Science")</f>
        <v>View Full Record in Web of Science</v>
      </c>
    </row>
    <row r="870" spans="1:72" x14ac:dyDescent="0.15">
      <c r="A870" t="s">
        <v>72</v>
      </c>
      <c r="B870" t="s">
        <v>16148</v>
      </c>
      <c r="C870" t="s">
        <v>74</v>
      </c>
      <c r="D870" t="s">
        <v>74</v>
      </c>
      <c r="E870" t="s">
        <v>74</v>
      </c>
      <c r="F870" t="s">
        <v>16149</v>
      </c>
      <c r="G870" t="s">
        <v>74</v>
      </c>
      <c r="H870" t="s">
        <v>74</v>
      </c>
      <c r="I870" t="s">
        <v>16150</v>
      </c>
      <c r="J870" t="s">
        <v>8017</v>
      </c>
      <c r="K870" t="s">
        <v>74</v>
      </c>
      <c r="L870" t="s">
        <v>74</v>
      </c>
      <c r="M870" t="s">
        <v>78</v>
      </c>
      <c r="N870" t="s">
        <v>79</v>
      </c>
      <c r="O870" t="s">
        <v>74</v>
      </c>
      <c r="P870" t="s">
        <v>74</v>
      </c>
      <c r="Q870" t="s">
        <v>74</v>
      </c>
      <c r="R870" t="s">
        <v>74</v>
      </c>
      <c r="S870" t="s">
        <v>74</v>
      </c>
      <c r="T870" t="s">
        <v>16151</v>
      </c>
      <c r="U870" t="s">
        <v>16152</v>
      </c>
      <c r="V870" t="s">
        <v>16153</v>
      </c>
      <c r="W870" t="s">
        <v>16154</v>
      </c>
      <c r="X870" t="s">
        <v>16155</v>
      </c>
      <c r="Y870" t="s">
        <v>16156</v>
      </c>
      <c r="Z870" t="s">
        <v>12953</v>
      </c>
      <c r="AA870" t="s">
        <v>74</v>
      </c>
      <c r="AB870" t="s">
        <v>16157</v>
      </c>
      <c r="AC870" t="s">
        <v>16158</v>
      </c>
      <c r="AD870" t="s">
        <v>12956</v>
      </c>
      <c r="AE870" t="s">
        <v>16159</v>
      </c>
      <c r="AF870" t="s">
        <v>74</v>
      </c>
      <c r="AG870">
        <v>47</v>
      </c>
      <c r="AH870">
        <v>5</v>
      </c>
      <c r="AI870">
        <v>5</v>
      </c>
      <c r="AJ870">
        <v>0</v>
      </c>
      <c r="AK870">
        <v>6</v>
      </c>
      <c r="AL870" t="s">
        <v>3402</v>
      </c>
      <c r="AM870" t="s">
        <v>434</v>
      </c>
      <c r="AN870" t="s">
        <v>3403</v>
      </c>
      <c r="AO870" t="s">
        <v>8030</v>
      </c>
      <c r="AP870" t="s">
        <v>8031</v>
      </c>
      <c r="AQ870" t="s">
        <v>74</v>
      </c>
      <c r="AR870" t="s">
        <v>8032</v>
      </c>
      <c r="AS870" t="s">
        <v>8033</v>
      </c>
      <c r="AT870" t="s">
        <v>15365</v>
      </c>
      <c r="AU870">
        <v>2012</v>
      </c>
      <c r="AV870">
        <v>66</v>
      </c>
      <c r="AW870">
        <v>2</v>
      </c>
      <c r="AX870" t="s">
        <v>74</v>
      </c>
      <c r="AY870" t="s">
        <v>74</v>
      </c>
      <c r="AZ870" t="s">
        <v>74</v>
      </c>
      <c r="BA870" t="s">
        <v>74</v>
      </c>
      <c r="BB870">
        <v>127</v>
      </c>
      <c r="BC870">
        <v>138</v>
      </c>
      <c r="BD870" t="s">
        <v>74</v>
      </c>
      <c r="BE870" t="s">
        <v>16160</v>
      </c>
      <c r="BF870" t="str">
        <f>HYPERLINK("http://dx.doi.org/10.1007/s10152-011-0253-4","http://dx.doi.org/10.1007/s10152-011-0253-4")</f>
        <v>http://dx.doi.org/10.1007/s10152-011-0253-4</v>
      </c>
      <c r="BG870" t="s">
        <v>74</v>
      </c>
      <c r="BH870" t="s">
        <v>74</v>
      </c>
      <c r="BI870">
        <v>12</v>
      </c>
      <c r="BJ870" t="s">
        <v>1161</v>
      </c>
      <c r="BK870" t="s">
        <v>98</v>
      </c>
      <c r="BL870" t="s">
        <v>1161</v>
      </c>
      <c r="BM870" t="s">
        <v>16161</v>
      </c>
      <c r="BN870" t="s">
        <v>74</v>
      </c>
      <c r="BO870" t="s">
        <v>1458</v>
      </c>
      <c r="BP870" t="s">
        <v>74</v>
      </c>
      <c r="BQ870" t="s">
        <v>74</v>
      </c>
      <c r="BR870" t="s">
        <v>101</v>
      </c>
      <c r="BS870" t="s">
        <v>16162</v>
      </c>
      <c r="BT870" t="str">
        <f>HYPERLINK("https%3A%2F%2Fwww.webofscience.com%2Fwos%2Fwoscc%2Ffull-record%2FWOS:000304298100002","View Full Record in Web of Science")</f>
        <v>View Full Record in Web of Science</v>
      </c>
    </row>
    <row r="871" spans="1:72" x14ac:dyDescent="0.15">
      <c r="A871" t="s">
        <v>72</v>
      </c>
      <c r="B871" t="s">
        <v>16163</v>
      </c>
      <c r="C871" t="s">
        <v>74</v>
      </c>
      <c r="D871" t="s">
        <v>74</v>
      </c>
      <c r="E871" t="s">
        <v>74</v>
      </c>
      <c r="F871" t="s">
        <v>16164</v>
      </c>
      <c r="G871" t="s">
        <v>74</v>
      </c>
      <c r="H871" t="s">
        <v>74</v>
      </c>
      <c r="I871" t="s">
        <v>16165</v>
      </c>
      <c r="J871" t="s">
        <v>8017</v>
      </c>
      <c r="K871" t="s">
        <v>74</v>
      </c>
      <c r="L871" t="s">
        <v>74</v>
      </c>
      <c r="M871" t="s">
        <v>78</v>
      </c>
      <c r="N871" t="s">
        <v>79</v>
      </c>
      <c r="O871" t="s">
        <v>74</v>
      </c>
      <c r="P871" t="s">
        <v>74</v>
      </c>
      <c r="Q871" t="s">
        <v>74</v>
      </c>
      <c r="R871" t="s">
        <v>74</v>
      </c>
      <c r="S871" t="s">
        <v>74</v>
      </c>
      <c r="T871" t="s">
        <v>16166</v>
      </c>
      <c r="U871" t="s">
        <v>16167</v>
      </c>
      <c r="V871" t="s">
        <v>16168</v>
      </c>
      <c r="W871" t="s">
        <v>16169</v>
      </c>
      <c r="X871" t="s">
        <v>16170</v>
      </c>
      <c r="Y871" t="s">
        <v>16171</v>
      </c>
      <c r="Z871" t="s">
        <v>16172</v>
      </c>
      <c r="AA871" t="s">
        <v>16173</v>
      </c>
      <c r="AB871" t="s">
        <v>16174</v>
      </c>
      <c r="AC871" t="s">
        <v>16175</v>
      </c>
      <c r="AD871" t="s">
        <v>16176</v>
      </c>
      <c r="AE871" t="s">
        <v>16177</v>
      </c>
      <c r="AF871" t="s">
        <v>74</v>
      </c>
      <c r="AG871">
        <v>27</v>
      </c>
      <c r="AH871">
        <v>9</v>
      </c>
      <c r="AI871">
        <v>9</v>
      </c>
      <c r="AJ871">
        <v>0</v>
      </c>
      <c r="AK871">
        <v>7</v>
      </c>
      <c r="AL871" t="s">
        <v>935</v>
      </c>
      <c r="AM871" t="s">
        <v>371</v>
      </c>
      <c r="AN871" t="s">
        <v>936</v>
      </c>
      <c r="AO871" t="s">
        <v>8030</v>
      </c>
      <c r="AP871" t="s">
        <v>74</v>
      </c>
      <c r="AQ871" t="s">
        <v>74</v>
      </c>
      <c r="AR871" t="s">
        <v>8032</v>
      </c>
      <c r="AS871" t="s">
        <v>8033</v>
      </c>
      <c r="AT871" t="s">
        <v>15365</v>
      </c>
      <c r="AU871">
        <v>2012</v>
      </c>
      <c r="AV871">
        <v>66</v>
      </c>
      <c r="AW871">
        <v>2</v>
      </c>
      <c r="AX871" t="s">
        <v>74</v>
      </c>
      <c r="AY871" t="s">
        <v>74</v>
      </c>
      <c r="AZ871" t="s">
        <v>74</v>
      </c>
      <c r="BA871" t="s">
        <v>74</v>
      </c>
      <c r="BB871">
        <v>211</v>
      </c>
      <c r="BC871">
        <v>218</v>
      </c>
      <c r="BD871" t="s">
        <v>74</v>
      </c>
      <c r="BE871" t="s">
        <v>16178</v>
      </c>
      <c r="BF871" t="str">
        <f>HYPERLINK("http://dx.doi.org/10.1007/s10152-011-0263-2","http://dx.doi.org/10.1007/s10152-011-0263-2")</f>
        <v>http://dx.doi.org/10.1007/s10152-011-0263-2</v>
      </c>
      <c r="BG871" t="s">
        <v>74</v>
      </c>
      <c r="BH871" t="s">
        <v>74</v>
      </c>
      <c r="BI871">
        <v>8</v>
      </c>
      <c r="BJ871" t="s">
        <v>1161</v>
      </c>
      <c r="BK871" t="s">
        <v>98</v>
      </c>
      <c r="BL871" t="s">
        <v>1161</v>
      </c>
      <c r="BM871" t="s">
        <v>16161</v>
      </c>
      <c r="BN871" t="s">
        <v>74</v>
      </c>
      <c r="BO871" t="s">
        <v>607</v>
      </c>
      <c r="BP871" t="s">
        <v>74</v>
      </c>
      <c r="BQ871" t="s">
        <v>74</v>
      </c>
      <c r="BR871" t="s">
        <v>101</v>
      </c>
      <c r="BS871" t="s">
        <v>16179</v>
      </c>
      <c r="BT871" t="str">
        <f>HYPERLINK("https%3A%2F%2Fwww.webofscience.com%2Fwos%2Fwoscc%2Ffull-record%2FWOS:000304298100010","View Full Record in Web of Science")</f>
        <v>View Full Record in Web of Science</v>
      </c>
    </row>
    <row r="872" spans="1:72" x14ac:dyDescent="0.15">
      <c r="A872" t="s">
        <v>72</v>
      </c>
      <c r="B872" t="s">
        <v>16180</v>
      </c>
      <c r="C872" t="s">
        <v>74</v>
      </c>
      <c r="D872" t="s">
        <v>74</v>
      </c>
      <c r="E872" t="s">
        <v>74</v>
      </c>
      <c r="F872" t="s">
        <v>16181</v>
      </c>
      <c r="G872" t="s">
        <v>74</v>
      </c>
      <c r="H872" t="s">
        <v>74</v>
      </c>
      <c r="I872" t="s">
        <v>16182</v>
      </c>
      <c r="J872" t="s">
        <v>1945</v>
      </c>
      <c r="K872" t="s">
        <v>74</v>
      </c>
      <c r="L872" t="s">
        <v>74</v>
      </c>
      <c r="M872" t="s">
        <v>78</v>
      </c>
      <c r="N872" t="s">
        <v>79</v>
      </c>
      <c r="O872" t="s">
        <v>74</v>
      </c>
      <c r="P872" t="s">
        <v>74</v>
      </c>
      <c r="Q872" t="s">
        <v>74</v>
      </c>
      <c r="R872" t="s">
        <v>74</v>
      </c>
      <c r="S872" t="s">
        <v>74</v>
      </c>
      <c r="T872" t="s">
        <v>16183</v>
      </c>
      <c r="U872" t="s">
        <v>16184</v>
      </c>
      <c r="V872" t="s">
        <v>16185</v>
      </c>
      <c r="W872" t="s">
        <v>16186</v>
      </c>
      <c r="X872" t="s">
        <v>16187</v>
      </c>
      <c r="Y872" t="s">
        <v>16188</v>
      </c>
      <c r="Z872" t="s">
        <v>16189</v>
      </c>
      <c r="AA872" t="s">
        <v>16190</v>
      </c>
      <c r="AB872" t="s">
        <v>16191</v>
      </c>
      <c r="AC872" t="s">
        <v>16192</v>
      </c>
      <c r="AD872" t="s">
        <v>16193</v>
      </c>
      <c r="AE872" t="s">
        <v>16194</v>
      </c>
      <c r="AF872" t="s">
        <v>74</v>
      </c>
      <c r="AG872">
        <v>114</v>
      </c>
      <c r="AH872">
        <v>51</v>
      </c>
      <c r="AI872">
        <v>56</v>
      </c>
      <c r="AJ872">
        <v>2</v>
      </c>
      <c r="AK872">
        <v>90</v>
      </c>
      <c r="AL872" t="s">
        <v>1958</v>
      </c>
      <c r="AM872" t="s">
        <v>1959</v>
      </c>
      <c r="AN872" t="s">
        <v>1960</v>
      </c>
      <c r="AO872" t="s">
        <v>1961</v>
      </c>
      <c r="AP872" t="s">
        <v>1962</v>
      </c>
      <c r="AQ872" t="s">
        <v>74</v>
      </c>
      <c r="AR872" t="s">
        <v>1963</v>
      </c>
      <c r="AS872" t="s">
        <v>1964</v>
      </c>
      <c r="AT872" t="s">
        <v>15365</v>
      </c>
      <c r="AU872">
        <v>2012</v>
      </c>
      <c r="AV872">
        <v>215</v>
      </c>
      <c r="AW872">
        <v>12</v>
      </c>
      <c r="AX872" t="s">
        <v>74</v>
      </c>
      <c r="AY872" t="s">
        <v>74</v>
      </c>
      <c r="AZ872" t="s">
        <v>74</v>
      </c>
      <c r="BA872" t="s">
        <v>74</v>
      </c>
      <c r="BB872">
        <v>1995</v>
      </c>
      <c r="BC872">
        <v>2002</v>
      </c>
      <c r="BD872" t="s">
        <v>74</v>
      </c>
      <c r="BE872" t="s">
        <v>16195</v>
      </c>
      <c r="BF872" t="str">
        <f>HYPERLINK("http://dx.doi.org/10.1242/jeb.067066","http://dx.doi.org/10.1242/jeb.067066")</f>
        <v>http://dx.doi.org/10.1242/jeb.067066</v>
      </c>
      <c r="BG872" t="s">
        <v>74</v>
      </c>
      <c r="BH872" t="s">
        <v>74</v>
      </c>
      <c r="BI872">
        <v>8</v>
      </c>
      <c r="BJ872" t="s">
        <v>1966</v>
      </c>
      <c r="BK872" t="s">
        <v>98</v>
      </c>
      <c r="BL872" t="s">
        <v>1967</v>
      </c>
      <c r="BM872" t="s">
        <v>16196</v>
      </c>
      <c r="BN872">
        <v>22623187</v>
      </c>
      <c r="BO872" t="s">
        <v>607</v>
      </c>
      <c r="BP872" t="s">
        <v>74</v>
      </c>
      <c r="BQ872" t="s">
        <v>74</v>
      </c>
      <c r="BR872" t="s">
        <v>101</v>
      </c>
      <c r="BS872" t="s">
        <v>16197</v>
      </c>
      <c r="BT872" t="str">
        <f>HYPERLINK("https%3A%2F%2Fwww.webofscience.com%2Fwos%2Fwoscc%2Ffull-record%2FWOS:000304423200005","View Full Record in Web of Science")</f>
        <v>View Full Record in Web of Science</v>
      </c>
    </row>
    <row r="873" spans="1:72" x14ac:dyDescent="0.15">
      <c r="A873" t="s">
        <v>72</v>
      </c>
      <c r="B873" t="s">
        <v>16198</v>
      </c>
      <c r="C873" t="s">
        <v>74</v>
      </c>
      <c r="D873" t="s">
        <v>74</v>
      </c>
      <c r="E873" t="s">
        <v>74</v>
      </c>
      <c r="F873" t="s">
        <v>16199</v>
      </c>
      <c r="G873" t="s">
        <v>74</v>
      </c>
      <c r="H873" t="s">
        <v>74</v>
      </c>
      <c r="I873" t="s">
        <v>16200</v>
      </c>
      <c r="J873" t="s">
        <v>1945</v>
      </c>
      <c r="K873" t="s">
        <v>74</v>
      </c>
      <c r="L873" t="s">
        <v>74</v>
      </c>
      <c r="M873" t="s">
        <v>78</v>
      </c>
      <c r="N873" t="s">
        <v>79</v>
      </c>
      <c r="O873" t="s">
        <v>74</v>
      </c>
      <c r="P873" t="s">
        <v>74</v>
      </c>
      <c r="Q873" t="s">
        <v>74</v>
      </c>
      <c r="R873" t="s">
        <v>74</v>
      </c>
      <c r="S873" t="s">
        <v>74</v>
      </c>
      <c r="T873" t="s">
        <v>16201</v>
      </c>
      <c r="U873" t="s">
        <v>16202</v>
      </c>
      <c r="V873" t="s">
        <v>16203</v>
      </c>
      <c r="W873" t="s">
        <v>16204</v>
      </c>
      <c r="X873" t="s">
        <v>16205</v>
      </c>
      <c r="Y873" t="s">
        <v>16206</v>
      </c>
      <c r="Z873" t="s">
        <v>16207</v>
      </c>
      <c r="AA873" t="s">
        <v>16208</v>
      </c>
      <c r="AB873" t="s">
        <v>16209</v>
      </c>
      <c r="AC873" t="s">
        <v>16210</v>
      </c>
      <c r="AD873" t="s">
        <v>16211</v>
      </c>
      <c r="AE873" t="s">
        <v>16212</v>
      </c>
      <c r="AF873" t="s">
        <v>74</v>
      </c>
      <c r="AG873">
        <v>94</v>
      </c>
      <c r="AH873">
        <v>69</v>
      </c>
      <c r="AI873">
        <v>73</v>
      </c>
      <c r="AJ873">
        <v>2</v>
      </c>
      <c r="AK873">
        <v>53</v>
      </c>
      <c r="AL873" t="s">
        <v>1958</v>
      </c>
      <c r="AM873" t="s">
        <v>1959</v>
      </c>
      <c r="AN873" t="s">
        <v>1960</v>
      </c>
      <c r="AO873" t="s">
        <v>1961</v>
      </c>
      <c r="AP873" t="s">
        <v>1962</v>
      </c>
      <c r="AQ873" t="s">
        <v>74</v>
      </c>
      <c r="AR873" t="s">
        <v>1963</v>
      </c>
      <c r="AS873" t="s">
        <v>1964</v>
      </c>
      <c r="AT873" t="s">
        <v>15365</v>
      </c>
      <c r="AU873">
        <v>2012</v>
      </c>
      <c r="AV873">
        <v>215</v>
      </c>
      <c r="AW873">
        <v>12</v>
      </c>
      <c r="AX873" t="s">
        <v>74</v>
      </c>
      <c r="AY873" t="s">
        <v>74</v>
      </c>
      <c r="AZ873" t="s">
        <v>74</v>
      </c>
      <c r="BA873" t="s">
        <v>74</v>
      </c>
      <c r="BB873">
        <v>2150</v>
      </c>
      <c r="BC873">
        <v>2161</v>
      </c>
      <c r="BD873" t="s">
        <v>74</v>
      </c>
      <c r="BE873" t="s">
        <v>16213</v>
      </c>
      <c r="BF873" t="str">
        <f>HYPERLINK("http://dx.doi.org/10.1242/jeb.065631","http://dx.doi.org/10.1242/jeb.065631")</f>
        <v>http://dx.doi.org/10.1242/jeb.065631</v>
      </c>
      <c r="BG873" t="s">
        <v>74</v>
      </c>
      <c r="BH873" t="s">
        <v>74</v>
      </c>
      <c r="BI873">
        <v>12</v>
      </c>
      <c r="BJ873" t="s">
        <v>1966</v>
      </c>
      <c r="BK873" t="s">
        <v>98</v>
      </c>
      <c r="BL873" t="s">
        <v>1967</v>
      </c>
      <c r="BM873" t="s">
        <v>16196</v>
      </c>
      <c r="BN873">
        <v>22623204</v>
      </c>
      <c r="BO873" t="s">
        <v>607</v>
      </c>
      <c r="BP873" t="s">
        <v>74</v>
      </c>
      <c r="BQ873" t="s">
        <v>74</v>
      </c>
      <c r="BR873" t="s">
        <v>101</v>
      </c>
      <c r="BS873" t="s">
        <v>16214</v>
      </c>
      <c r="BT873" t="str">
        <f>HYPERLINK("https%3A%2F%2Fwww.webofscience.com%2Fwos%2Fwoscc%2Ffull-record%2FWOS:000304423200022","View Full Record in Web of Science")</f>
        <v>View Full Record in Web of Science</v>
      </c>
    </row>
    <row r="874" spans="1:72" x14ac:dyDescent="0.15">
      <c r="A874" t="s">
        <v>72</v>
      </c>
      <c r="B874" t="s">
        <v>16215</v>
      </c>
      <c r="C874" t="s">
        <v>74</v>
      </c>
      <c r="D874" t="s">
        <v>74</v>
      </c>
      <c r="E874" t="s">
        <v>74</v>
      </c>
      <c r="F874" t="s">
        <v>16216</v>
      </c>
      <c r="G874" t="s">
        <v>74</v>
      </c>
      <c r="H874" t="s">
        <v>74</v>
      </c>
      <c r="I874" t="s">
        <v>16217</v>
      </c>
      <c r="J874" t="s">
        <v>16218</v>
      </c>
      <c r="K874" t="s">
        <v>74</v>
      </c>
      <c r="L874" t="s">
        <v>74</v>
      </c>
      <c r="M874" t="s">
        <v>78</v>
      </c>
      <c r="N874" t="s">
        <v>79</v>
      </c>
      <c r="O874" t="s">
        <v>74</v>
      </c>
      <c r="P874" t="s">
        <v>74</v>
      </c>
      <c r="Q874" t="s">
        <v>74</v>
      </c>
      <c r="R874" t="s">
        <v>74</v>
      </c>
      <c r="S874" t="s">
        <v>74</v>
      </c>
      <c r="T874" t="s">
        <v>16219</v>
      </c>
      <c r="U874" t="s">
        <v>16220</v>
      </c>
      <c r="V874" t="s">
        <v>16221</v>
      </c>
      <c r="W874" t="s">
        <v>16222</v>
      </c>
      <c r="X874" t="s">
        <v>16223</v>
      </c>
      <c r="Y874" t="s">
        <v>16224</v>
      </c>
      <c r="Z874" t="s">
        <v>16225</v>
      </c>
      <c r="AA874" t="s">
        <v>16226</v>
      </c>
      <c r="AB874" t="s">
        <v>16227</v>
      </c>
      <c r="AC874" t="s">
        <v>16228</v>
      </c>
      <c r="AD874" t="s">
        <v>16229</v>
      </c>
      <c r="AE874" t="s">
        <v>16230</v>
      </c>
      <c r="AF874" t="s">
        <v>74</v>
      </c>
      <c r="AG874">
        <v>20</v>
      </c>
      <c r="AH874">
        <v>16</v>
      </c>
      <c r="AI874">
        <v>16</v>
      </c>
      <c r="AJ874">
        <v>2</v>
      </c>
      <c r="AK874">
        <v>31</v>
      </c>
      <c r="AL874" t="s">
        <v>4767</v>
      </c>
      <c r="AM874" t="s">
        <v>4768</v>
      </c>
      <c r="AN874" t="s">
        <v>4769</v>
      </c>
      <c r="AO874" t="s">
        <v>16231</v>
      </c>
      <c r="AP874" t="s">
        <v>74</v>
      </c>
      <c r="AQ874" t="s">
        <v>74</v>
      </c>
      <c r="AR874" t="s">
        <v>16232</v>
      </c>
      <c r="AS874" t="s">
        <v>16233</v>
      </c>
      <c r="AT874" t="s">
        <v>15365</v>
      </c>
      <c r="AU874">
        <v>2012</v>
      </c>
      <c r="AV874">
        <v>62</v>
      </c>
      <c r="AW874">
        <v>6</v>
      </c>
      <c r="AX874" t="s">
        <v>74</v>
      </c>
      <c r="AY874" t="s">
        <v>74</v>
      </c>
      <c r="AZ874" t="s">
        <v>74</v>
      </c>
      <c r="BA874" t="s">
        <v>74</v>
      </c>
      <c r="BB874">
        <v>893</v>
      </c>
      <c r="BC874">
        <v>905</v>
      </c>
      <c r="BD874" t="s">
        <v>74</v>
      </c>
      <c r="BE874" t="s">
        <v>16234</v>
      </c>
      <c r="BF874" t="str">
        <f>HYPERLINK("http://dx.doi.org/10.1007/s10236-012-0541-9","http://dx.doi.org/10.1007/s10236-012-0541-9")</f>
        <v>http://dx.doi.org/10.1007/s10236-012-0541-9</v>
      </c>
      <c r="BG874" t="s">
        <v>74</v>
      </c>
      <c r="BH874" t="s">
        <v>74</v>
      </c>
      <c r="BI874">
        <v>13</v>
      </c>
      <c r="BJ874" t="s">
        <v>941</v>
      </c>
      <c r="BK874" t="s">
        <v>98</v>
      </c>
      <c r="BL874" t="s">
        <v>941</v>
      </c>
      <c r="BM874" t="s">
        <v>16235</v>
      </c>
      <c r="BN874" t="s">
        <v>74</v>
      </c>
      <c r="BO874" t="s">
        <v>74</v>
      </c>
      <c r="BP874" t="s">
        <v>74</v>
      </c>
      <c r="BQ874" t="s">
        <v>74</v>
      </c>
      <c r="BR874" t="s">
        <v>101</v>
      </c>
      <c r="BS874" t="s">
        <v>16236</v>
      </c>
      <c r="BT874" t="str">
        <f>HYPERLINK("https%3A%2F%2Fwww.webofscience.com%2Fwos%2Fwoscc%2Ffull-record%2FWOS:000304308500006","View Full Record in Web of Science")</f>
        <v>View Full Record in Web of Science</v>
      </c>
    </row>
    <row r="875" spans="1:72" x14ac:dyDescent="0.15">
      <c r="A875" t="s">
        <v>72</v>
      </c>
      <c r="B875" t="s">
        <v>16237</v>
      </c>
      <c r="C875" t="s">
        <v>74</v>
      </c>
      <c r="D875" t="s">
        <v>74</v>
      </c>
      <c r="E875" t="s">
        <v>74</v>
      </c>
      <c r="F875" t="s">
        <v>16238</v>
      </c>
      <c r="G875" t="s">
        <v>74</v>
      </c>
      <c r="H875" t="s">
        <v>74</v>
      </c>
      <c r="I875" t="s">
        <v>16239</v>
      </c>
      <c r="J875" t="s">
        <v>16240</v>
      </c>
      <c r="K875" t="s">
        <v>74</v>
      </c>
      <c r="L875" t="s">
        <v>74</v>
      </c>
      <c r="M875" t="s">
        <v>78</v>
      </c>
      <c r="N875" t="s">
        <v>79</v>
      </c>
      <c r="O875" t="s">
        <v>74</v>
      </c>
      <c r="P875" t="s">
        <v>74</v>
      </c>
      <c r="Q875" t="s">
        <v>74</v>
      </c>
      <c r="R875" t="s">
        <v>74</v>
      </c>
      <c r="S875" t="s">
        <v>74</v>
      </c>
      <c r="T875" t="s">
        <v>16241</v>
      </c>
      <c r="U875" t="s">
        <v>16242</v>
      </c>
      <c r="V875" t="s">
        <v>16243</v>
      </c>
      <c r="W875" t="s">
        <v>16244</v>
      </c>
      <c r="X875" t="s">
        <v>16245</v>
      </c>
      <c r="Y875" t="s">
        <v>16246</v>
      </c>
      <c r="Z875" t="s">
        <v>16247</v>
      </c>
      <c r="AA875" t="s">
        <v>16248</v>
      </c>
      <c r="AB875" t="s">
        <v>16249</v>
      </c>
      <c r="AC875" t="s">
        <v>16250</v>
      </c>
      <c r="AD875" t="s">
        <v>16251</v>
      </c>
      <c r="AE875" t="s">
        <v>16252</v>
      </c>
      <c r="AF875" t="s">
        <v>74</v>
      </c>
      <c r="AG875">
        <v>53</v>
      </c>
      <c r="AH875">
        <v>97</v>
      </c>
      <c r="AI875">
        <v>117</v>
      </c>
      <c r="AJ875">
        <v>1</v>
      </c>
      <c r="AK875">
        <v>75</v>
      </c>
      <c r="AL875" t="s">
        <v>935</v>
      </c>
      <c r="AM875" t="s">
        <v>371</v>
      </c>
      <c r="AN875" t="s">
        <v>936</v>
      </c>
      <c r="AO875" t="s">
        <v>16253</v>
      </c>
      <c r="AP875" t="s">
        <v>16254</v>
      </c>
      <c r="AQ875" t="s">
        <v>74</v>
      </c>
      <c r="AR875" t="s">
        <v>16240</v>
      </c>
      <c r="AS875" t="s">
        <v>16255</v>
      </c>
      <c r="AT875" t="s">
        <v>15365</v>
      </c>
      <c r="AU875">
        <v>2012</v>
      </c>
      <c r="AV875">
        <v>169</v>
      </c>
      <c r="AW875">
        <v>2</v>
      </c>
      <c r="AX875" t="s">
        <v>74</v>
      </c>
      <c r="AY875" t="s">
        <v>74</v>
      </c>
      <c r="AZ875" t="s">
        <v>74</v>
      </c>
      <c r="BA875" t="s">
        <v>74</v>
      </c>
      <c r="BB875">
        <v>395</v>
      </c>
      <c r="BC875">
        <v>406</v>
      </c>
      <c r="BD875" t="s">
        <v>74</v>
      </c>
      <c r="BE875" t="s">
        <v>16256</v>
      </c>
      <c r="BF875" t="str">
        <f>HYPERLINK("http://dx.doi.org/10.1007/s00442-011-2202-y","http://dx.doi.org/10.1007/s00442-011-2202-y")</f>
        <v>http://dx.doi.org/10.1007/s00442-011-2202-y</v>
      </c>
      <c r="BG875" t="s">
        <v>74</v>
      </c>
      <c r="BH875" t="s">
        <v>74</v>
      </c>
      <c r="BI875">
        <v>12</v>
      </c>
      <c r="BJ875" t="s">
        <v>515</v>
      </c>
      <c r="BK875" t="s">
        <v>98</v>
      </c>
      <c r="BL875" t="s">
        <v>333</v>
      </c>
      <c r="BM875" t="s">
        <v>16257</v>
      </c>
      <c r="BN875">
        <v>22139429</v>
      </c>
      <c r="BO875" t="s">
        <v>74</v>
      </c>
      <c r="BP875" t="s">
        <v>74</v>
      </c>
      <c r="BQ875" t="s">
        <v>74</v>
      </c>
      <c r="BR875" t="s">
        <v>101</v>
      </c>
      <c r="BS875" t="s">
        <v>16258</v>
      </c>
      <c r="BT875" t="str">
        <f>HYPERLINK("https%3A%2F%2Fwww.webofscience.com%2Fwos%2Fwoscc%2Ffull-record%2FWOS:000304166600011","View Full Record in Web of Science")</f>
        <v>View Full Record in Web of Science</v>
      </c>
    </row>
    <row r="876" spans="1:72" x14ac:dyDescent="0.15">
      <c r="A876" t="s">
        <v>72</v>
      </c>
      <c r="B876" t="s">
        <v>16259</v>
      </c>
      <c r="C876" t="s">
        <v>74</v>
      </c>
      <c r="D876" t="s">
        <v>74</v>
      </c>
      <c r="E876" t="s">
        <v>74</v>
      </c>
      <c r="F876" t="s">
        <v>16260</v>
      </c>
      <c r="G876" t="s">
        <v>74</v>
      </c>
      <c r="H876" t="s">
        <v>74</v>
      </c>
      <c r="I876" t="s">
        <v>16261</v>
      </c>
      <c r="J876" t="s">
        <v>16262</v>
      </c>
      <c r="K876" t="s">
        <v>74</v>
      </c>
      <c r="L876" t="s">
        <v>74</v>
      </c>
      <c r="M876" t="s">
        <v>78</v>
      </c>
      <c r="N876" t="s">
        <v>974</v>
      </c>
      <c r="O876" t="s">
        <v>74</v>
      </c>
      <c r="P876" t="s">
        <v>74</v>
      </c>
      <c r="Q876" t="s">
        <v>74</v>
      </c>
      <c r="R876" t="s">
        <v>74</v>
      </c>
      <c r="S876" t="s">
        <v>74</v>
      </c>
      <c r="T876" t="s">
        <v>74</v>
      </c>
      <c r="U876" t="s">
        <v>16263</v>
      </c>
      <c r="V876" t="s">
        <v>16264</v>
      </c>
      <c r="W876" t="s">
        <v>16265</v>
      </c>
      <c r="X876" t="s">
        <v>16266</v>
      </c>
      <c r="Y876" t="s">
        <v>16267</v>
      </c>
      <c r="Z876" t="s">
        <v>16268</v>
      </c>
      <c r="AA876" t="s">
        <v>74</v>
      </c>
      <c r="AB876" t="s">
        <v>16269</v>
      </c>
      <c r="AC876" t="s">
        <v>74</v>
      </c>
      <c r="AD876" t="s">
        <v>74</v>
      </c>
      <c r="AE876" t="s">
        <v>74</v>
      </c>
      <c r="AF876" t="s">
        <v>74</v>
      </c>
      <c r="AG876">
        <v>72</v>
      </c>
      <c r="AH876">
        <v>39</v>
      </c>
      <c r="AI876">
        <v>40</v>
      </c>
      <c r="AJ876">
        <v>0</v>
      </c>
      <c r="AK876">
        <v>31</v>
      </c>
      <c r="AL876" t="s">
        <v>898</v>
      </c>
      <c r="AM876" t="s">
        <v>899</v>
      </c>
      <c r="AN876" t="s">
        <v>900</v>
      </c>
      <c r="AO876" t="s">
        <v>16270</v>
      </c>
      <c r="AP876" t="s">
        <v>16271</v>
      </c>
      <c r="AQ876" t="s">
        <v>74</v>
      </c>
      <c r="AR876" t="s">
        <v>16262</v>
      </c>
      <c r="AS876" t="s">
        <v>16272</v>
      </c>
      <c r="AT876" t="s">
        <v>15365</v>
      </c>
      <c r="AU876">
        <v>2012</v>
      </c>
      <c r="AV876">
        <v>24</v>
      </c>
      <c r="AW876">
        <v>3</v>
      </c>
      <c r="AX876" t="s">
        <v>74</v>
      </c>
      <c r="AY876" t="s">
        <v>74</v>
      </c>
      <c r="AZ876" t="s">
        <v>74</v>
      </c>
      <c r="BA876" t="s">
        <v>74</v>
      </c>
      <c r="BB876">
        <v>167</v>
      </c>
      <c r="BC876">
        <v>180</v>
      </c>
      <c r="BD876" t="s">
        <v>74</v>
      </c>
      <c r="BE876" t="s">
        <v>16273</v>
      </c>
      <c r="BF876" t="str">
        <f>HYPERLINK("http://dx.doi.org/10.1111/j.1365-3121.2011.01055.x","http://dx.doi.org/10.1111/j.1365-3121.2011.01055.x")</f>
        <v>http://dx.doi.org/10.1111/j.1365-3121.2011.01055.x</v>
      </c>
      <c r="BG876" t="s">
        <v>74</v>
      </c>
      <c r="BH876" t="s">
        <v>74</v>
      </c>
      <c r="BI876">
        <v>14</v>
      </c>
      <c r="BJ876" t="s">
        <v>461</v>
      </c>
      <c r="BK876" t="s">
        <v>98</v>
      </c>
      <c r="BL876" t="s">
        <v>462</v>
      </c>
      <c r="BM876" t="s">
        <v>16274</v>
      </c>
      <c r="BN876" t="s">
        <v>74</v>
      </c>
      <c r="BO876" t="s">
        <v>74</v>
      </c>
      <c r="BP876" t="s">
        <v>74</v>
      </c>
      <c r="BQ876" t="s">
        <v>74</v>
      </c>
      <c r="BR876" t="s">
        <v>101</v>
      </c>
      <c r="BS876" t="s">
        <v>16275</v>
      </c>
      <c r="BT876" t="str">
        <f>HYPERLINK("https%3A%2F%2Fwww.webofscience.com%2Fwos%2Fwoscc%2Ffull-record%2FWOS:000304088200001","View Full Record in Web of Science")</f>
        <v>View Full Record in Web of Science</v>
      </c>
    </row>
    <row r="877" spans="1:72" x14ac:dyDescent="0.15">
      <c r="A877" t="s">
        <v>72</v>
      </c>
      <c r="B877" t="s">
        <v>16276</v>
      </c>
      <c r="C877" t="s">
        <v>74</v>
      </c>
      <c r="D877" t="s">
        <v>74</v>
      </c>
      <c r="E877" t="s">
        <v>74</v>
      </c>
      <c r="F877" t="s">
        <v>16277</v>
      </c>
      <c r="G877" t="s">
        <v>74</v>
      </c>
      <c r="H877" t="s">
        <v>74</v>
      </c>
      <c r="I877" t="s">
        <v>16278</v>
      </c>
      <c r="J877" t="s">
        <v>16279</v>
      </c>
      <c r="K877" t="s">
        <v>74</v>
      </c>
      <c r="L877" t="s">
        <v>74</v>
      </c>
      <c r="M877" t="s">
        <v>78</v>
      </c>
      <c r="N877" t="s">
        <v>79</v>
      </c>
      <c r="O877" t="s">
        <v>74</v>
      </c>
      <c r="P877" t="s">
        <v>74</v>
      </c>
      <c r="Q877" t="s">
        <v>74</v>
      </c>
      <c r="R877" t="s">
        <v>74</v>
      </c>
      <c r="S877" t="s">
        <v>74</v>
      </c>
      <c r="T877" t="s">
        <v>16280</v>
      </c>
      <c r="U877" t="s">
        <v>16281</v>
      </c>
      <c r="V877" t="s">
        <v>16282</v>
      </c>
      <c r="W877" t="s">
        <v>16283</v>
      </c>
      <c r="X877" t="s">
        <v>15446</v>
      </c>
      <c r="Y877" t="s">
        <v>16284</v>
      </c>
      <c r="Z877" t="s">
        <v>16285</v>
      </c>
      <c r="AA877" t="s">
        <v>16286</v>
      </c>
      <c r="AB877" t="s">
        <v>16287</v>
      </c>
      <c r="AC877" t="s">
        <v>16288</v>
      </c>
      <c r="AD877" t="s">
        <v>16289</v>
      </c>
      <c r="AE877" t="s">
        <v>16290</v>
      </c>
      <c r="AF877" t="s">
        <v>74</v>
      </c>
      <c r="AG877">
        <v>34</v>
      </c>
      <c r="AH877">
        <v>148</v>
      </c>
      <c r="AI877">
        <v>188</v>
      </c>
      <c r="AJ877">
        <v>2</v>
      </c>
      <c r="AK877">
        <v>40</v>
      </c>
      <c r="AL877" t="s">
        <v>4767</v>
      </c>
      <c r="AM877" t="s">
        <v>4768</v>
      </c>
      <c r="AN877" t="s">
        <v>4769</v>
      </c>
      <c r="AO877" t="s">
        <v>16291</v>
      </c>
      <c r="AP877" t="s">
        <v>16292</v>
      </c>
      <c r="AQ877" t="s">
        <v>74</v>
      </c>
      <c r="AR877" t="s">
        <v>16293</v>
      </c>
      <c r="AS877" t="s">
        <v>16294</v>
      </c>
      <c r="AT877" t="s">
        <v>15365</v>
      </c>
      <c r="AU877">
        <v>2012</v>
      </c>
      <c r="AV877">
        <v>26</v>
      </c>
      <c r="AW877">
        <v>3</v>
      </c>
      <c r="AX877" t="s">
        <v>74</v>
      </c>
      <c r="AY877" t="s">
        <v>74</v>
      </c>
      <c r="AZ877" t="s">
        <v>74</v>
      </c>
      <c r="BA877" t="s">
        <v>74</v>
      </c>
      <c r="BB877">
        <v>318</v>
      </c>
      <c r="BC877">
        <v>329</v>
      </c>
      <c r="BD877" t="s">
        <v>74</v>
      </c>
      <c r="BE877" t="s">
        <v>16295</v>
      </c>
      <c r="BF877" t="str">
        <f>HYPERLINK("http://dx.doi.org/10.1007/s13351-012-0305-y","http://dx.doi.org/10.1007/s13351-012-0305-y")</f>
        <v>http://dx.doi.org/10.1007/s13351-012-0305-y</v>
      </c>
      <c r="BG877" t="s">
        <v>74</v>
      </c>
      <c r="BH877" t="s">
        <v>74</v>
      </c>
      <c r="BI877">
        <v>12</v>
      </c>
      <c r="BJ877" t="s">
        <v>378</v>
      </c>
      <c r="BK877" t="s">
        <v>98</v>
      </c>
      <c r="BL877" t="s">
        <v>378</v>
      </c>
      <c r="BM877" t="s">
        <v>16296</v>
      </c>
      <c r="BN877" t="s">
        <v>74</v>
      </c>
      <c r="BO877" t="s">
        <v>74</v>
      </c>
      <c r="BP877" t="s">
        <v>74</v>
      </c>
      <c r="BQ877" t="s">
        <v>74</v>
      </c>
      <c r="BR877" t="s">
        <v>101</v>
      </c>
      <c r="BS877" t="s">
        <v>16297</v>
      </c>
      <c r="BT877" t="str">
        <f>HYPERLINK("https%3A%2F%2Fwww.webofscience.com%2Fwos%2Fwoscc%2Ffull-record%2FWOS:000306123300005","View Full Record in Web of Science")</f>
        <v>View Full Record in Web of Science</v>
      </c>
    </row>
    <row r="878" spans="1:72" x14ac:dyDescent="0.15">
      <c r="A878" t="s">
        <v>72</v>
      </c>
      <c r="B878" t="s">
        <v>11373</v>
      </c>
      <c r="C878" t="s">
        <v>74</v>
      </c>
      <c r="D878" t="s">
        <v>74</v>
      </c>
      <c r="E878" t="s">
        <v>74</v>
      </c>
      <c r="F878" t="s">
        <v>11374</v>
      </c>
      <c r="G878" t="s">
        <v>74</v>
      </c>
      <c r="H878" t="s">
        <v>74</v>
      </c>
      <c r="I878" t="s">
        <v>16298</v>
      </c>
      <c r="J878" t="s">
        <v>5097</v>
      </c>
      <c r="K878" t="s">
        <v>74</v>
      </c>
      <c r="L878" t="s">
        <v>74</v>
      </c>
      <c r="M878" t="s">
        <v>78</v>
      </c>
      <c r="N878" t="s">
        <v>2829</v>
      </c>
      <c r="O878" t="s">
        <v>74</v>
      </c>
      <c r="P878" t="s">
        <v>74</v>
      </c>
      <c r="Q878" t="s">
        <v>74</v>
      </c>
      <c r="R878" t="s">
        <v>74</v>
      </c>
      <c r="S878" t="s">
        <v>74</v>
      </c>
      <c r="T878" t="s">
        <v>74</v>
      </c>
      <c r="U878" t="s">
        <v>74</v>
      </c>
      <c r="V878" t="s">
        <v>74</v>
      </c>
      <c r="W878" t="s">
        <v>74</v>
      </c>
      <c r="X878" t="s">
        <v>74</v>
      </c>
      <c r="Y878" t="s">
        <v>74</v>
      </c>
      <c r="Z878" t="s">
        <v>74</v>
      </c>
      <c r="AA878" t="s">
        <v>74</v>
      </c>
      <c r="AB878" t="s">
        <v>4961</v>
      </c>
      <c r="AC878" t="s">
        <v>16299</v>
      </c>
      <c r="AD878" t="s">
        <v>5910</v>
      </c>
      <c r="AE878" t="s">
        <v>74</v>
      </c>
      <c r="AF878" t="s">
        <v>74</v>
      </c>
      <c r="AG878">
        <v>0</v>
      </c>
      <c r="AH878">
        <v>0</v>
      </c>
      <c r="AI878">
        <v>0</v>
      </c>
      <c r="AJ878">
        <v>0</v>
      </c>
      <c r="AK878">
        <v>1</v>
      </c>
      <c r="AL878" t="s">
        <v>2780</v>
      </c>
      <c r="AM878" t="s">
        <v>371</v>
      </c>
      <c r="AN878" t="s">
        <v>2781</v>
      </c>
      <c r="AO878" t="s">
        <v>5108</v>
      </c>
      <c r="AP878" t="s">
        <v>74</v>
      </c>
      <c r="AQ878" t="s">
        <v>74</v>
      </c>
      <c r="AR878" t="s">
        <v>5110</v>
      </c>
      <c r="AS878" t="s">
        <v>5111</v>
      </c>
      <c r="AT878" t="s">
        <v>15365</v>
      </c>
      <c r="AU878">
        <v>2012</v>
      </c>
      <c r="AV878">
        <v>24</v>
      </c>
      <c r="AW878">
        <v>3</v>
      </c>
      <c r="AX878" t="s">
        <v>74</v>
      </c>
      <c r="AY878" t="s">
        <v>74</v>
      </c>
      <c r="AZ878" t="s">
        <v>74</v>
      </c>
      <c r="BA878" t="s">
        <v>74</v>
      </c>
      <c r="BB878">
        <v>209</v>
      </c>
      <c r="BC878">
        <v>209</v>
      </c>
      <c r="BD878" t="s">
        <v>74</v>
      </c>
      <c r="BE878" t="s">
        <v>16300</v>
      </c>
      <c r="BF878" t="str">
        <f>HYPERLINK("http://dx.doi.org/10.1017/S0954102012000375","http://dx.doi.org/10.1017/S0954102012000375")</f>
        <v>http://dx.doi.org/10.1017/S0954102012000375</v>
      </c>
      <c r="BG878" t="s">
        <v>74</v>
      </c>
      <c r="BH878" t="s">
        <v>74</v>
      </c>
      <c r="BI878">
        <v>1</v>
      </c>
      <c r="BJ878" t="s">
        <v>5113</v>
      </c>
      <c r="BK878" t="s">
        <v>98</v>
      </c>
      <c r="BL878" t="s">
        <v>5114</v>
      </c>
      <c r="BM878" t="s">
        <v>16013</v>
      </c>
      <c r="BN878" t="s">
        <v>74</v>
      </c>
      <c r="BO878" t="s">
        <v>1347</v>
      </c>
      <c r="BP878" t="s">
        <v>74</v>
      </c>
      <c r="BQ878" t="s">
        <v>74</v>
      </c>
      <c r="BR878" t="s">
        <v>101</v>
      </c>
      <c r="BS878" t="s">
        <v>16301</v>
      </c>
      <c r="BT878" t="str">
        <f>HYPERLINK("https%3A%2F%2Fwww.webofscience.com%2Fwos%2Fwoscc%2Ffull-record%2FWOS:000304440700001","View Full Record in Web of Science")</f>
        <v>View Full Record in Web of Science</v>
      </c>
    </row>
    <row r="879" spans="1:72" x14ac:dyDescent="0.15">
      <c r="A879" t="s">
        <v>72</v>
      </c>
      <c r="B879" t="s">
        <v>16302</v>
      </c>
      <c r="C879" t="s">
        <v>74</v>
      </c>
      <c r="D879" t="s">
        <v>74</v>
      </c>
      <c r="E879" t="s">
        <v>74</v>
      </c>
      <c r="F879" t="s">
        <v>16303</v>
      </c>
      <c r="G879" t="s">
        <v>74</v>
      </c>
      <c r="H879" t="s">
        <v>74</v>
      </c>
      <c r="I879" t="s">
        <v>16304</v>
      </c>
      <c r="J879" t="s">
        <v>5097</v>
      </c>
      <c r="K879" t="s">
        <v>74</v>
      </c>
      <c r="L879" t="s">
        <v>74</v>
      </c>
      <c r="M879" t="s">
        <v>78</v>
      </c>
      <c r="N879" t="s">
        <v>79</v>
      </c>
      <c r="O879" t="s">
        <v>74</v>
      </c>
      <c r="P879" t="s">
        <v>74</v>
      </c>
      <c r="Q879" t="s">
        <v>74</v>
      </c>
      <c r="R879" t="s">
        <v>74</v>
      </c>
      <c r="S879" t="s">
        <v>74</v>
      </c>
      <c r="T879" t="s">
        <v>16305</v>
      </c>
      <c r="U879" t="s">
        <v>16306</v>
      </c>
      <c r="V879" t="s">
        <v>16307</v>
      </c>
      <c r="W879" t="s">
        <v>16308</v>
      </c>
      <c r="X879" t="s">
        <v>16309</v>
      </c>
      <c r="Y879" t="s">
        <v>16310</v>
      </c>
      <c r="Z879" t="s">
        <v>14025</v>
      </c>
      <c r="AA879" t="s">
        <v>16311</v>
      </c>
      <c r="AB879" t="s">
        <v>16312</v>
      </c>
      <c r="AC879" t="s">
        <v>16313</v>
      </c>
      <c r="AD879" t="s">
        <v>16314</v>
      </c>
      <c r="AE879" t="s">
        <v>16315</v>
      </c>
      <c r="AF879" t="s">
        <v>74</v>
      </c>
      <c r="AG879">
        <v>49</v>
      </c>
      <c r="AH879">
        <v>17</v>
      </c>
      <c r="AI879">
        <v>20</v>
      </c>
      <c r="AJ879">
        <v>0</v>
      </c>
      <c r="AK879">
        <v>30</v>
      </c>
      <c r="AL879" t="s">
        <v>2780</v>
      </c>
      <c r="AM879" t="s">
        <v>371</v>
      </c>
      <c r="AN879" t="s">
        <v>2781</v>
      </c>
      <c r="AO879" t="s">
        <v>5108</v>
      </c>
      <c r="AP879" t="s">
        <v>74</v>
      </c>
      <c r="AQ879" t="s">
        <v>74</v>
      </c>
      <c r="AR879" t="s">
        <v>5110</v>
      </c>
      <c r="AS879" t="s">
        <v>5111</v>
      </c>
      <c r="AT879" t="s">
        <v>15365</v>
      </c>
      <c r="AU879">
        <v>2012</v>
      </c>
      <c r="AV879">
        <v>24</v>
      </c>
      <c r="AW879">
        <v>3</v>
      </c>
      <c r="AX879" t="s">
        <v>74</v>
      </c>
      <c r="AY879" t="s">
        <v>74</v>
      </c>
      <c r="AZ879" t="s">
        <v>74</v>
      </c>
      <c r="BA879" t="s">
        <v>74</v>
      </c>
      <c r="BB879">
        <v>249</v>
      </c>
      <c r="BC879">
        <v>258</v>
      </c>
      <c r="BD879" t="s">
        <v>74</v>
      </c>
      <c r="BE879" t="s">
        <v>16316</v>
      </c>
      <c r="BF879" t="str">
        <f>HYPERLINK("http://dx.doi.org/10.1017/S0954102012000028","http://dx.doi.org/10.1017/S0954102012000028")</f>
        <v>http://dx.doi.org/10.1017/S0954102012000028</v>
      </c>
      <c r="BG879" t="s">
        <v>74</v>
      </c>
      <c r="BH879" t="s">
        <v>74</v>
      </c>
      <c r="BI879">
        <v>10</v>
      </c>
      <c r="BJ879" t="s">
        <v>5113</v>
      </c>
      <c r="BK879" t="s">
        <v>98</v>
      </c>
      <c r="BL879" t="s">
        <v>5114</v>
      </c>
      <c r="BM879" t="s">
        <v>16013</v>
      </c>
      <c r="BN879" t="s">
        <v>74</v>
      </c>
      <c r="BO879" t="s">
        <v>416</v>
      </c>
      <c r="BP879" t="s">
        <v>74</v>
      </c>
      <c r="BQ879" t="s">
        <v>74</v>
      </c>
      <c r="BR879" t="s">
        <v>101</v>
      </c>
      <c r="BS879" t="s">
        <v>16317</v>
      </c>
      <c r="BT879" t="str">
        <f>HYPERLINK("https%3A%2F%2Fwww.webofscience.com%2Fwos%2Fwoscc%2Ffull-record%2FWOS:000304440700005","View Full Record in Web of Science")</f>
        <v>View Full Record in Web of Science</v>
      </c>
    </row>
    <row r="880" spans="1:72" x14ac:dyDescent="0.15">
      <c r="A880" t="s">
        <v>72</v>
      </c>
      <c r="B880" t="s">
        <v>16318</v>
      </c>
      <c r="C880" t="s">
        <v>74</v>
      </c>
      <c r="D880" t="s">
        <v>74</v>
      </c>
      <c r="E880" t="s">
        <v>74</v>
      </c>
      <c r="F880" t="s">
        <v>16319</v>
      </c>
      <c r="G880" t="s">
        <v>74</v>
      </c>
      <c r="H880" t="s">
        <v>74</v>
      </c>
      <c r="I880" t="s">
        <v>16320</v>
      </c>
      <c r="J880" t="s">
        <v>5097</v>
      </c>
      <c r="K880" t="s">
        <v>74</v>
      </c>
      <c r="L880" t="s">
        <v>74</v>
      </c>
      <c r="M880" t="s">
        <v>78</v>
      </c>
      <c r="N880" t="s">
        <v>79</v>
      </c>
      <c r="O880" t="s">
        <v>74</v>
      </c>
      <c r="P880" t="s">
        <v>74</v>
      </c>
      <c r="Q880" t="s">
        <v>74</v>
      </c>
      <c r="R880" t="s">
        <v>74</v>
      </c>
      <c r="S880" t="s">
        <v>74</v>
      </c>
      <c r="T880" t="s">
        <v>16321</v>
      </c>
      <c r="U880" t="s">
        <v>16322</v>
      </c>
      <c r="V880" t="s">
        <v>16323</v>
      </c>
      <c r="W880" t="s">
        <v>16324</v>
      </c>
      <c r="X880" t="s">
        <v>16325</v>
      </c>
      <c r="Y880" t="s">
        <v>16326</v>
      </c>
      <c r="Z880" t="s">
        <v>16327</v>
      </c>
      <c r="AA880" t="s">
        <v>9073</v>
      </c>
      <c r="AB880" t="s">
        <v>16328</v>
      </c>
      <c r="AC880" t="s">
        <v>16329</v>
      </c>
      <c r="AD880" t="s">
        <v>16330</v>
      </c>
      <c r="AE880" t="s">
        <v>16331</v>
      </c>
      <c r="AF880" t="s">
        <v>74</v>
      </c>
      <c r="AG880">
        <v>28</v>
      </c>
      <c r="AH880">
        <v>9</v>
      </c>
      <c r="AI880">
        <v>12</v>
      </c>
      <c r="AJ880">
        <v>0</v>
      </c>
      <c r="AK880">
        <v>109</v>
      </c>
      <c r="AL880" t="s">
        <v>2780</v>
      </c>
      <c r="AM880" t="s">
        <v>371</v>
      </c>
      <c r="AN880" t="s">
        <v>2781</v>
      </c>
      <c r="AO880" t="s">
        <v>5108</v>
      </c>
      <c r="AP880" t="s">
        <v>74</v>
      </c>
      <c r="AQ880" t="s">
        <v>74</v>
      </c>
      <c r="AR880" t="s">
        <v>5110</v>
      </c>
      <c r="AS880" t="s">
        <v>5111</v>
      </c>
      <c r="AT880" t="s">
        <v>15365</v>
      </c>
      <c r="AU880">
        <v>2012</v>
      </c>
      <c r="AV880">
        <v>24</v>
      </c>
      <c r="AW880">
        <v>3</v>
      </c>
      <c r="AX880" t="s">
        <v>74</v>
      </c>
      <c r="AY880" t="s">
        <v>74</v>
      </c>
      <c r="AZ880" t="s">
        <v>74</v>
      </c>
      <c r="BA880" t="s">
        <v>74</v>
      </c>
      <c r="BB880">
        <v>259</v>
      </c>
      <c r="BC880">
        <v>268</v>
      </c>
      <c r="BD880" t="s">
        <v>74</v>
      </c>
      <c r="BE880" t="s">
        <v>16332</v>
      </c>
      <c r="BF880" t="str">
        <f>HYPERLINK("http://dx.doi.org/10.1017/S0954102012000119","http://dx.doi.org/10.1017/S0954102012000119")</f>
        <v>http://dx.doi.org/10.1017/S0954102012000119</v>
      </c>
      <c r="BG880" t="s">
        <v>74</v>
      </c>
      <c r="BH880" t="s">
        <v>74</v>
      </c>
      <c r="BI880">
        <v>10</v>
      </c>
      <c r="BJ880" t="s">
        <v>5113</v>
      </c>
      <c r="BK880" t="s">
        <v>98</v>
      </c>
      <c r="BL880" t="s">
        <v>5114</v>
      </c>
      <c r="BM880" t="s">
        <v>16013</v>
      </c>
      <c r="BN880" t="s">
        <v>74</v>
      </c>
      <c r="BO880" t="s">
        <v>74</v>
      </c>
      <c r="BP880" t="s">
        <v>74</v>
      </c>
      <c r="BQ880" t="s">
        <v>74</v>
      </c>
      <c r="BR880" t="s">
        <v>101</v>
      </c>
      <c r="BS880" t="s">
        <v>16333</v>
      </c>
      <c r="BT880" t="str">
        <f>HYPERLINK("https%3A%2F%2Fwww.webofscience.com%2Fwos%2Fwoscc%2Ffull-record%2FWOS:000304440700006","View Full Record in Web of Science")</f>
        <v>View Full Record in Web of Science</v>
      </c>
    </row>
    <row r="881" spans="1:72" x14ac:dyDescent="0.15">
      <c r="A881" t="s">
        <v>72</v>
      </c>
      <c r="B881" t="s">
        <v>16334</v>
      </c>
      <c r="C881" t="s">
        <v>74</v>
      </c>
      <c r="D881" t="s">
        <v>74</v>
      </c>
      <c r="E881" t="s">
        <v>74</v>
      </c>
      <c r="F881" t="s">
        <v>16335</v>
      </c>
      <c r="G881" t="s">
        <v>74</v>
      </c>
      <c r="H881" t="s">
        <v>74</v>
      </c>
      <c r="I881" t="s">
        <v>16336</v>
      </c>
      <c r="J881" t="s">
        <v>5097</v>
      </c>
      <c r="K881" t="s">
        <v>74</v>
      </c>
      <c r="L881" t="s">
        <v>74</v>
      </c>
      <c r="M881" t="s">
        <v>78</v>
      </c>
      <c r="N881" t="s">
        <v>79</v>
      </c>
      <c r="O881" t="s">
        <v>74</v>
      </c>
      <c r="P881" t="s">
        <v>74</v>
      </c>
      <c r="Q881" t="s">
        <v>74</v>
      </c>
      <c r="R881" t="s">
        <v>74</v>
      </c>
      <c r="S881" t="s">
        <v>74</v>
      </c>
      <c r="T881" t="s">
        <v>16337</v>
      </c>
      <c r="U881" t="s">
        <v>16338</v>
      </c>
      <c r="V881" t="s">
        <v>16339</v>
      </c>
      <c r="W881" t="s">
        <v>16340</v>
      </c>
      <c r="X881" t="s">
        <v>636</v>
      </c>
      <c r="Y881" t="s">
        <v>16341</v>
      </c>
      <c r="Z881" t="s">
        <v>16342</v>
      </c>
      <c r="AA881" t="s">
        <v>74</v>
      </c>
      <c r="AB881" t="s">
        <v>74</v>
      </c>
      <c r="AC881" t="s">
        <v>16343</v>
      </c>
      <c r="AD881" t="s">
        <v>16344</v>
      </c>
      <c r="AE881" t="s">
        <v>16345</v>
      </c>
      <c r="AF881" t="s">
        <v>74</v>
      </c>
      <c r="AG881">
        <v>42</v>
      </c>
      <c r="AH881">
        <v>13</v>
      </c>
      <c r="AI881">
        <v>14</v>
      </c>
      <c r="AJ881">
        <v>0</v>
      </c>
      <c r="AK881">
        <v>31</v>
      </c>
      <c r="AL881" t="s">
        <v>2780</v>
      </c>
      <c r="AM881" t="s">
        <v>371</v>
      </c>
      <c r="AN881" t="s">
        <v>2781</v>
      </c>
      <c r="AO881" t="s">
        <v>5108</v>
      </c>
      <c r="AP881" t="s">
        <v>5109</v>
      </c>
      <c r="AQ881" t="s">
        <v>74</v>
      </c>
      <c r="AR881" t="s">
        <v>5110</v>
      </c>
      <c r="AS881" t="s">
        <v>5111</v>
      </c>
      <c r="AT881" t="s">
        <v>15365</v>
      </c>
      <c r="AU881">
        <v>2012</v>
      </c>
      <c r="AV881">
        <v>24</v>
      </c>
      <c r="AW881">
        <v>3</v>
      </c>
      <c r="AX881" t="s">
        <v>74</v>
      </c>
      <c r="AY881" t="s">
        <v>74</v>
      </c>
      <c r="AZ881" t="s">
        <v>74</v>
      </c>
      <c r="BA881" t="s">
        <v>74</v>
      </c>
      <c r="BB881">
        <v>269</v>
      </c>
      <c r="BC881">
        <v>280</v>
      </c>
      <c r="BD881" t="s">
        <v>74</v>
      </c>
      <c r="BE881" t="s">
        <v>16346</v>
      </c>
      <c r="BF881" t="str">
        <f>HYPERLINK("http://dx.doi.org/10.1017/S0954102012000132","http://dx.doi.org/10.1017/S0954102012000132")</f>
        <v>http://dx.doi.org/10.1017/S0954102012000132</v>
      </c>
      <c r="BG881" t="s">
        <v>74</v>
      </c>
      <c r="BH881" t="s">
        <v>74</v>
      </c>
      <c r="BI881">
        <v>12</v>
      </c>
      <c r="BJ881" t="s">
        <v>5113</v>
      </c>
      <c r="BK881" t="s">
        <v>98</v>
      </c>
      <c r="BL881" t="s">
        <v>5114</v>
      </c>
      <c r="BM881" t="s">
        <v>16013</v>
      </c>
      <c r="BN881" t="s">
        <v>74</v>
      </c>
      <c r="BO881" t="s">
        <v>416</v>
      </c>
      <c r="BP881" t="s">
        <v>74</v>
      </c>
      <c r="BQ881" t="s">
        <v>74</v>
      </c>
      <c r="BR881" t="s">
        <v>101</v>
      </c>
      <c r="BS881" t="s">
        <v>16347</v>
      </c>
      <c r="BT881" t="str">
        <f>HYPERLINK("https%3A%2F%2Fwww.webofscience.com%2Fwos%2Fwoscc%2Ffull-record%2FWOS:000304440700007","View Full Record in Web of Science")</f>
        <v>View Full Record in Web of Science</v>
      </c>
    </row>
    <row r="882" spans="1:72" x14ac:dyDescent="0.15">
      <c r="A882" t="s">
        <v>72</v>
      </c>
      <c r="B882" t="s">
        <v>16348</v>
      </c>
      <c r="C882" t="s">
        <v>74</v>
      </c>
      <c r="D882" t="s">
        <v>74</v>
      </c>
      <c r="E882" t="s">
        <v>74</v>
      </c>
      <c r="F882" t="s">
        <v>16349</v>
      </c>
      <c r="G882" t="s">
        <v>74</v>
      </c>
      <c r="H882" t="s">
        <v>74</v>
      </c>
      <c r="I882" t="s">
        <v>16350</v>
      </c>
      <c r="J882" t="s">
        <v>7793</v>
      </c>
      <c r="K882" t="s">
        <v>74</v>
      </c>
      <c r="L882" t="s">
        <v>74</v>
      </c>
      <c r="M882" t="s">
        <v>78</v>
      </c>
      <c r="N882" t="s">
        <v>79</v>
      </c>
      <c r="O882" t="s">
        <v>74</v>
      </c>
      <c r="P882" t="s">
        <v>74</v>
      </c>
      <c r="Q882" t="s">
        <v>74</v>
      </c>
      <c r="R882" t="s">
        <v>74</v>
      </c>
      <c r="S882" t="s">
        <v>74</v>
      </c>
      <c r="T882" t="s">
        <v>74</v>
      </c>
      <c r="U882" t="s">
        <v>16351</v>
      </c>
      <c r="V882" t="s">
        <v>16352</v>
      </c>
      <c r="W882" t="s">
        <v>16353</v>
      </c>
      <c r="X882" t="s">
        <v>16354</v>
      </c>
      <c r="Y882" t="s">
        <v>16355</v>
      </c>
      <c r="Z882" t="s">
        <v>1806</v>
      </c>
      <c r="AA882" t="s">
        <v>1807</v>
      </c>
      <c r="AB882" t="s">
        <v>1808</v>
      </c>
      <c r="AC882" t="s">
        <v>16356</v>
      </c>
      <c r="AD882" t="s">
        <v>16357</v>
      </c>
      <c r="AE882" t="s">
        <v>16358</v>
      </c>
      <c r="AF882" t="s">
        <v>74</v>
      </c>
      <c r="AG882">
        <v>52</v>
      </c>
      <c r="AH882">
        <v>55</v>
      </c>
      <c r="AI882">
        <v>68</v>
      </c>
      <c r="AJ882">
        <v>5</v>
      </c>
      <c r="AK882">
        <v>72</v>
      </c>
      <c r="AL882" t="s">
        <v>1646</v>
      </c>
      <c r="AM882" t="s">
        <v>119</v>
      </c>
      <c r="AN882" t="s">
        <v>1647</v>
      </c>
      <c r="AO882" t="s">
        <v>7801</v>
      </c>
      <c r="AP882" t="s">
        <v>7802</v>
      </c>
      <c r="AQ882" t="s">
        <v>74</v>
      </c>
      <c r="AR882" t="s">
        <v>7803</v>
      </c>
      <c r="AS882" t="s">
        <v>7804</v>
      </c>
      <c r="AT882" t="s">
        <v>15365</v>
      </c>
      <c r="AU882">
        <v>2012</v>
      </c>
      <c r="AV882">
        <v>78</v>
      </c>
      <c r="AW882">
        <v>12</v>
      </c>
      <c r="AX882" t="s">
        <v>74</v>
      </c>
      <c r="AY882" t="s">
        <v>74</v>
      </c>
      <c r="AZ882" t="s">
        <v>74</v>
      </c>
      <c r="BA882" t="s">
        <v>74</v>
      </c>
      <c r="BB882">
        <v>4358</v>
      </c>
      <c r="BC882">
        <v>4366</v>
      </c>
      <c r="BD882" t="s">
        <v>74</v>
      </c>
      <c r="BE882" t="s">
        <v>16359</v>
      </c>
      <c r="BF882" t="str">
        <f>HYPERLINK("http://dx.doi.org/10.1128/AEM.00029-12","http://dx.doi.org/10.1128/AEM.00029-12")</f>
        <v>http://dx.doi.org/10.1128/AEM.00029-12</v>
      </c>
      <c r="BG882" t="s">
        <v>74</v>
      </c>
      <c r="BH882" t="s">
        <v>74</v>
      </c>
      <c r="BI882">
        <v>9</v>
      </c>
      <c r="BJ882" t="s">
        <v>7806</v>
      </c>
      <c r="BK882" t="s">
        <v>98</v>
      </c>
      <c r="BL882" t="s">
        <v>7806</v>
      </c>
      <c r="BM882" t="s">
        <v>16360</v>
      </c>
      <c r="BN882">
        <v>22492447</v>
      </c>
      <c r="BO882" t="s">
        <v>1458</v>
      </c>
      <c r="BP882" t="s">
        <v>74</v>
      </c>
      <c r="BQ882" t="s">
        <v>74</v>
      </c>
      <c r="BR882" t="s">
        <v>101</v>
      </c>
      <c r="BS882" t="s">
        <v>16361</v>
      </c>
      <c r="BT882" t="str">
        <f>HYPERLINK("https%3A%2F%2Fwww.webofscience.com%2Fwos%2Fwoscc%2Ffull-record%2FWOS:000304788500039","View Full Record in Web of Science")</f>
        <v>View Full Record in Web of Science</v>
      </c>
    </row>
    <row r="883" spans="1:72" x14ac:dyDescent="0.15">
      <c r="A883" t="s">
        <v>72</v>
      </c>
      <c r="B883" t="s">
        <v>16362</v>
      </c>
      <c r="C883" t="s">
        <v>74</v>
      </c>
      <c r="D883" t="s">
        <v>74</v>
      </c>
      <c r="E883" t="s">
        <v>74</v>
      </c>
      <c r="F883" t="s">
        <v>16363</v>
      </c>
      <c r="G883" t="s">
        <v>74</v>
      </c>
      <c r="H883" t="s">
        <v>74</v>
      </c>
      <c r="I883" t="s">
        <v>16364</v>
      </c>
      <c r="J883" t="s">
        <v>16365</v>
      </c>
      <c r="K883" t="s">
        <v>74</v>
      </c>
      <c r="L883" t="s">
        <v>74</v>
      </c>
      <c r="M883" t="s">
        <v>78</v>
      </c>
      <c r="N883" t="s">
        <v>79</v>
      </c>
      <c r="O883" t="s">
        <v>74</v>
      </c>
      <c r="P883" t="s">
        <v>74</v>
      </c>
      <c r="Q883" t="s">
        <v>74</v>
      </c>
      <c r="R883" t="s">
        <v>74</v>
      </c>
      <c r="S883" t="s">
        <v>74</v>
      </c>
      <c r="T883" t="s">
        <v>16366</v>
      </c>
      <c r="U883" t="s">
        <v>16367</v>
      </c>
      <c r="V883" t="s">
        <v>16368</v>
      </c>
      <c r="W883" t="s">
        <v>16369</v>
      </c>
      <c r="X883" t="s">
        <v>16370</v>
      </c>
      <c r="Y883" t="s">
        <v>16371</v>
      </c>
      <c r="Z883" t="s">
        <v>13398</v>
      </c>
      <c r="AA883" t="s">
        <v>74</v>
      </c>
      <c r="AB883" t="s">
        <v>74</v>
      </c>
      <c r="AC883" t="s">
        <v>16372</v>
      </c>
      <c r="AD883" t="s">
        <v>16373</v>
      </c>
      <c r="AE883" t="s">
        <v>16374</v>
      </c>
      <c r="AF883" t="s">
        <v>74</v>
      </c>
      <c r="AG883">
        <v>48</v>
      </c>
      <c r="AH883">
        <v>39</v>
      </c>
      <c r="AI883">
        <v>44</v>
      </c>
      <c r="AJ883">
        <v>3</v>
      </c>
      <c r="AK883">
        <v>36</v>
      </c>
      <c r="AL883" t="s">
        <v>16375</v>
      </c>
      <c r="AM883" t="s">
        <v>16376</v>
      </c>
      <c r="AN883" t="s">
        <v>16377</v>
      </c>
      <c r="AO883" t="s">
        <v>16378</v>
      </c>
      <c r="AP883" t="s">
        <v>16379</v>
      </c>
      <c r="AQ883" t="s">
        <v>74</v>
      </c>
      <c r="AR883" t="s">
        <v>16380</v>
      </c>
      <c r="AS883" t="s">
        <v>16381</v>
      </c>
      <c r="AT883" t="s">
        <v>15365</v>
      </c>
      <c r="AU883">
        <v>2012</v>
      </c>
      <c r="AV883">
        <v>167</v>
      </c>
      <c r="AW883">
        <v>4</v>
      </c>
      <c r="AX883" t="s">
        <v>74</v>
      </c>
      <c r="AY883" t="s">
        <v>74</v>
      </c>
      <c r="AZ883" t="s">
        <v>74</v>
      </c>
      <c r="BA883" t="s">
        <v>74</v>
      </c>
      <c r="BB883">
        <v>824</v>
      </c>
      <c r="BC883">
        <v>834</v>
      </c>
      <c r="BD883" t="s">
        <v>74</v>
      </c>
      <c r="BE883" t="s">
        <v>16382</v>
      </c>
      <c r="BF883" t="str">
        <f>HYPERLINK("http://dx.doi.org/10.1007/s12010-012-9739-z","http://dx.doi.org/10.1007/s12010-012-9739-z")</f>
        <v>http://dx.doi.org/10.1007/s12010-012-9739-z</v>
      </c>
      <c r="BG883" t="s">
        <v>74</v>
      </c>
      <c r="BH883" t="s">
        <v>74</v>
      </c>
      <c r="BI883">
        <v>11</v>
      </c>
      <c r="BJ883" t="s">
        <v>16383</v>
      </c>
      <c r="BK883" t="s">
        <v>98</v>
      </c>
      <c r="BL883" t="s">
        <v>16383</v>
      </c>
      <c r="BM883" t="s">
        <v>16384</v>
      </c>
      <c r="BN883">
        <v>22622645</v>
      </c>
      <c r="BO883" t="s">
        <v>74</v>
      </c>
      <c r="BP883" t="s">
        <v>74</v>
      </c>
      <c r="BQ883" t="s">
        <v>74</v>
      </c>
      <c r="BR883" t="s">
        <v>101</v>
      </c>
      <c r="BS883" t="s">
        <v>16385</v>
      </c>
      <c r="BT883" t="str">
        <f>HYPERLINK("https%3A%2F%2Fwww.webofscience.com%2Fwos%2Fwoscc%2Ffull-record%2FWOS:000304930200012","View Full Record in Web of Science")</f>
        <v>View Full Record in Web of Science</v>
      </c>
    </row>
    <row r="884" spans="1:72" x14ac:dyDescent="0.15">
      <c r="A884" t="s">
        <v>72</v>
      </c>
      <c r="B884" t="s">
        <v>16386</v>
      </c>
      <c r="C884" t="s">
        <v>74</v>
      </c>
      <c r="D884" t="s">
        <v>74</v>
      </c>
      <c r="E884" t="s">
        <v>74</v>
      </c>
      <c r="F884" t="s">
        <v>16387</v>
      </c>
      <c r="G884" t="s">
        <v>74</v>
      </c>
      <c r="H884" t="s">
        <v>74</v>
      </c>
      <c r="I884" t="s">
        <v>16388</v>
      </c>
      <c r="J884" t="s">
        <v>8272</v>
      </c>
      <c r="K884" t="s">
        <v>74</v>
      </c>
      <c r="L884" t="s">
        <v>74</v>
      </c>
      <c r="M884" t="s">
        <v>78</v>
      </c>
      <c r="N884" t="s">
        <v>79</v>
      </c>
      <c r="O884" t="s">
        <v>74</v>
      </c>
      <c r="P884" t="s">
        <v>74</v>
      </c>
      <c r="Q884" t="s">
        <v>74</v>
      </c>
      <c r="R884" t="s">
        <v>74</v>
      </c>
      <c r="S884" t="s">
        <v>74</v>
      </c>
      <c r="T884" t="s">
        <v>16389</v>
      </c>
      <c r="U884" t="s">
        <v>16390</v>
      </c>
      <c r="V884" t="s">
        <v>16391</v>
      </c>
      <c r="W884" t="s">
        <v>16392</v>
      </c>
      <c r="X884" t="s">
        <v>16393</v>
      </c>
      <c r="Y884" t="s">
        <v>16394</v>
      </c>
      <c r="Z884" t="s">
        <v>16395</v>
      </c>
      <c r="AA884" t="s">
        <v>16396</v>
      </c>
      <c r="AB884" t="s">
        <v>16397</v>
      </c>
      <c r="AC884" t="s">
        <v>16398</v>
      </c>
      <c r="AD884" t="s">
        <v>16399</v>
      </c>
      <c r="AE884" t="s">
        <v>16400</v>
      </c>
      <c r="AF884" t="s">
        <v>74</v>
      </c>
      <c r="AG884">
        <v>34</v>
      </c>
      <c r="AH884">
        <v>19</v>
      </c>
      <c r="AI884">
        <v>20</v>
      </c>
      <c r="AJ884">
        <v>0</v>
      </c>
      <c r="AK884">
        <v>30</v>
      </c>
      <c r="AL884" t="s">
        <v>89</v>
      </c>
      <c r="AM884" t="s">
        <v>90</v>
      </c>
      <c r="AN884" t="s">
        <v>91</v>
      </c>
      <c r="AO884" t="s">
        <v>8280</v>
      </c>
      <c r="AP884" t="s">
        <v>8281</v>
      </c>
      <c r="AQ884" t="s">
        <v>74</v>
      </c>
      <c r="AR884" t="s">
        <v>8282</v>
      </c>
      <c r="AS884" t="s">
        <v>8283</v>
      </c>
      <c r="AT884" t="s">
        <v>15365</v>
      </c>
      <c r="AU884">
        <v>2012</v>
      </c>
      <c r="AV884">
        <v>52</v>
      </c>
      <c r="AW884" t="s">
        <v>74</v>
      </c>
      <c r="AX884" t="s">
        <v>74</v>
      </c>
      <c r="AY884" t="s">
        <v>74</v>
      </c>
      <c r="AZ884" t="s">
        <v>1019</v>
      </c>
      <c r="BA884" t="s">
        <v>74</v>
      </c>
      <c r="BB884">
        <v>4</v>
      </c>
      <c r="BC884">
        <v>17</v>
      </c>
      <c r="BD884" t="s">
        <v>74</v>
      </c>
      <c r="BE884" t="s">
        <v>16401</v>
      </c>
      <c r="BF884" t="str">
        <f>HYPERLINK("http://dx.doi.org/10.1016/j.atmosenv.2011.07.042","http://dx.doi.org/10.1016/j.atmosenv.2011.07.042")</f>
        <v>http://dx.doi.org/10.1016/j.atmosenv.2011.07.042</v>
      </c>
      <c r="BG884" t="s">
        <v>74</v>
      </c>
      <c r="BH884" t="s">
        <v>74</v>
      </c>
      <c r="BI884">
        <v>14</v>
      </c>
      <c r="BJ884" t="s">
        <v>4129</v>
      </c>
      <c r="BK884" t="s">
        <v>98</v>
      </c>
      <c r="BL884" t="s">
        <v>2844</v>
      </c>
      <c r="BM884" t="s">
        <v>16402</v>
      </c>
      <c r="BN884" t="s">
        <v>74</v>
      </c>
      <c r="BO884" t="s">
        <v>1499</v>
      </c>
      <c r="BP884" t="s">
        <v>74</v>
      </c>
      <c r="BQ884" t="s">
        <v>74</v>
      </c>
      <c r="BR884" t="s">
        <v>101</v>
      </c>
      <c r="BS884" t="s">
        <v>16403</v>
      </c>
      <c r="BT884" t="str">
        <f>HYPERLINK("https%3A%2F%2Fwww.webofscience.com%2Fwos%2Fwoscc%2Ffull-record%2FWOS:000303098500002","View Full Record in Web of Science")</f>
        <v>View Full Record in Web of Science</v>
      </c>
    </row>
    <row r="885" spans="1:72" x14ac:dyDescent="0.15">
      <c r="A885" t="s">
        <v>72</v>
      </c>
      <c r="B885" t="s">
        <v>16404</v>
      </c>
      <c r="C885" t="s">
        <v>74</v>
      </c>
      <c r="D885" t="s">
        <v>74</v>
      </c>
      <c r="E885" t="s">
        <v>74</v>
      </c>
      <c r="F885" t="s">
        <v>16405</v>
      </c>
      <c r="G885" t="s">
        <v>74</v>
      </c>
      <c r="H885" t="s">
        <v>74</v>
      </c>
      <c r="I885" t="s">
        <v>16406</v>
      </c>
      <c r="J885" t="s">
        <v>8272</v>
      </c>
      <c r="K885" t="s">
        <v>74</v>
      </c>
      <c r="L885" t="s">
        <v>74</v>
      </c>
      <c r="M885" t="s">
        <v>78</v>
      </c>
      <c r="N885" t="s">
        <v>79</v>
      </c>
      <c r="O885" t="s">
        <v>74</v>
      </c>
      <c r="P885" t="s">
        <v>74</v>
      </c>
      <c r="Q885" t="s">
        <v>74</v>
      </c>
      <c r="R885" t="s">
        <v>74</v>
      </c>
      <c r="S885" t="s">
        <v>74</v>
      </c>
      <c r="T885" t="s">
        <v>16407</v>
      </c>
      <c r="U885" t="s">
        <v>16408</v>
      </c>
      <c r="V885" t="s">
        <v>16409</v>
      </c>
      <c r="W885" t="s">
        <v>16410</v>
      </c>
      <c r="X885" t="s">
        <v>16411</v>
      </c>
      <c r="Y885" t="s">
        <v>16412</v>
      </c>
      <c r="Z885" t="s">
        <v>16413</v>
      </c>
      <c r="AA885" t="s">
        <v>16414</v>
      </c>
      <c r="AB885" t="s">
        <v>74</v>
      </c>
      <c r="AC885" t="s">
        <v>74</v>
      </c>
      <c r="AD885" t="s">
        <v>74</v>
      </c>
      <c r="AE885" t="s">
        <v>74</v>
      </c>
      <c r="AF885" t="s">
        <v>74</v>
      </c>
      <c r="AG885">
        <v>45</v>
      </c>
      <c r="AH885">
        <v>20</v>
      </c>
      <c r="AI885">
        <v>24</v>
      </c>
      <c r="AJ885">
        <v>2</v>
      </c>
      <c r="AK885">
        <v>38</v>
      </c>
      <c r="AL885" t="s">
        <v>89</v>
      </c>
      <c r="AM885" t="s">
        <v>90</v>
      </c>
      <c r="AN885" t="s">
        <v>91</v>
      </c>
      <c r="AO885" t="s">
        <v>8280</v>
      </c>
      <c r="AP885" t="s">
        <v>8281</v>
      </c>
      <c r="AQ885" t="s">
        <v>74</v>
      </c>
      <c r="AR885" t="s">
        <v>8282</v>
      </c>
      <c r="AS885" t="s">
        <v>8283</v>
      </c>
      <c r="AT885" t="s">
        <v>15365</v>
      </c>
      <c r="AU885">
        <v>2012</v>
      </c>
      <c r="AV885">
        <v>52</v>
      </c>
      <c r="AW885" t="s">
        <v>74</v>
      </c>
      <c r="AX885" t="s">
        <v>74</v>
      </c>
      <c r="AY885" t="s">
        <v>74</v>
      </c>
      <c r="AZ885" t="s">
        <v>1019</v>
      </c>
      <c r="BA885" t="s">
        <v>74</v>
      </c>
      <c r="BB885">
        <v>48</v>
      </c>
      <c r="BC885">
        <v>55</v>
      </c>
      <c r="BD885" t="s">
        <v>74</v>
      </c>
      <c r="BE885" t="s">
        <v>16415</v>
      </c>
      <c r="BF885" t="str">
        <f>HYPERLINK("http://dx.doi.org/10.1016/j.atmosenv.2011.06.051","http://dx.doi.org/10.1016/j.atmosenv.2011.06.051")</f>
        <v>http://dx.doi.org/10.1016/j.atmosenv.2011.06.051</v>
      </c>
      <c r="BG885" t="s">
        <v>74</v>
      </c>
      <c r="BH885" t="s">
        <v>74</v>
      </c>
      <c r="BI885">
        <v>8</v>
      </c>
      <c r="BJ885" t="s">
        <v>4129</v>
      </c>
      <c r="BK885" t="s">
        <v>98</v>
      </c>
      <c r="BL885" t="s">
        <v>2844</v>
      </c>
      <c r="BM885" t="s">
        <v>16402</v>
      </c>
      <c r="BN885" t="s">
        <v>74</v>
      </c>
      <c r="BO885" t="s">
        <v>589</v>
      </c>
      <c r="BP885" t="s">
        <v>74</v>
      </c>
      <c r="BQ885" t="s">
        <v>74</v>
      </c>
      <c r="BR885" t="s">
        <v>101</v>
      </c>
      <c r="BS885" t="s">
        <v>16416</v>
      </c>
      <c r="BT885" t="str">
        <f>HYPERLINK("https%3A%2F%2Fwww.webofscience.com%2Fwos%2Fwoscc%2Ffull-record%2FWOS:000303098500005","View Full Record in Web of Science")</f>
        <v>View Full Record in Web of Science</v>
      </c>
    </row>
    <row r="886" spans="1:72" x14ac:dyDescent="0.15">
      <c r="A886" t="s">
        <v>72</v>
      </c>
      <c r="B886" t="s">
        <v>16417</v>
      </c>
      <c r="C886" t="s">
        <v>74</v>
      </c>
      <c r="D886" t="s">
        <v>74</v>
      </c>
      <c r="E886" t="s">
        <v>74</v>
      </c>
      <c r="F886" t="s">
        <v>16418</v>
      </c>
      <c r="G886" t="s">
        <v>74</v>
      </c>
      <c r="H886" t="s">
        <v>74</v>
      </c>
      <c r="I886" t="s">
        <v>16419</v>
      </c>
      <c r="J886" t="s">
        <v>8272</v>
      </c>
      <c r="K886" t="s">
        <v>74</v>
      </c>
      <c r="L886" t="s">
        <v>74</v>
      </c>
      <c r="M886" t="s">
        <v>78</v>
      </c>
      <c r="N886" t="s">
        <v>79</v>
      </c>
      <c r="O886" t="s">
        <v>74</v>
      </c>
      <c r="P886" t="s">
        <v>74</v>
      </c>
      <c r="Q886" t="s">
        <v>74</v>
      </c>
      <c r="R886" t="s">
        <v>74</v>
      </c>
      <c r="S886" t="s">
        <v>74</v>
      </c>
      <c r="T886" t="s">
        <v>16420</v>
      </c>
      <c r="U886" t="s">
        <v>16421</v>
      </c>
      <c r="V886" t="s">
        <v>16422</v>
      </c>
      <c r="W886" t="s">
        <v>16423</v>
      </c>
      <c r="X886" t="s">
        <v>16424</v>
      </c>
      <c r="Y886" t="s">
        <v>16425</v>
      </c>
      <c r="Z886" t="s">
        <v>16426</v>
      </c>
      <c r="AA886" t="s">
        <v>16427</v>
      </c>
      <c r="AB886" t="s">
        <v>16428</v>
      </c>
      <c r="AC886" t="s">
        <v>16429</v>
      </c>
      <c r="AD886" t="s">
        <v>16430</v>
      </c>
      <c r="AE886" t="s">
        <v>16431</v>
      </c>
      <c r="AF886" t="s">
        <v>74</v>
      </c>
      <c r="AG886">
        <v>29</v>
      </c>
      <c r="AH886">
        <v>33</v>
      </c>
      <c r="AI886">
        <v>35</v>
      </c>
      <c r="AJ886">
        <v>0</v>
      </c>
      <c r="AK886">
        <v>32</v>
      </c>
      <c r="AL886" t="s">
        <v>89</v>
      </c>
      <c r="AM886" t="s">
        <v>90</v>
      </c>
      <c r="AN886" t="s">
        <v>91</v>
      </c>
      <c r="AO886" t="s">
        <v>8280</v>
      </c>
      <c r="AP886" t="s">
        <v>74</v>
      </c>
      <c r="AQ886" t="s">
        <v>74</v>
      </c>
      <c r="AR886" t="s">
        <v>8282</v>
      </c>
      <c r="AS886" t="s">
        <v>8283</v>
      </c>
      <c r="AT886" t="s">
        <v>15365</v>
      </c>
      <c r="AU886">
        <v>2012</v>
      </c>
      <c r="AV886">
        <v>52</v>
      </c>
      <c r="AW886" t="s">
        <v>74</v>
      </c>
      <c r="AX886" t="s">
        <v>74</v>
      </c>
      <c r="AY886" t="s">
        <v>74</v>
      </c>
      <c r="AZ886" t="s">
        <v>1019</v>
      </c>
      <c r="BA886" t="s">
        <v>74</v>
      </c>
      <c r="BB886">
        <v>98</v>
      </c>
      <c r="BC886">
        <v>108</v>
      </c>
      <c r="BD886" t="s">
        <v>74</v>
      </c>
      <c r="BE886" t="s">
        <v>16432</v>
      </c>
      <c r="BF886" t="str">
        <f>HYPERLINK("http://dx.doi.org/10.1016/j.atmosenv.2011.07.053","http://dx.doi.org/10.1016/j.atmosenv.2011.07.053")</f>
        <v>http://dx.doi.org/10.1016/j.atmosenv.2011.07.053</v>
      </c>
      <c r="BG886" t="s">
        <v>74</v>
      </c>
      <c r="BH886" t="s">
        <v>74</v>
      </c>
      <c r="BI886">
        <v>11</v>
      </c>
      <c r="BJ886" t="s">
        <v>4129</v>
      </c>
      <c r="BK886" t="s">
        <v>98</v>
      </c>
      <c r="BL886" t="s">
        <v>2844</v>
      </c>
      <c r="BM886" t="s">
        <v>16402</v>
      </c>
      <c r="BN886" t="s">
        <v>74</v>
      </c>
      <c r="BO886" t="s">
        <v>74</v>
      </c>
      <c r="BP886" t="s">
        <v>74</v>
      </c>
      <c r="BQ886" t="s">
        <v>74</v>
      </c>
      <c r="BR886" t="s">
        <v>101</v>
      </c>
      <c r="BS886" t="s">
        <v>16433</v>
      </c>
      <c r="BT886" t="str">
        <f>HYPERLINK("https%3A%2F%2Fwww.webofscience.com%2Fwos%2Fwoscc%2Ffull-record%2FWOS:000303098500009","View Full Record in Web of Science")</f>
        <v>View Full Record in Web of Science</v>
      </c>
    </row>
    <row r="887" spans="1:72" x14ac:dyDescent="0.15">
      <c r="A887" t="s">
        <v>72</v>
      </c>
      <c r="B887" t="s">
        <v>16434</v>
      </c>
      <c r="C887" t="s">
        <v>74</v>
      </c>
      <c r="D887" t="s">
        <v>74</v>
      </c>
      <c r="E887" t="s">
        <v>74</v>
      </c>
      <c r="F887" t="s">
        <v>16435</v>
      </c>
      <c r="G887" t="s">
        <v>74</v>
      </c>
      <c r="H887" t="s">
        <v>74</v>
      </c>
      <c r="I887" t="s">
        <v>16436</v>
      </c>
      <c r="J887" t="s">
        <v>8272</v>
      </c>
      <c r="K887" t="s">
        <v>74</v>
      </c>
      <c r="L887" t="s">
        <v>74</v>
      </c>
      <c r="M887" t="s">
        <v>78</v>
      </c>
      <c r="N887" t="s">
        <v>79</v>
      </c>
      <c r="O887" t="s">
        <v>74</v>
      </c>
      <c r="P887" t="s">
        <v>74</v>
      </c>
      <c r="Q887" t="s">
        <v>74</v>
      </c>
      <c r="R887" t="s">
        <v>74</v>
      </c>
      <c r="S887" t="s">
        <v>74</v>
      </c>
      <c r="T887" t="s">
        <v>16437</v>
      </c>
      <c r="U887" t="s">
        <v>16438</v>
      </c>
      <c r="V887" t="s">
        <v>16439</v>
      </c>
      <c r="W887" t="s">
        <v>16440</v>
      </c>
      <c r="X887" t="s">
        <v>16441</v>
      </c>
      <c r="Y887" t="s">
        <v>16442</v>
      </c>
      <c r="Z887" t="s">
        <v>16443</v>
      </c>
      <c r="AA887" t="s">
        <v>16444</v>
      </c>
      <c r="AB887" t="s">
        <v>16445</v>
      </c>
      <c r="AC887" t="s">
        <v>16446</v>
      </c>
      <c r="AD887" t="s">
        <v>16447</v>
      </c>
      <c r="AE887" t="s">
        <v>16448</v>
      </c>
      <c r="AF887" t="s">
        <v>74</v>
      </c>
      <c r="AG887">
        <v>38</v>
      </c>
      <c r="AH887">
        <v>81</v>
      </c>
      <c r="AI887">
        <v>90</v>
      </c>
      <c r="AJ887">
        <v>3</v>
      </c>
      <c r="AK887">
        <v>78</v>
      </c>
      <c r="AL887" t="s">
        <v>89</v>
      </c>
      <c r="AM887" t="s">
        <v>90</v>
      </c>
      <c r="AN887" t="s">
        <v>91</v>
      </c>
      <c r="AO887" t="s">
        <v>8280</v>
      </c>
      <c r="AP887" t="s">
        <v>74</v>
      </c>
      <c r="AQ887" t="s">
        <v>74</v>
      </c>
      <c r="AR887" t="s">
        <v>8282</v>
      </c>
      <c r="AS887" t="s">
        <v>8283</v>
      </c>
      <c r="AT887" t="s">
        <v>15365</v>
      </c>
      <c r="AU887">
        <v>2012</v>
      </c>
      <c r="AV887">
        <v>52</v>
      </c>
      <c r="AW887" t="s">
        <v>74</v>
      </c>
      <c r="AX887" t="s">
        <v>74</v>
      </c>
      <c r="AY887" t="s">
        <v>74</v>
      </c>
      <c r="AZ887" t="s">
        <v>1019</v>
      </c>
      <c r="BA887" t="s">
        <v>74</v>
      </c>
      <c r="BB887">
        <v>109</v>
      </c>
      <c r="BC887">
        <v>120</v>
      </c>
      <c r="BD887" t="s">
        <v>74</v>
      </c>
      <c r="BE887" t="s">
        <v>16449</v>
      </c>
      <c r="BF887" t="str">
        <f>HYPERLINK("http://dx.doi.org/10.1016/j.atmosenv.2011.10.018","http://dx.doi.org/10.1016/j.atmosenv.2011.10.018")</f>
        <v>http://dx.doi.org/10.1016/j.atmosenv.2011.10.018</v>
      </c>
      <c r="BG887" t="s">
        <v>74</v>
      </c>
      <c r="BH887" t="s">
        <v>74</v>
      </c>
      <c r="BI887">
        <v>12</v>
      </c>
      <c r="BJ887" t="s">
        <v>4129</v>
      </c>
      <c r="BK887" t="s">
        <v>98</v>
      </c>
      <c r="BL887" t="s">
        <v>2844</v>
      </c>
      <c r="BM887" t="s">
        <v>16402</v>
      </c>
      <c r="BN887" t="s">
        <v>74</v>
      </c>
      <c r="BO887" t="s">
        <v>74</v>
      </c>
      <c r="BP887" t="s">
        <v>74</v>
      </c>
      <c r="BQ887" t="s">
        <v>74</v>
      </c>
      <c r="BR887" t="s">
        <v>101</v>
      </c>
      <c r="BS887" t="s">
        <v>16450</v>
      </c>
      <c r="BT887" t="str">
        <f>HYPERLINK("https%3A%2F%2Fwww.webofscience.com%2Fwos%2Fwoscc%2Ffull-record%2FWOS:000303098500010","View Full Record in Web of Science")</f>
        <v>View Full Record in Web of Science</v>
      </c>
    </row>
    <row r="888" spans="1:72" x14ac:dyDescent="0.15">
      <c r="A888" t="s">
        <v>72</v>
      </c>
      <c r="B888" t="s">
        <v>16451</v>
      </c>
      <c r="C888" t="s">
        <v>74</v>
      </c>
      <c r="D888" t="s">
        <v>74</v>
      </c>
      <c r="E888" t="s">
        <v>74</v>
      </c>
      <c r="F888" t="s">
        <v>16452</v>
      </c>
      <c r="G888" t="s">
        <v>74</v>
      </c>
      <c r="H888" t="s">
        <v>74</v>
      </c>
      <c r="I888" t="s">
        <v>16453</v>
      </c>
      <c r="J888" t="s">
        <v>16454</v>
      </c>
      <c r="K888" t="s">
        <v>74</v>
      </c>
      <c r="L888" t="s">
        <v>74</v>
      </c>
      <c r="M888" t="s">
        <v>78</v>
      </c>
      <c r="N888" t="s">
        <v>79</v>
      </c>
      <c r="O888" t="s">
        <v>74</v>
      </c>
      <c r="P888" t="s">
        <v>74</v>
      </c>
      <c r="Q888" t="s">
        <v>74</v>
      </c>
      <c r="R888" t="s">
        <v>74</v>
      </c>
      <c r="S888" t="s">
        <v>74</v>
      </c>
      <c r="T888" t="s">
        <v>16455</v>
      </c>
      <c r="U888" t="s">
        <v>16456</v>
      </c>
      <c r="V888" t="s">
        <v>16457</v>
      </c>
      <c r="W888" t="s">
        <v>16458</v>
      </c>
      <c r="X888" t="s">
        <v>16459</v>
      </c>
      <c r="Y888" t="s">
        <v>16460</v>
      </c>
      <c r="Z888" t="s">
        <v>16461</v>
      </c>
      <c r="AA888" t="s">
        <v>16462</v>
      </c>
      <c r="AB888" t="s">
        <v>16463</v>
      </c>
      <c r="AC888" t="s">
        <v>11376</v>
      </c>
      <c r="AD888" t="s">
        <v>5910</v>
      </c>
      <c r="AE888" t="s">
        <v>74</v>
      </c>
      <c r="AF888" t="s">
        <v>74</v>
      </c>
      <c r="AG888">
        <v>82</v>
      </c>
      <c r="AH888">
        <v>42</v>
      </c>
      <c r="AI888">
        <v>45</v>
      </c>
      <c r="AJ888">
        <v>1</v>
      </c>
      <c r="AK888">
        <v>42</v>
      </c>
      <c r="AL888" t="s">
        <v>1771</v>
      </c>
      <c r="AM888" t="s">
        <v>90</v>
      </c>
      <c r="AN888" t="s">
        <v>1772</v>
      </c>
      <c r="AO888" t="s">
        <v>16464</v>
      </c>
      <c r="AP888" t="s">
        <v>16465</v>
      </c>
      <c r="AQ888" t="s">
        <v>74</v>
      </c>
      <c r="AR888" t="s">
        <v>16466</v>
      </c>
      <c r="AS888" t="s">
        <v>16467</v>
      </c>
      <c r="AT888" t="s">
        <v>15365</v>
      </c>
      <c r="AU888">
        <v>2012</v>
      </c>
      <c r="AV888">
        <v>106</v>
      </c>
      <c r="AW888">
        <v>2</v>
      </c>
      <c r="AX888" t="s">
        <v>74</v>
      </c>
      <c r="AY888" t="s">
        <v>74</v>
      </c>
      <c r="AZ888" t="s">
        <v>74</v>
      </c>
      <c r="BA888" t="s">
        <v>74</v>
      </c>
      <c r="BB888">
        <v>258</v>
      </c>
      <c r="BC888">
        <v>274</v>
      </c>
      <c r="BD888" t="s">
        <v>74</v>
      </c>
      <c r="BE888" t="s">
        <v>16468</v>
      </c>
      <c r="BF888" t="str">
        <f>HYPERLINK("http://dx.doi.org/10.1111/j.1095-8312.2012.01864.x","http://dx.doi.org/10.1111/j.1095-8312.2012.01864.x")</f>
        <v>http://dx.doi.org/10.1111/j.1095-8312.2012.01864.x</v>
      </c>
      <c r="BG888" t="s">
        <v>74</v>
      </c>
      <c r="BH888" t="s">
        <v>74</v>
      </c>
      <c r="BI888">
        <v>17</v>
      </c>
      <c r="BJ888" t="s">
        <v>16469</v>
      </c>
      <c r="BK888" t="s">
        <v>98</v>
      </c>
      <c r="BL888" t="s">
        <v>16469</v>
      </c>
      <c r="BM888" t="s">
        <v>16470</v>
      </c>
      <c r="BN888" t="s">
        <v>74</v>
      </c>
      <c r="BO888" t="s">
        <v>607</v>
      </c>
      <c r="BP888" t="s">
        <v>74</v>
      </c>
      <c r="BQ888" t="s">
        <v>74</v>
      </c>
      <c r="BR888" t="s">
        <v>101</v>
      </c>
      <c r="BS888" t="s">
        <v>16471</v>
      </c>
      <c r="BT888" t="str">
        <f>HYPERLINK("https%3A%2F%2Fwww.webofscience.com%2Fwos%2Fwoscc%2Ffull-record%2FWOS:000302936800002","View Full Record in Web of Science")</f>
        <v>View Full Record in Web of Science</v>
      </c>
    </row>
    <row r="889" spans="1:72" x14ac:dyDescent="0.15">
      <c r="A889" t="s">
        <v>72</v>
      </c>
      <c r="B889" t="s">
        <v>16472</v>
      </c>
      <c r="C889" t="s">
        <v>74</v>
      </c>
      <c r="D889" t="s">
        <v>74</v>
      </c>
      <c r="E889" t="s">
        <v>74</v>
      </c>
      <c r="F889" t="s">
        <v>16473</v>
      </c>
      <c r="G889" t="s">
        <v>74</v>
      </c>
      <c r="H889" t="s">
        <v>74</v>
      </c>
      <c r="I889" t="s">
        <v>16474</v>
      </c>
      <c r="J889" t="s">
        <v>16475</v>
      </c>
      <c r="K889" t="s">
        <v>74</v>
      </c>
      <c r="L889" t="s">
        <v>74</v>
      </c>
      <c r="M889" t="s">
        <v>78</v>
      </c>
      <c r="N889" t="s">
        <v>79</v>
      </c>
      <c r="O889" t="s">
        <v>74</v>
      </c>
      <c r="P889" t="s">
        <v>74</v>
      </c>
      <c r="Q889" t="s">
        <v>74</v>
      </c>
      <c r="R889" t="s">
        <v>74</v>
      </c>
      <c r="S889" t="s">
        <v>74</v>
      </c>
      <c r="T889" t="s">
        <v>74</v>
      </c>
      <c r="U889" t="s">
        <v>16476</v>
      </c>
      <c r="V889" t="s">
        <v>16477</v>
      </c>
      <c r="W889" t="s">
        <v>16478</v>
      </c>
      <c r="X889" t="s">
        <v>16479</v>
      </c>
      <c r="Y889" t="s">
        <v>16480</v>
      </c>
      <c r="Z889" t="s">
        <v>16481</v>
      </c>
      <c r="AA889" t="s">
        <v>16482</v>
      </c>
      <c r="AB889" t="s">
        <v>16483</v>
      </c>
      <c r="AC889" t="s">
        <v>16484</v>
      </c>
      <c r="AD889" t="s">
        <v>16485</v>
      </c>
      <c r="AE889" t="s">
        <v>16486</v>
      </c>
      <c r="AF889" t="s">
        <v>74</v>
      </c>
      <c r="AG889">
        <v>49</v>
      </c>
      <c r="AH889">
        <v>9</v>
      </c>
      <c r="AI889">
        <v>9</v>
      </c>
      <c r="AJ889">
        <v>0</v>
      </c>
      <c r="AK889">
        <v>22</v>
      </c>
      <c r="AL889" t="s">
        <v>16487</v>
      </c>
      <c r="AM889" t="s">
        <v>4741</v>
      </c>
      <c r="AN889" t="s">
        <v>16488</v>
      </c>
      <c r="AO889" t="s">
        <v>16489</v>
      </c>
      <c r="AP889" t="s">
        <v>16490</v>
      </c>
      <c r="AQ889" t="s">
        <v>74</v>
      </c>
      <c r="AR889" t="s">
        <v>16491</v>
      </c>
      <c r="AS889" t="s">
        <v>16492</v>
      </c>
      <c r="AT889" t="s">
        <v>15365</v>
      </c>
      <c r="AU889">
        <v>2012</v>
      </c>
      <c r="AV889">
        <v>38</v>
      </c>
      <c r="AW889">
        <v>3</v>
      </c>
      <c r="AX889" t="s">
        <v>74</v>
      </c>
      <c r="AY889" t="s">
        <v>74</v>
      </c>
      <c r="AZ889" t="s">
        <v>74</v>
      </c>
      <c r="BA889" t="s">
        <v>74</v>
      </c>
      <c r="BB889">
        <v>367</v>
      </c>
      <c r="BC889">
        <v>382</v>
      </c>
      <c r="BD889" t="s">
        <v>74</v>
      </c>
      <c r="BE889" t="s">
        <v>16493</v>
      </c>
      <c r="BF889" t="str">
        <f>HYPERLINK("http://dx.doi.org/10.5589/m12-029","http://dx.doi.org/10.5589/m12-029")</f>
        <v>http://dx.doi.org/10.5589/m12-029</v>
      </c>
      <c r="BG889" t="s">
        <v>74</v>
      </c>
      <c r="BH889" t="s">
        <v>74</v>
      </c>
      <c r="BI889">
        <v>16</v>
      </c>
      <c r="BJ889" t="s">
        <v>11832</v>
      </c>
      <c r="BK889" t="s">
        <v>98</v>
      </c>
      <c r="BL889" t="s">
        <v>11832</v>
      </c>
      <c r="BM889" t="s">
        <v>16494</v>
      </c>
      <c r="BN889" t="s">
        <v>74</v>
      </c>
      <c r="BO889" t="s">
        <v>1254</v>
      </c>
      <c r="BP889" t="s">
        <v>74</v>
      </c>
      <c r="BQ889" t="s">
        <v>74</v>
      </c>
      <c r="BR889" t="s">
        <v>101</v>
      </c>
      <c r="BS889" t="s">
        <v>16495</v>
      </c>
      <c r="BT889" t="str">
        <f>HYPERLINK("https%3A%2F%2Fwww.webofscience.com%2Fwos%2Fwoscc%2Ffull-record%2FWOS:000306968400011","View Full Record in Web of Science")</f>
        <v>View Full Record in Web of Science</v>
      </c>
    </row>
    <row r="890" spans="1:72" x14ac:dyDescent="0.15">
      <c r="A890" t="s">
        <v>72</v>
      </c>
      <c r="B890" t="s">
        <v>16496</v>
      </c>
      <c r="C890" t="s">
        <v>74</v>
      </c>
      <c r="D890" t="s">
        <v>74</v>
      </c>
      <c r="E890" t="s">
        <v>74</v>
      </c>
      <c r="F890" t="s">
        <v>16497</v>
      </c>
      <c r="G890" t="s">
        <v>74</v>
      </c>
      <c r="H890" t="s">
        <v>74</v>
      </c>
      <c r="I890" t="s">
        <v>16498</v>
      </c>
      <c r="J890" t="s">
        <v>1709</v>
      </c>
      <c r="K890" t="s">
        <v>74</v>
      </c>
      <c r="L890" t="s">
        <v>74</v>
      </c>
      <c r="M890" t="s">
        <v>78</v>
      </c>
      <c r="N890" t="s">
        <v>79</v>
      </c>
      <c r="O890" t="s">
        <v>74</v>
      </c>
      <c r="P890" t="s">
        <v>74</v>
      </c>
      <c r="Q890" t="s">
        <v>74</v>
      </c>
      <c r="R890" t="s">
        <v>74</v>
      </c>
      <c r="S890" t="s">
        <v>74</v>
      </c>
      <c r="T890" t="s">
        <v>16499</v>
      </c>
      <c r="U890" t="s">
        <v>16500</v>
      </c>
      <c r="V890" t="s">
        <v>16501</v>
      </c>
      <c r="W890" t="s">
        <v>16502</v>
      </c>
      <c r="X890" t="s">
        <v>16503</v>
      </c>
      <c r="Y890" t="s">
        <v>16504</v>
      </c>
      <c r="Z890" t="s">
        <v>16505</v>
      </c>
      <c r="AA890" t="s">
        <v>74</v>
      </c>
      <c r="AB890" t="s">
        <v>16506</v>
      </c>
      <c r="AC890" t="s">
        <v>16507</v>
      </c>
      <c r="AD890" t="s">
        <v>16508</v>
      </c>
      <c r="AE890" t="s">
        <v>16509</v>
      </c>
      <c r="AF890" t="s">
        <v>74</v>
      </c>
      <c r="AG890">
        <v>38</v>
      </c>
      <c r="AH890">
        <v>32</v>
      </c>
      <c r="AI890">
        <v>37</v>
      </c>
      <c r="AJ890">
        <v>1</v>
      </c>
      <c r="AK890">
        <v>44</v>
      </c>
      <c r="AL890" t="s">
        <v>935</v>
      </c>
      <c r="AM890" t="s">
        <v>371</v>
      </c>
      <c r="AN890" t="s">
        <v>936</v>
      </c>
      <c r="AO890" t="s">
        <v>1722</v>
      </c>
      <c r="AP890" t="s">
        <v>74</v>
      </c>
      <c r="AQ890" t="s">
        <v>74</v>
      </c>
      <c r="AR890" t="s">
        <v>1724</v>
      </c>
      <c r="AS890" t="s">
        <v>1725</v>
      </c>
      <c r="AT890" t="s">
        <v>15365</v>
      </c>
      <c r="AU890">
        <v>2012</v>
      </c>
      <c r="AV890">
        <v>38</v>
      </c>
      <c r="AW890" t="s">
        <v>868</v>
      </c>
      <c r="AX890" t="s">
        <v>74</v>
      </c>
      <c r="AY890" t="s">
        <v>74</v>
      </c>
      <c r="AZ890" t="s">
        <v>74</v>
      </c>
      <c r="BA890" t="s">
        <v>74</v>
      </c>
      <c r="BB890">
        <v>2613</v>
      </c>
      <c r="BC890">
        <v>2629</v>
      </c>
      <c r="BD890" t="s">
        <v>74</v>
      </c>
      <c r="BE890" t="s">
        <v>16510</v>
      </c>
      <c r="BF890" t="str">
        <f>HYPERLINK("http://dx.doi.org/10.1007/s00382-011-1088-z","http://dx.doi.org/10.1007/s00382-011-1088-z")</f>
        <v>http://dx.doi.org/10.1007/s00382-011-1088-z</v>
      </c>
      <c r="BG890" t="s">
        <v>74</v>
      </c>
      <c r="BH890" t="s">
        <v>74</v>
      </c>
      <c r="BI890">
        <v>17</v>
      </c>
      <c r="BJ890" t="s">
        <v>378</v>
      </c>
      <c r="BK890" t="s">
        <v>98</v>
      </c>
      <c r="BL890" t="s">
        <v>378</v>
      </c>
      <c r="BM890" t="s">
        <v>15823</v>
      </c>
      <c r="BN890" t="s">
        <v>74</v>
      </c>
      <c r="BO890" t="s">
        <v>1254</v>
      </c>
      <c r="BP890" t="s">
        <v>74</v>
      </c>
      <c r="BQ890" t="s">
        <v>74</v>
      </c>
      <c r="BR890" t="s">
        <v>101</v>
      </c>
      <c r="BS890" t="s">
        <v>16511</v>
      </c>
      <c r="BT890" t="str">
        <f>HYPERLINK("https%3A%2F%2Fwww.webofscience.com%2Fwos%2Fwoscc%2Ffull-record%2FWOS:000304696300029","View Full Record in Web of Science")</f>
        <v>View Full Record in Web of Science</v>
      </c>
    </row>
    <row r="891" spans="1:72" x14ac:dyDescent="0.15">
      <c r="A891" t="s">
        <v>72</v>
      </c>
      <c r="B891" t="s">
        <v>16512</v>
      </c>
      <c r="C891" t="s">
        <v>74</v>
      </c>
      <c r="D891" t="s">
        <v>74</v>
      </c>
      <c r="E891" t="s">
        <v>74</v>
      </c>
      <c r="F891" t="s">
        <v>16513</v>
      </c>
      <c r="G891" t="s">
        <v>74</v>
      </c>
      <c r="H891" t="s">
        <v>74</v>
      </c>
      <c r="I891" t="s">
        <v>16514</v>
      </c>
      <c r="J891" t="s">
        <v>6204</v>
      </c>
      <c r="K891" t="s">
        <v>74</v>
      </c>
      <c r="L891" t="s">
        <v>74</v>
      </c>
      <c r="M891" t="s">
        <v>78</v>
      </c>
      <c r="N891" t="s">
        <v>79</v>
      </c>
      <c r="O891" t="s">
        <v>74</v>
      </c>
      <c r="P891" t="s">
        <v>74</v>
      </c>
      <c r="Q891" t="s">
        <v>74</v>
      </c>
      <c r="R891" t="s">
        <v>74</v>
      </c>
      <c r="S891" t="s">
        <v>74</v>
      </c>
      <c r="T891" t="s">
        <v>16515</v>
      </c>
      <c r="U891" t="s">
        <v>16516</v>
      </c>
      <c r="V891" t="s">
        <v>16517</v>
      </c>
      <c r="W891" t="s">
        <v>16518</v>
      </c>
      <c r="X891" t="s">
        <v>16519</v>
      </c>
      <c r="Y891" t="s">
        <v>16520</v>
      </c>
      <c r="Z891" t="s">
        <v>16521</v>
      </c>
      <c r="AA891" t="s">
        <v>74</v>
      </c>
      <c r="AB891" t="s">
        <v>74</v>
      </c>
      <c r="AC891" t="s">
        <v>74</v>
      </c>
      <c r="AD891" t="s">
        <v>74</v>
      </c>
      <c r="AE891" t="s">
        <v>74</v>
      </c>
      <c r="AF891" t="s">
        <v>74</v>
      </c>
      <c r="AG891">
        <v>37</v>
      </c>
      <c r="AH891">
        <v>6</v>
      </c>
      <c r="AI891">
        <v>8</v>
      </c>
      <c r="AJ891">
        <v>0</v>
      </c>
      <c r="AK891">
        <v>2</v>
      </c>
      <c r="AL891" t="s">
        <v>259</v>
      </c>
      <c r="AM891" t="s">
        <v>189</v>
      </c>
      <c r="AN891" t="s">
        <v>260</v>
      </c>
      <c r="AO891" t="s">
        <v>6216</v>
      </c>
      <c r="AP891" t="s">
        <v>74</v>
      </c>
      <c r="AQ891" t="s">
        <v>74</v>
      </c>
      <c r="AR891" t="s">
        <v>6218</v>
      </c>
      <c r="AS891" t="s">
        <v>6219</v>
      </c>
      <c r="AT891" t="s">
        <v>15365</v>
      </c>
      <c r="AU891">
        <v>2012</v>
      </c>
      <c r="AV891" t="s">
        <v>16522</v>
      </c>
      <c r="AW891" t="s">
        <v>74</v>
      </c>
      <c r="AX891" t="s">
        <v>74</v>
      </c>
      <c r="AY891" t="s">
        <v>74</v>
      </c>
      <c r="AZ891" t="s">
        <v>1019</v>
      </c>
      <c r="BA891" t="s">
        <v>74</v>
      </c>
      <c r="BB891">
        <v>109</v>
      </c>
      <c r="BC891">
        <v>120</v>
      </c>
      <c r="BD891" t="s">
        <v>74</v>
      </c>
      <c r="BE891" t="s">
        <v>16523</v>
      </c>
      <c r="BF891" t="str">
        <f>HYPERLINK("http://dx.doi.org/10.1016/j.coldregions.2012.01.009","http://dx.doi.org/10.1016/j.coldregions.2012.01.009")</f>
        <v>http://dx.doi.org/10.1016/j.coldregions.2012.01.009</v>
      </c>
      <c r="BG891" t="s">
        <v>74</v>
      </c>
      <c r="BH891" t="s">
        <v>74</v>
      </c>
      <c r="BI891">
        <v>12</v>
      </c>
      <c r="BJ891" t="s">
        <v>6221</v>
      </c>
      <c r="BK891" t="s">
        <v>98</v>
      </c>
      <c r="BL891" t="s">
        <v>6222</v>
      </c>
      <c r="BM891" t="s">
        <v>16524</v>
      </c>
      <c r="BN891" t="s">
        <v>74</v>
      </c>
      <c r="BO891" t="s">
        <v>74</v>
      </c>
      <c r="BP891" t="s">
        <v>74</v>
      </c>
      <c r="BQ891" t="s">
        <v>74</v>
      </c>
      <c r="BR891" t="s">
        <v>101</v>
      </c>
      <c r="BS891" t="s">
        <v>16525</v>
      </c>
      <c r="BT891" t="str">
        <f>HYPERLINK("https%3A%2F%2Fwww.webofscience.com%2Fwos%2Fwoscc%2Ffull-record%2FWOS:000302970700014","View Full Record in Web of Science")</f>
        <v>View Full Record in Web of Science</v>
      </c>
    </row>
    <row r="892" spans="1:72" x14ac:dyDescent="0.15">
      <c r="A892" t="s">
        <v>72</v>
      </c>
      <c r="B892" t="s">
        <v>16526</v>
      </c>
      <c r="C892" t="s">
        <v>74</v>
      </c>
      <c r="D892" t="s">
        <v>74</v>
      </c>
      <c r="E892" t="s">
        <v>74</v>
      </c>
      <c r="F892" t="s">
        <v>16527</v>
      </c>
      <c r="G892" t="s">
        <v>74</v>
      </c>
      <c r="H892" t="s">
        <v>16528</v>
      </c>
      <c r="I892" t="s">
        <v>16529</v>
      </c>
      <c r="J892" t="s">
        <v>16530</v>
      </c>
      <c r="K892" t="s">
        <v>74</v>
      </c>
      <c r="L892" t="s">
        <v>74</v>
      </c>
      <c r="M892" t="s">
        <v>78</v>
      </c>
      <c r="N892" t="s">
        <v>974</v>
      </c>
      <c r="O892" t="s">
        <v>74</v>
      </c>
      <c r="P892" t="s">
        <v>74</v>
      </c>
      <c r="Q892" t="s">
        <v>74</v>
      </c>
      <c r="R892" t="s">
        <v>74</v>
      </c>
      <c r="S892" t="s">
        <v>74</v>
      </c>
      <c r="T892" t="s">
        <v>16531</v>
      </c>
      <c r="U892" t="s">
        <v>16532</v>
      </c>
      <c r="V892" t="s">
        <v>16533</v>
      </c>
      <c r="W892" t="s">
        <v>16534</v>
      </c>
      <c r="X892" t="s">
        <v>16535</v>
      </c>
      <c r="Y892" t="s">
        <v>16536</v>
      </c>
      <c r="Z892" t="s">
        <v>16537</v>
      </c>
      <c r="AA892" t="s">
        <v>16538</v>
      </c>
      <c r="AB892" t="s">
        <v>16539</v>
      </c>
      <c r="AC892" t="s">
        <v>16540</v>
      </c>
      <c r="AD892" t="s">
        <v>16541</v>
      </c>
      <c r="AE892" t="s">
        <v>16542</v>
      </c>
      <c r="AF892" t="s">
        <v>74</v>
      </c>
      <c r="AG892">
        <v>64</v>
      </c>
      <c r="AH892">
        <v>17</v>
      </c>
      <c r="AI892">
        <v>20</v>
      </c>
      <c r="AJ892">
        <v>1</v>
      </c>
      <c r="AK892">
        <v>80</v>
      </c>
      <c r="AL892" t="s">
        <v>935</v>
      </c>
      <c r="AM892" t="s">
        <v>2382</v>
      </c>
      <c r="AN892" t="s">
        <v>2383</v>
      </c>
      <c r="AO892" t="s">
        <v>16543</v>
      </c>
      <c r="AP892" t="s">
        <v>16544</v>
      </c>
      <c r="AQ892" t="s">
        <v>74</v>
      </c>
      <c r="AR892" t="s">
        <v>16545</v>
      </c>
      <c r="AS892" t="s">
        <v>16546</v>
      </c>
      <c r="AT892" t="s">
        <v>15365</v>
      </c>
      <c r="AU892">
        <v>2012</v>
      </c>
      <c r="AV892">
        <v>4</v>
      </c>
      <c r="AW892">
        <v>2</v>
      </c>
      <c r="AX892" t="s">
        <v>74</v>
      </c>
      <c r="AY892" t="s">
        <v>74</v>
      </c>
      <c r="AZ892" t="s">
        <v>74</v>
      </c>
      <c r="BA892" t="s">
        <v>74</v>
      </c>
      <c r="BB892">
        <v>527</v>
      </c>
      <c r="BC892">
        <v>536</v>
      </c>
      <c r="BD892" t="s">
        <v>74</v>
      </c>
      <c r="BE892" t="s">
        <v>16547</v>
      </c>
      <c r="BF892" t="str">
        <f>HYPERLINK("http://dx.doi.org/10.1007/s12686-011-9545-x","http://dx.doi.org/10.1007/s12686-011-9545-x")</f>
        <v>http://dx.doi.org/10.1007/s12686-011-9545-x</v>
      </c>
      <c r="BG892" t="s">
        <v>74</v>
      </c>
      <c r="BH892" t="s">
        <v>74</v>
      </c>
      <c r="BI892">
        <v>10</v>
      </c>
      <c r="BJ892" t="s">
        <v>16548</v>
      </c>
      <c r="BK892" t="s">
        <v>98</v>
      </c>
      <c r="BL892" t="s">
        <v>16549</v>
      </c>
      <c r="BM892" t="s">
        <v>16550</v>
      </c>
      <c r="BN892" t="s">
        <v>74</v>
      </c>
      <c r="BO892" t="s">
        <v>74</v>
      </c>
      <c r="BP892" t="s">
        <v>74</v>
      </c>
      <c r="BQ892" t="s">
        <v>74</v>
      </c>
      <c r="BR892" t="s">
        <v>101</v>
      </c>
      <c r="BS892" t="s">
        <v>16551</v>
      </c>
      <c r="BT892" t="str">
        <f>HYPERLINK("https%3A%2F%2Fwww.webofscience.com%2Fwos%2Fwoscc%2Ffull-record%2FWOS:000303536400077","View Full Record in Web of Science")</f>
        <v>View Full Record in Web of Science</v>
      </c>
    </row>
    <row r="893" spans="1:72" x14ac:dyDescent="0.15">
      <c r="A893" t="s">
        <v>72</v>
      </c>
      <c r="B893" t="s">
        <v>16552</v>
      </c>
      <c r="C893" t="s">
        <v>74</v>
      </c>
      <c r="D893" t="s">
        <v>74</v>
      </c>
      <c r="E893" t="s">
        <v>74</v>
      </c>
      <c r="F893" t="s">
        <v>16553</v>
      </c>
      <c r="G893" t="s">
        <v>74</v>
      </c>
      <c r="H893" t="s">
        <v>74</v>
      </c>
      <c r="I893" t="s">
        <v>16554</v>
      </c>
      <c r="J893" t="s">
        <v>16555</v>
      </c>
      <c r="K893" t="s">
        <v>74</v>
      </c>
      <c r="L893" t="s">
        <v>74</v>
      </c>
      <c r="M893" t="s">
        <v>78</v>
      </c>
      <c r="N893" t="s">
        <v>79</v>
      </c>
      <c r="O893" t="s">
        <v>74</v>
      </c>
      <c r="P893" t="s">
        <v>74</v>
      </c>
      <c r="Q893" t="s">
        <v>74</v>
      </c>
      <c r="R893" t="s">
        <v>74</v>
      </c>
      <c r="S893" t="s">
        <v>74</v>
      </c>
      <c r="T893" t="s">
        <v>16556</v>
      </c>
      <c r="U893" t="s">
        <v>16557</v>
      </c>
      <c r="V893" t="s">
        <v>16558</v>
      </c>
      <c r="W893" t="s">
        <v>16559</v>
      </c>
      <c r="X893" t="s">
        <v>16560</v>
      </c>
      <c r="Y893" t="s">
        <v>16561</v>
      </c>
      <c r="Z893" t="s">
        <v>16562</v>
      </c>
      <c r="AA893" t="s">
        <v>16563</v>
      </c>
      <c r="AB893" t="s">
        <v>16564</v>
      </c>
      <c r="AC893" t="s">
        <v>16565</v>
      </c>
      <c r="AD893" t="s">
        <v>4231</v>
      </c>
      <c r="AE893" t="s">
        <v>16566</v>
      </c>
      <c r="AF893" t="s">
        <v>74</v>
      </c>
      <c r="AG893">
        <v>102</v>
      </c>
      <c r="AH893">
        <v>33</v>
      </c>
      <c r="AI893">
        <v>43</v>
      </c>
      <c r="AJ893">
        <v>0</v>
      </c>
      <c r="AK893">
        <v>19</v>
      </c>
      <c r="AL893" t="s">
        <v>935</v>
      </c>
      <c r="AM893" t="s">
        <v>371</v>
      </c>
      <c r="AN893" t="s">
        <v>1873</v>
      </c>
      <c r="AO893" t="s">
        <v>16567</v>
      </c>
      <c r="AP893" t="s">
        <v>16568</v>
      </c>
      <c r="AQ893" t="s">
        <v>74</v>
      </c>
      <c r="AR893" t="s">
        <v>16569</v>
      </c>
      <c r="AS893" t="s">
        <v>16570</v>
      </c>
      <c r="AT893" t="s">
        <v>15365</v>
      </c>
      <c r="AU893">
        <v>2012</v>
      </c>
      <c r="AV893">
        <v>163</v>
      </c>
      <c r="AW893">
        <v>6</v>
      </c>
      <c r="AX893" t="s">
        <v>74</v>
      </c>
      <c r="AY893" t="s">
        <v>74</v>
      </c>
      <c r="AZ893" t="s">
        <v>74</v>
      </c>
      <c r="BA893" t="s">
        <v>74</v>
      </c>
      <c r="BB893">
        <v>1103</v>
      </c>
      <c r="BC893">
        <v>1119</v>
      </c>
      <c r="BD893" t="s">
        <v>74</v>
      </c>
      <c r="BE893" t="s">
        <v>16571</v>
      </c>
      <c r="BF893" t="str">
        <f>HYPERLINK("http://dx.doi.org/10.1007/s00410-012-0719-7","http://dx.doi.org/10.1007/s00410-012-0719-7")</f>
        <v>http://dx.doi.org/10.1007/s00410-012-0719-7</v>
      </c>
      <c r="BG893" t="s">
        <v>74</v>
      </c>
      <c r="BH893" t="s">
        <v>74</v>
      </c>
      <c r="BI893">
        <v>17</v>
      </c>
      <c r="BJ893" t="s">
        <v>16572</v>
      </c>
      <c r="BK893" t="s">
        <v>98</v>
      </c>
      <c r="BL893" t="s">
        <v>16572</v>
      </c>
      <c r="BM893" t="s">
        <v>16573</v>
      </c>
      <c r="BN893" t="s">
        <v>74</v>
      </c>
      <c r="BO893" t="s">
        <v>74</v>
      </c>
      <c r="BP893" t="s">
        <v>74</v>
      </c>
      <c r="BQ893" t="s">
        <v>74</v>
      </c>
      <c r="BR893" t="s">
        <v>101</v>
      </c>
      <c r="BS893" t="s">
        <v>16574</v>
      </c>
      <c r="BT893" t="str">
        <f>HYPERLINK("https%3A%2F%2Fwww.webofscience.com%2Fwos%2Fwoscc%2Ffull-record%2FWOS:000304141200011","View Full Record in Web of Science")</f>
        <v>View Full Record in Web of Science</v>
      </c>
    </row>
    <row r="894" spans="1:72" x14ac:dyDescent="0.15">
      <c r="A894" t="s">
        <v>72</v>
      </c>
      <c r="B894" t="s">
        <v>16575</v>
      </c>
      <c r="C894" t="s">
        <v>74</v>
      </c>
      <c r="D894" t="s">
        <v>74</v>
      </c>
      <c r="E894" t="s">
        <v>74</v>
      </c>
      <c r="F894" t="s">
        <v>16576</v>
      </c>
      <c r="G894" t="s">
        <v>74</v>
      </c>
      <c r="H894" t="s">
        <v>74</v>
      </c>
      <c r="I894" t="s">
        <v>16577</v>
      </c>
      <c r="J894" t="s">
        <v>13911</v>
      </c>
      <c r="K894" t="s">
        <v>74</v>
      </c>
      <c r="L894" t="s">
        <v>74</v>
      </c>
      <c r="M894" t="s">
        <v>78</v>
      </c>
      <c r="N894" t="s">
        <v>79</v>
      </c>
      <c r="O894" t="s">
        <v>74</v>
      </c>
      <c r="P894" t="s">
        <v>74</v>
      </c>
      <c r="Q894" t="s">
        <v>74</v>
      </c>
      <c r="R894" t="s">
        <v>74</v>
      </c>
      <c r="S894" t="s">
        <v>74</v>
      </c>
      <c r="T894" t="s">
        <v>16578</v>
      </c>
      <c r="U894" t="s">
        <v>16579</v>
      </c>
      <c r="V894" t="s">
        <v>16580</v>
      </c>
      <c r="W894" t="s">
        <v>16581</v>
      </c>
      <c r="X894" t="s">
        <v>16582</v>
      </c>
      <c r="Y894" t="s">
        <v>16583</v>
      </c>
      <c r="Z894" t="s">
        <v>16584</v>
      </c>
      <c r="AA894" t="s">
        <v>16585</v>
      </c>
      <c r="AB894" t="s">
        <v>16586</v>
      </c>
      <c r="AC894" t="s">
        <v>16587</v>
      </c>
      <c r="AD894" t="s">
        <v>16588</v>
      </c>
      <c r="AE894" t="s">
        <v>16589</v>
      </c>
      <c r="AF894" t="s">
        <v>74</v>
      </c>
      <c r="AG894">
        <v>67</v>
      </c>
      <c r="AH894">
        <v>156</v>
      </c>
      <c r="AI894">
        <v>176</v>
      </c>
      <c r="AJ894">
        <v>3</v>
      </c>
      <c r="AK894">
        <v>155</v>
      </c>
      <c r="AL894" t="s">
        <v>916</v>
      </c>
      <c r="AM894" t="s">
        <v>899</v>
      </c>
      <c r="AN894" t="s">
        <v>900</v>
      </c>
      <c r="AO894" t="s">
        <v>13924</v>
      </c>
      <c r="AP894" t="s">
        <v>13925</v>
      </c>
      <c r="AQ894" t="s">
        <v>74</v>
      </c>
      <c r="AR894" t="s">
        <v>13926</v>
      </c>
      <c r="AS894" t="s">
        <v>13927</v>
      </c>
      <c r="AT894" t="s">
        <v>15365</v>
      </c>
      <c r="AU894">
        <v>2012</v>
      </c>
      <c r="AV894">
        <v>18</v>
      </c>
      <c r="AW894">
        <v>6</v>
      </c>
      <c r="AX894" t="s">
        <v>74</v>
      </c>
      <c r="AY894" t="s">
        <v>74</v>
      </c>
      <c r="AZ894" t="s">
        <v>74</v>
      </c>
      <c r="BA894" t="s">
        <v>74</v>
      </c>
      <c r="BB894">
        <v>530</v>
      </c>
      <c r="BC894">
        <v>542</v>
      </c>
      <c r="BD894" t="s">
        <v>74</v>
      </c>
      <c r="BE894" t="s">
        <v>16590</v>
      </c>
      <c r="BF894" t="str">
        <f>HYPERLINK("http://dx.doi.org/10.1111/j.1472-4642.2011.00864.x","http://dx.doi.org/10.1111/j.1472-4642.2011.00864.x")</f>
        <v>http://dx.doi.org/10.1111/j.1472-4642.2011.00864.x</v>
      </c>
      <c r="BG894" t="s">
        <v>74</v>
      </c>
      <c r="BH894" t="s">
        <v>74</v>
      </c>
      <c r="BI894">
        <v>13</v>
      </c>
      <c r="BJ894" t="s">
        <v>1879</v>
      </c>
      <c r="BK894" t="s">
        <v>98</v>
      </c>
      <c r="BL894" t="s">
        <v>1880</v>
      </c>
      <c r="BM894" t="s">
        <v>16591</v>
      </c>
      <c r="BN894" t="s">
        <v>74</v>
      </c>
      <c r="BO894" t="s">
        <v>16592</v>
      </c>
      <c r="BP894" t="s">
        <v>74</v>
      </c>
      <c r="BQ894" t="s">
        <v>74</v>
      </c>
      <c r="BR894" t="s">
        <v>101</v>
      </c>
      <c r="BS894" t="s">
        <v>16593</v>
      </c>
      <c r="BT894" t="str">
        <f>HYPERLINK("https%3A%2F%2Fwww.webofscience.com%2Fwos%2Fwoscc%2Ffull-record%2FWOS:000303666000001","View Full Record in Web of Science")</f>
        <v>View Full Record in Web of Science</v>
      </c>
    </row>
    <row r="895" spans="1:72" x14ac:dyDescent="0.15">
      <c r="A895" t="s">
        <v>72</v>
      </c>
      <c r="B895" t="s">
        <v>16594</v>
      </c>
      <c r="C895" t="s">
        <v>74</v>
      </c>
      <c r="D895" t="s">
        <v>74</v>
      </c>
      <c r="E895" t="s">
        <v>74</v>
      </c>
      <c r="F895" t="s">
        <v>16595</v>
      </c>
      <c r="G895" t="s">
        <v>74</v>
      </c>
      <c r="H895" t="s">
        <v>74</v>
      </c>
      <c r="I895" t="s">
        <v>16596</v>
      </c>
      <c r="J895" t="s">
        <v>4261</v>
      </c>
      <c r="K895" t="s">
        <v>74</v>
      </c>
      <c r="L895" t="s">
        <v>74</v>
      </c>
      <c r="M895" t="s">
        <v>78</v>
      </c>
      <c r="N895" t="s">
        <v>79</v>
      </c>
      <c r="O895" t="s">
        <v>74</v>
      </c>
      <c r="P895" t="s">
        <v>74</v>
      </c>
      <c r="Q895" t="s">
        <v>74</v>
      </c>
      <c r="R895" t="s">
        <v>74</v>
      </c>
      <c r="S895" t="s">
        <v>74</v>
      </c>
      <c r="T895" t="s">
        <v>74</v>
      </c>
      <c r="U895" t="s">
        <v>16597</v>
      </c>
      <c r="V895" t="s">
        <v>74</v>
      </c>
      <c r="W895" t="s">
        <v>16598</v>
      </c>
      <c r="X895" t="s">
        <v>16599</v>
      </c>
      <c r="Y895" t="s">
        <v>16600</v>
      </c>
      <c r="Z895" t="s">
        <v>16601</v>
      </c>
      <c r="AA895" t="s">
        <v>16602</v>
      </c>
      <c r="AB895" t="s">
        <v>16603</v>
      </c>
      <c r="AC895" t="s">
        <v>16604</v>
      </c>
      <c r="AD895" t="s">
        <v>4269</v>
      </c>
      <c r="AE895" t="s">
        <v>16605</v>
      </c>
      <c r="AF895" t="s">
        <v>74</v>
      </c>
      <c r="AG895">
        <v>14</v>
      </c>
      <c r="AH895">
        <v>6</v>
      </c>
      <c r="AI895">
        <v>9</v>
      </c>
      <c r="AJ895">
        <v>2</v>
      </c>
      <c r="AK895">
        <v>16</v>
      </c>
      <c r="AL895" t="s">
        <v>1130</v>
      </c>
      <c r="AM895" t="s">
        <v>371</v>
      </c>
      <c r="AN895" t="s">
        <v>1131</v>
      </c>
      <c r="AO895" t="s">
        <v>4271</v>
      </c>
      <c r="AP895" t="s">
        <v>74</v>
      </c>
      <c r="AQ895" t="s">
        <v>74</v>
      </c>
      <c r="AR895" t="s">
        <v>4272</v>
      </c>
      <c r="AS895" t="s">
        <v>4273</v>
      </c>
      <c r="AT895" t="s">
        <v>15365</v>
      </c>
      <c r="AU895">
        <v>2012</v>
      </c>
      <c r="AV895">
        <v>444</v>
      </c>
      <c r="AW895">
        <v>2</v>
      </c>
      <c r="AX895" t="s">
        <v>74</v>
      </c>
      <c r="AY895" t="s">
        <v>74</v>
      </c>
      <c r="AZ895" t="s">
        <v>74</v>
      </c>
      <c r="BA895" t="s">
        <v>74</v>
      </c>
      <c r="BB895">
        <v>752</v>
      </c>
      <c r="BC895">
        <v>755</v>
      </c>
      <c r="BD895" t="s">
        <v>74</v>
      </c>
      <c r="BE895" t="s">
        <v>16606</v>
      </c>
      <c r="BF895" t="str">
        <f>HYPERLINK("http://dx.doi.org/10.1134/S1028334X1206013X","http://dx.doi.org/10.1134/S1028334X1206013X")</f>
        <v>http://dx.doi.org/10.1134/S1028334X1206013X</v>
      </c>
      <c r="BG895" t="s">
        <v>74</v>
      </c>
      <c r="BH895" t="s">
        <v>74</v>
      </c>
      <c r="BI895">
        <v>4</v>
      </c>
      <c r="BJ895" t="s">
        <v>461</v>
      </c>
      <c r="BK895" t="s">
        <v>98</v>
      </c>
      <c r="BL895" t="s">
        <v>462</v>
      </c>
      <c r="BM895" t="s">
        <v>16607</v>
      </c>
      <c r="BN895" t="s">
        <v>74</v>
      </c>
      <c r="BO895" t="s">
        <v>74</v>
      </c>
      <c r="BP895" t="s">
        <v>74</v>
      </c>
      <c r="BQ895" t="s">
        <v>74</v>
      </c>
      <c r="BR895" t="s">
        <v>101</v>
      </c>
      <c r="BS895" t="s">
        <v>16608</v>
      </c>
      <c r="BT895" t="str">
        <f>HYPERLINK("https%3A%2F%2Fwww.webofscience.com%2Fwos%2Fwoscc%2Ffull-record%2FWOS:000306063100020","View Full Record in Web of Science")</f>
        <v>View Full Record in Web of Science</v>
      </c>
    </row>
    <row r="896" spans="1:72" x14ac:dyDescent="0.15">
      <c r="A896" t="s">
        <v>72</v>
      </c>
      <c r="B896" t="s">
        <v>16609</v>
      </c>
      <c r="C896" t="s">
        <v>74</v>
      </c>
      <c r="D896" t="s">
        <v>74</v>
      </c>
      <c r="E896" t="s">
        <v>74</v>
      </c>
      <c r="F896" t="s">
        <v>16610</v>
      </c>
      <c r="G896" t="s">
        <v>74</v>
      </c>
      <c r="H896" t="s">
        <v>74</v>
      </c>
      <c r="I896" t="s">
        <v>16611</v>
      </c>
      <c r="J896" t="s">
        <v>222</v>
      </c>
      <c r="K896" t="s">
        <v>74</v>
      </c>
      <c r="L896" t="s">
        <v>74</v>
      </c>
      <c r="M896" t="s">
        <v>78</v>
      </c>
      <c r="N896" t="s">
        <v>79</v>
      </c>
      <c r="O896" t="s">
        <v>74</v>
      </c>
      <c r="P896" t="s">
        <v>74</v>
      </c>
      <c r="Q896" t="s">
        <v>74</v>
      </c>
      <c r="R896" t="s">
        <v>74</v>
      </c>
      <c r="S896" t="s">
        <v>74</v>
      </c>
      <c r="T896" t="s">
        <v>16612</v>
      </c>
      <c r="U896" t="s">
        <v>16613</v>
      </c>
      <c r="V896" t="s">
        <v>16614</v>
      </c>
      <c r="W896" t="s">
        <v>16615</v>
      </c>
      <c r="X896" t="s">
        <v>16616</v>
      </c>
      <c r="Y896" t="s">
        <v>16617</v>
      </c>
      <c r="Z896" t="s">
        <v>16618</v>
      </c>
      <c r="AA896" t="s">
        <v>16619</v>
      </c>
      <c r="AB896" t="s">
        <v>16620</v>
      </c>
      <c r="AC896" t="s">
        <v>16621</v>
      </c>
      <c r="AD896" t="s">
        <v>16622</v>
      </c>
      <c r="AE896" t="s">
        <v>16623</v>
      </c>
      <c r="AF896" t="s">
        <v>74</v>
      </c>
      <c r="AG896">
        <v>69</v>
      </c>
      <c r="AH896">
        <v>66</v>
      </c>
      <c r="AI896">
        <v>68</v>
      </c>
      <c r="AJ896">
        <v>0</v>
      </c>
      <c r="AK896">
        <v>49</v>
      </c>
      <c r="AL896" t="s">
        <v>188</v>
      </c>
      <c r="AM896" t="s">
        <v>189</v>
      </c>
      <c r="AN896" t="s">
        <v>190</v>
      </c>
      <c r="AO896" t="s">
        <v>235</v>
      </c>
      <c r="AP896" t="s">
        <v>236</v>
      </c>
      <c r="AQ896" t="s">
        <v>74</v>
      </c>
      <c r="AR896" t="s">
        <v>237</v>
      </c>
      <c r="AS896" t="s">
        <v>238</v>
      </c>
      <c r="AT896" t="s">
        <v>15605</v>
      </c>
      <c r="AU896">
        <v>2012</v>
      </c>
      <c r="AV896">
        <v>333</v>
      </c>
      <c r="AW896" t="s">
        <v>74</v>
      </c>
      <c r="AX896" t="s">
        <v>74</v>
      </c>
      <c r="AY896" t="s">
        <v>74</v>
      </c>
      <c r="AZ896" t="s">
        <v>74</v>
      </c>
      <c r="BA896" t="s">
        <v>74</v>
      </c>
      <c r="BB896">
        <v>122</v>
      </c>
      <c r="BC896">
        <v>133</v>
      </c>
      <c r="BD896" t="s">
        <v>74</v>
      </c>
      <c r="BE896" t="s">
        <v>16624</v>
      </c>
      <c r="BF896" t="str">
        <f>HYPERLINK("http://dx.doi.org/10.1016/j.epsl.2012.04.003","http://dx.doi.org/10.1016/j.epsl.2012.04.003")</f>
        <v>http://dx.doi.org/10.1016/j.epsl.2012.04.003</v>
      </c>
      <c r="BG896" t="s">
        <v>74</v>
      </c>
      <c r="BH896" t="s">
        <v>74</v>
      </c>
      <c r="BI896">
        <v>12</v>
      </c>
      <c r="BJ896" t="s">
        <v>241</v>
      </c>
      <c r="BK896" t="s">
        <v>98</v>
      </c>
      <c r="BL896" t="s">
        <v>241</v>
      </c>
      <c r="BM896" t="s">
        <v>16625</v>
      </c>
      <c r="BN896" t="s">
        <v>74</v>
      </c>
      <c r="BO896" t="s">
        <v>1254</v>
      </c>
      <c r="BP896" t="s">
        <v>74</v>
      </c>
      <c r="BQ896" t="s">
        <v>74</v>
      </c>
      <c r="BR896" t="s">
        <v>101</v>
      </c>
      <c r="BS896" t="s">
        <v>16626</v>
      </c>
      <c r="BT896" t="str">
        <f>HYPERLINK("https%3A%2F%2Fwww.webofscience.com%2Fwos%2Fwoscc%2Ffull-record%2FWOS:000306884000013","View Full Record in Web of Science")</f>
        <v>View Full Record in Web of Science</v>
      </c>
    </row>
    <row r="897" spans="1:72" x14ac:dyDescent="0.15">
      <c r="A897" t="s">
        <v>72</v>
      </c>
      <c r="B897" t="s">
        <v>16627</v>
      </c>
      <c r="C897" t="s">
        <v>74</v>
      </c>
      <c r="D897" t="s">
        <v>74</v>
      </c>
      <c r="E897" t="s">
        <v>74</v>
      </c>
      <c r="F897" t="s">
        <v>16628</v>
      </c>
      <c r="G897" t="s">
        <v>74</v>
      </c>
      <c r="H897" t="s">
        <v>74</v>
      </c>
      <c r="I897" t="s">
        <v>16629</v>
      </c>
      <c r="J897" t="s">
        <v>222</v>
      </c>
      <c r="K897" t="s">
        <v>74</v>
      </c>
      <c r="L897" t="s">
        <v>74</v>
      </c>
      <c r="M897" t="s">
        <v>78</v>
      </c>
      <c r="N897" t="s">
        <v>79</v>
      </c>
      <c r="O897" t="s">
        <v>74</v>
      </c>
      <c r="P897" t="s">
        <v>74</v>
      </c>
      <c r="Q897" t="s">
        <v>74</v>
      </c>
      <c r="R897" t="s">
        <v>74</v>
      </c>
      <c r="S897" t="s">
        <v>74</v>
      </c>
      <c r="T897" t="s">
        <v>16630</v>
      </c>
      <c r="U897" t="s">
        <v>16631</v>
      </c>
      <c r="V897" t="s">
        <v>16632</v>
      </c>
      <c r="W897" t="s">
        <v>16633</v>
      </c>
      <c r="X897" t="s">
        <v>16634</v>
      </c>
      <c r="Y897" t="s">
        <v>16635</v>
      </c>
      <c r="Z897" t="s">
        <v>16636</v>
      </c>
      <c r="AA897" t="s">
        <v>16637</v>
      </c>
      <c r="AB897" t="s">
        <v>16638</v>
      </c>
      <c r="AC897" t="s">
        <v>16639</v>
      </c>
      <c r="AD897" t="s">
        <v>16640</v>
      </c>
      <c r="AE897" t="s">
        <v>16641</v>
      </c>
      <c r="AF897" t="s">
        <v>74</v>
      </c>
      <c r="AG897">
        <v>40</v>
      </c>
      <c r="AH897">
        <v>69</v>
      </c>
      <c r="AI897">
        <v>73</v>
      </c>
      <c r="AJ897">
        <v>0</v>
      </c>
      <c r="AK897">
        <v>31</v>
      </c>
      <c r="AL897" t="s">
        <v>188</v>
      </c>
      <c r="AM897" t="s">
        <v>189</v>
      </c>
      <c r="AN897" t="s">
        <v>190</v>
      </c>
      <c r="AO897" t="s">
        <v>235</v>
      </c>
      <c r="AP897" t="s">
        <v>236</v>
      </c>
      <c r="AQ897" t="s">
        <v>74</v>
      </c>
      <c r="AR897" t="s">
        <v>237</v>
      </c>
      <c r="AS897" t="s">
        <v>238</v>
      </c>
      <c r="AT897" t="s">
        <v>15605</v>
      </c>
      <c r="AU897">
        <v>2012</v>
      </c>
      <c r="AV897">
        <v>333</v>
      </c>
      <c r="AW897" t="s">
        <v>74</v>
      </c>
      <c r="AX897" t="s">
        <v>74</v>
      </c>
      <c r="AY897" t="s">
        <v>74</v>
      </c>
      <c r="AZ897" t="s">
        <v>74</v>
      </c>
      <c r="BA897" t="s">
        <v>74</v>
      </c>
      <c r="BB897">
        <v>191</v>
      </c>
      <c r="BC897">
        <v>199</v>
      </c>
      <c r="BD897" t="s">
        <v>74</v>
      </c>
      <c r="BE897" t="s">
        <v>16642</v>
      </c>
      <c r="BF897" t="str">
        <f>HYPERLINK("http://dx.doi.org/10.1016/j.epsl.2012.04.022","http://dx.doi.org/10.1016/j.epsl.2012.04.022")</f>
        <v>http://dx.doi.org/10.1016/j.epsl.2012.04.022</v>
      </c>
      <c r="BG897" t="s">
        <v>74</v>
      </c>
      <c r="BH897" t="s">
        <v>74</v>
      </c>
      <c r="BI897">
        <v>9</v>
      </c>
      <c r="BJ897" t="s">
        <v>241</v>
      </c>
      <c r="BK897" t="s">
        <v>98</v>
      </c>
      <c r="BL897" t="s">
        <v>241</v>
      </c>
      <c r="BM897" t="s">
        <v>16625</v>
      </c>
      <c r="BN897" t="s">
        <v>74</v>
      </c>
      <c r="BO897" t="s">
        <v>74</v>
      </c>
      <c r="BP897" t="s">
        <v>74</v>
      </c>
      <c r="BQ897" t="s">
        <v>74</v>
      </c>
      <c r="BR897" t="s">
        <v>101</v>
      </c>
      <c r="BS897" t="s">
        <v>16643</v>
      </c>
      <c r="BT897" t="str">
        <f>HYPERLINK("https%3A%2F%2Fwww.webofscience.com%2Fwos%2Fwoscc%2Ffull-record%2FWOS:000306884000020","View Full Record in Web of Science")</f>
        <v>View Full Record in Web of Science</v>
      </c>
    </row>
    <row r="898" spans="1:72" x14ac:dyDescent="0.15">
      <c r="A898" t="s">
        <v>72</v>
      </c>
      <c r="B898" t="s">
        <v>16644</v>
      </c>
      <c r="C898" t="s">
        <v>74</v>
      </c>
      <c r="D898" t="s">
        <v>74</v>
      </c>
      <c r="E898" t="s">
        <v>74</v>
      </c>
      <c r="F898" t="s">
        <v>16645</v>
      </c>
      <c r="G898" t="s">
        <v>74</v>
      </c>
      <c r="H898" t="s">
        <v>74</v>
      </c>
      <c r="I898" t="s">
        <v>16646</v>
      </c>
      <c r="J898" t="s">
        <v>222</v>
      </c>
      <c r="K898" t="s">
        <v>74</v>
      </c>
      <c r="L898" t="s">
        <v>74</v>
      </c>
      <c r="M898" t="s">
        <v>78</v>
      </c>
      <c r="N898" t="s">
        <v>79</v>
      </c>
      <c r="O898" t="s">
        <v>74</v>
      </c>
      <c r="P898" t="s">
        <v>74</v>
      </c>
      <c r="Q898" t="s">
        <v>74</v>
      </c>
      <c r="R898" t="s">
        <v>74</v>
      </c>
      <c r="S898" t="s">
        <v>74</v>
      </c>
      <c r="T898" t="s">
        <v>16647</v>
      </c>
      <c r="U898" t="s">
        <v>16648</v>
      </c>
      <c r="V898" t="s">
        <v>16649</v>
      </c>
      <c r="W898" t="s">
        <v>16650</v>
      </c>
      <c r="X898" t="s">
        <v>16651</v>
      </c>
      <c r="Y898" t="s">
        <v>16652</v>
      </c>
      <c r="Z898" t="s">
        <v>16653</v>
      </c>
      <c r="AA898" t="s">
        <v>16654</v>
      </c>
      <c r="AB898" t="s">
        <v>16655</v>
      </c>
      <c r="AC898" t="s">
        <v>16656</v>
      </c>
      <c r="AD898" t="s">
        <v>16657</v>
      </c>
      <c r="AE898" t="s">
        <v>16658</v>
      </c>
      <c r="AF898" t="s">
        <v>74</v>
      </c>
      <c r="AG898">
        <v>64</v>
      </c>
      <c r="AH898">
        <v>22</v>
      </c>
      <c r="AI898">
        <v>25</v>
      </c>
      <c r="AJ898">
        <v>0</v>
      </c>
      <c r="AK898">
        <v>42</v>
      </c>
      <c r="AL898" t="s">
        <v>259</v>
      </c>
      <c r="AM898" t="s">
        <v>189</v>
      </c>
      <c r="AN898" t="s">
        <v>260</v>
      </c>
      <c r="AO898" t="s">
        <v>235</v>
      </c>
      <c r="AP898" t="s">
        <v>236</v>
      </c>
      <c r="AQ898" t="s">
        <v>74</v>
      </c>
      <c r="AR898" t="s">
        <v>237</v>
      </c>
      <c r="AS898" t="s">
        <v>238</v>
      </c>
      <c r="AT898" t="s">
        <v>15605</v>
      </c>
      <c r="AU898">
        <v>2012</v>
      </c>
      <c r="AV898">
        <v>333</v>
      </c>
      <c r="AW898" t="s">
        <v>74</v>
      </c>
      <c r="AX898" t="s">
        <v>74</v>
      </c>
      <c r="AY898" t="s">
        <v>74</v>
      </c>
      <c r="AZ898" t="s">
        <v>74</v>
      </c>
      <c r="BA898" t="s">
        <v>74</v>
      </c>
      <c r="BB898">
        <v>238</v>
      </c>
      <c r="BC898">
        <v>249</v>
      </c>
      <c r="BD898" t="s">
        <v>74</v>
      </c>
      <c r="BE898" t="s">
        <v>16659</v>
      </c>
      <c r="BF898" t="str">
        <f>HYPERLINK("http://dx.doi.org/10.1016/j.epsl.2012.04.009","http://dx.doi.org/10.1016/j.epsl.2012.04.009")</f>
        <v>http://dx.doi.org/10.1016/j.epsl.2012.04.009</v>
      </c>
      <c r="BG898" t="s">
        <v>74</v>
      </c>
      <c r="BH898" t="s">
        <v>74</v>
      </c>
      <c r="BI898">
        <v>12</v>
      </c>
      <c r="BJ898" t="s">
        <v>241</v>
      </c>
      <c r="BK898" t="s">
        <v>98</v>
      </c>
      <c r="BL898" t="s">
        <v>241</v>
      </c>
      <c r="BM898" t="s">
        <v>16625</v>
      </c>
      <c r="BN898" t="s">
        <v>74</v>
      </c>
      <c r="BO898" t="s">
        <v>74</v>
      </c>
      <c r="BP898" t="s">
        <v>74</v>
      </c>
      <c r="BQ898" t="s">
        <v>74</v>
      </c>
      <c r="BR898" t="s">
        <v>101</v>
      </c>
      <c r="BS898" t="s">
        <v>16660</v>
      </c>
      <c r="BT898" t="str">
        <f>HYPERLINK("https%3A%2F%2Fwww.webofscience.com%2Fwos%2Fwoscc%2Ffull-record%2FWOS:000306884000024","View Full Record in Web of Science")</f>
        <v>View Full Record in Web of Science</v>
      </c>
    </row>
    <row r="899" spans="1:72" x14ac:dyDescent="0.15">
      <c r="A899" t="s">
        <v>72</v>
      </c>
      <c r="B899" t="s">
        <v>16661</v>
      </c>
      <c r="C899" t="s">
        <v>74</v>
      </c>
      <c r="D899" t="s">
        <v>74</v>
      </c>
      <c r="E899" t="s">
        <v>74</v>
      </c>
      <c r="F899" t="s">
        <v>16662</v>
      </c>
      <c r="G899" t="s">
        <v>74</v>
      </c>
      <c r="H899" t="s">
        <v>74</v>
      </c>
      <c r="I899" t="s">
        <v>16663</v>
      </c>
      <c r="J899" t="s">
        <v>16664</v>
      </c>
      <c r="K899" t="s">
        <v>74</v>
      </c>
      <c r="L899" t="s">
        <v>74</v>
      </c>
      <c r="M899" t="s">
        <v>78</v>
      </c>
      <c r="N899" t="s">
        <v>79</v>
      </c>
      <c r="O899" t="s">
        <v>74</v>
      </c>
      <c r="P899" t="s">
        <v>74</v>
      </c>
      <c r="Q899" t="s">
        <v>74</v>
      </c>
      <c r="R899" t="s">
        <v>74</v>
      </c>
      <c r="S899" t="s">
        <v>74</v>
      </c>
      <c r="T899" t="s">
        <v>16665</v>
      </c>
      <c r="U899" t="s">
        <v>16666</v>
      </c>
      <c r="V899" t="s">
        <v>16667</v>
      </c>
      <c r="W899" t="s">
        <v>16668</v>
      </c>
      <c r="X899" t="s">
        <v>3103</v>
      </c>
      <c r="Y899" t="s">
        <v>16669</v>
      </c>
      <c r="Z899" t="s">
        <v>16670</v>
      </c>
      <c r="AA899" t="s">
        <v>16671</v>
      </c>
      <c r="AB899" t="s">
        <v>16672</v>
      </c>
      <c r="AC899" t="s">
        <v>16673</v>
      </c>
      <c r="AD899" t="s">
        <v>16674</v>
      </c>
      <c r="AE899" t="s">
        <v>16675</v>
      </c>
      <c r="AF899" t="s">
        <v>74</v>
      </c>
      <c r="AG899">
        <v>70</v>
      </c>
      <c r="AH899">
        <v>84</v>
      </c>
      <c r="AI899">
        <v>89</v>
      </c>
      <c r="AJ899">
        <v>1</v>
      </c>
      <c r="AK899">
        <v>141</v>
      </c>
      <c r="AL899" t="s">
        <v>898</v>
      </c>
      <c r="AM899" t="s">
        <v>899</v>
      </c>
      <c r="AN899" t="s">
        <v>900</v>
      </c>
      <c r="AO899" t="s">
        <v>16676</v>
      </c>
      <c r="AP899" t="s">
        <v>16677</v>
      </c>
      <c r="AQ899" t="s">
        <v>74</v>
      </c>
      <c r="AR899" t="s">
        <v>16678</v>
      </c>
      <c r="AS899" t="s">
        <v>16679</v>
      </c>
      <c r="AT899" t="s">
        <v>15365</v>
      </c>
      <c r="AU899">
        <v>2012</v>
      </c>
      <c r="AV899">
        <v>22</v>
      </c>
      <c r="AW899">
        <v>4</v>
      </c>
      <c r="AX899" t="s">
        <v>74</v>
      </c>
      <c r="AY899" t="s">
        <v>74</v>
      </c>
      <c r="AZ899" t="s">
        <v>74</v>
      </c>
      <c r="BA899" t="s">
        <v>74</v>
      </c>
      <c r="BB899">
        <v>1232</v>
      </c>
      <c r="BC899">
        <v>1245</v>
      </c>
      <c r="BD899" t="s">
        <v>74</v>
      </c>
      <c r="BE899" t="s">
        <v>16680</v>
      </c>
      <c r="BF899" t="str">
        <f>HYPERLINK("http://dx.doi.org/10.1890/11-1587.1","http://dx.doi.org/10.1890/11-1587.1")</f>
        <v>http://dx.doi.org/10.1890/11-1587.1</v>
      </c>
      <c r="BG899" t="s">
        <v>74</v>
      </c>
      <c r="BH899" t="s">
        <v>74</v>
      </c>
      <c r="BI899">
        <v>14</v>
      </c>
      <c r="BJ899" t="s">
        <v>4969</v>
      </c>
      <c r="BK899" t="s">
        <v>98</v>
      </c>
      <c r="BL899" t="s">
        <v>333</v>
      </c>
      <c r="BM899" t="s">
        <v>16681</v>
      </c>
      <c r="BN899">
        <v>22827131</v>
      </c>
      <c r="BO899" t="s">
        <v>74</v>
      </c>
      <c r="BP899" t="s">
        <v>74</v>
      </c>
      <c r="BQ899" t="s">
        <v>74</v>
      </c>
      <c r="BR899" t="s">
        <v>101</v>
      </c>
      <c r="BS899" t="s">
        <v>16682</v>
      </c>
      <c r="BT899" t="str">
        <f>HYPERLINK("https%3A%2F%2Fwww.webofscience.com%2Fwos%2Fwoscc%2Ffull-record%2FWOS:000305836600014","View Full Record in Web of Science")</f>
        <v>View Full Record in Web of Science</v>
      </c>
    </row>
    <row r="900" spans="1:72" x14ac:dyDescent="0.15">
      <c r="A900" t="s">
        <v>72</v>
      </c>
      <c r="B900" t="s">
        <v>16683</v>
      </c>
      <c r="C900" t="s">
        <v>74</v>
      </c>
      <c r="D900" t="s">
        <v>74</v>
      </c>
      <c r="E900" t="s">
        <v>74</v>
      </c>
      <c r="F900" t="s">
        <v>16684</v>
      </c>
      <c r="G900" t="s">
        <v>74</v>
      </c>
      <c r="H900" t="s">
        <v>74</v>
      </c>
      <c r="I900" t="s">
        <v>16685</v>
      </c>
      <c r="J900" t="s">
        <v>16686</v>
      </c>
      <c r="K900" t="s">
        <v>74</v>
      </c>
      <c r="L900" t="s">
        <v>74</v>
      </c>
      <c r="M900" t="s">
        <v>78</v>
      </c>
      <c r="N900" t="s">
        <v>79</v>
      </c>
      <c r="O900" t="s">
        <v>74</v>
      </c>
      <c r="P900" t="s">
        <v>74</v>
      </c>
      <c r="Q900" t="s">
        <v>74</v>
      </c>
      <c r="R900" t="s">
        <v>74</v>
      </c>
      <c r="S900" t="s">
        <v>74</v>
      </c>
      <c r="T900" t="s">
        <v>16687</v>
      </c>
      <c r="U900" t="s">
        <v>16688</v>
      </c>
      <c r="V900" t="s">
        <v>16689</v>
      </c>
      <c r="W900" t="s">
        <v>16690</v>
      </c>
      <c r="X900" t="s">
        <v>16691</v>
      </c>
      <c r="Y900" t="s">
        <v>16692</v>
      </c>
      <c r="Z900" t="s">
        <v>16693</v>
      </c>
      <c r="AA900" t="s">
        <v>74</v>
      </c>
      <c r="AB900" t="s">
        <v>74</v>
      </c>
      <c r="AC900" t="s">
        <v>16694</v>
      </c>
      <c r="AD900" t="s">
        <v>16695</v>
      </c>
      <c r="AE900" t="s">
        <v>16696</v>
      </c>
      <c r="AF900" t="s">
        <v>74</v>
      </c>
      <c r="AG900">
        <v>75</v>
      </c>
      <c r="AH900">
        <v>186</v>
      </c>
      <c r="AI900">
        <v>210</v>
      </c>
      <c r="AJ900">
        <v>6</v>
      </c>
      <c r="AK900">
        <v>128</v>
      </c>
      <c r="AL900" t="s">
        <v>2336</v>
      </c>
      <c r="AM900" t="s">
        <v>119</v>
      </c>
      <c r="AN900" t="s">
        <v>2337</v>
      </c>
      <c r="AO900" t="s">
        <v>16697</v>
      </c>
      <c r="AP900" t="s">
        <v>16698</v>
      </c>
      <c r="AQ900" t="s">
        <v>74</v>
      </c>
      <c r="AR900" t="s">
        <v>16686</v>
      </c>
      <c r="AS900" t="s">
        <v>515</v>
      </c>
      <c r="AT900" t="s">
        <v>15365</v>
      </c>
      <c r="AU900">
        <v>2012</v>
      </c>
      <c r="AV900">
        <v>93</v>
      </c>
      <c r="AW900">
        <v>6</v>
      </c>
      <c r="AX900" t="s">
        <v>74</v>
      </c>
      <c r="AY900" t="s">
        <v>74</v>
      </c>
      <c r="AZ900" t="s">
        <v>74</v>
      </c>
      <c r="BA900" t="s">
        <v>74</v>
      </c>
      <c r="BB900">
        <v>1367</v>
      </c>
      <c r="BC900">
        <v>1377</v>
      </c>
      <c r="BD900" t="s">
        <v>74</v>
      </c>
      <c r="BE900" t="s">
        <v>74</v>
      </c>
      <c r="BF900" t="s">
        <v>74</v>
      </c>
      <c r="BG900" t="s">
        <v>74</v>
      </c>
      <c r="BH900" t="s">
        <v>74</v>
      </c>
      <c r="BI900">
        <v>11</v>
      </c>
      <c r="BJ900" t="s">
        <v>515</v>
      </c>
      <c r="BK900" t="s">
        <v>98</v>
      </c>
      <c r="BL900" t="s">
        <v>333</v>
      </c>
      <c r="BM900" t="s">
        <v>16699</v>
      </c>
      <c r="BN900">
        <v>22834377</v>
      </c>
      <c r="BO900" t="s">
        <v>74</v>
      </c>
      <c r="BP900" t="s">
        <v>74</v>
      </c>
      <c r="BQ900" t="s">
        <v>74</v>
      </c>
      <c r="BR900" t="s">
        <v>101</v>
      </c>
      <c r="BS900" t="s">
        <v>16700</v>
      </c>
      <c r="BT900" t="str">
        <f>HYPERLINK("https%3A%2F%2Fwww.webofscience.com%2Fwos%2Fwoscc%2Ffull-record%2FWOS:000305296600014","View Full Record in Web of Science")</f>
        <v>View Full Record in Web of Science</v>
      </c>
    </row>
    <row r="901" spans="1:72" x14ac:dyDescent="0.15">
      <c r="A901" t="s">
        <v>72</v>
      </c>
      <c r="B901" t="s">
        <v>16701</v>
      </c>
      <c r="C901" t="s">
        <v>74</v>
      </c>
      <c r="D901" t="s">
        <v>74</v>
      </c>
      <c r="E901" t="s">
        <v>74</v>
      </c>
      <c r="F901" t="s">
        <v>16702</v>
      </c>
      <c r="G901" t="s">
        <v>74</v>
      </c>
      <c r="H901" t="s">
        <v>74</v>
      </c>
      <c r="I901" t="s">
        <v>16703</v>
      </c>
      <c r="J901" t="s">
        <v>16704</v>
      </c>
      <c r="K901" t="s">
        <v>74</v>
      </c>
      <c r="L901" t="s">
        <v>74</v>
      </c>
      <c r="M901" t="s">
        <v>78</v>
      </c>
      <c r="N901" t="s">
        <v>79</v>
      </c>
      <c r="O901" t="s">
        <v>74</v>
      </c>
      <c r="P901" t="s">
        <v>74</v>
      </c>
      <c r="Q901" t="s">
        <v>74</v>
      </c>
      <c r="R901" t="s">
        <v>74</v>
      </c>
      <c r="S901" t="s">
        <v>74</v>
      </c>
      <c r="T901" t="s">
        <v>16705</v>
      </c>
      <c r="U901" t="s">
        <v>16706</v>
      </c>
      <c r="V901" t="s">
        <v>16707</v>
      </c>
      <c r="W901" t="s">
        <v>16708</v>
      </c>
      <c r="X901" t="s">
        <v>16709</v>
      </c>
      <c r="Y901" t="s">
        <v>16710</v>
      </c>
      <c r="Z901" t="s">
        <v>16711</v>
      </c>
      <c r="AA901" t="s">
        <v>74</v>
      </c>
      <c r="AB901" t="s">
        <v>16712</v>
      </c>
      <c r="AC901" t="s">
        <v>16713</v>
      </c>
      <c r="AD901" t="s">
        <v>16713</v>
      </c>
      <c r="AE901" t="s">
        <v>16714</v>
      </c>
      <c r="AF901" t="s">
        <v>74</v>
      </c>
      <c r="AG901">
        <v>57</v>
      </c>
      <c r="AH901">
        <v>14</v>
      </c>
      <c r="AI901">
        <v>17</v>
      </c>
      <c r="AJ901">
        <v>0</v>
      </c>
      <c r="AK901">
        <v>1</v>
      </c>
      <c r="AL901" t="s">
        <v>188</v>
      </c>
      <c r="AM901" t="s">
        <v>189</v>
      </c>
      <c r="AN901" t="s">
        <v>190</v>
      </c>
      <c r="AO901" t="s">
        <v>16715</v>
      </c>
      <c r="AP901" t="s">
        <v>16716</v>
      </c>
      <c r="AQ901" t="s">
        <v>74</v>
      </c>
      <c r="AR901" t="s">
        <v>16717</v>
      </c>
      <c r="AS901" t="s">
        <v>16718</v>
      </c>
      <c r="AT901" t="s">
        <v>15365</v>
      </c>
      <c r="AU901">
        <v>2012</v>
      </c>
      <c r="AV901">
        <v>15</v>
      </c>
      <c r="AW901">
        <v>1</v>
      </c>
      <c r="AX901" t="s">
        <v>74</v>
      </c>
      <c r="AY901" t="s">
        <v>74</v>
      </c>
      <c r="AZ901" t="s">
        <v>74</v>
      </c>
      <c r="BA901" t="s">
        <v>74</v>
      </c>
      <c r="BB901">
        <v>67</v>
      </c>
      <c r="BC901">
        <v>81</v>
      </c>
      <c r="BD901" t="s">
        <v>74</v>
      </c>
      <c r="BE901" t="s">
        <v>16719</v>
      </c>
      <c r="BF901" t="str">
        <f>HYPERLINK("http://dx.doi.org/10.1016/j.ejrs.2012.05.003","http://dx.doi.org/10.1016/j.ejrs.2012.05.003")</f>
        <v>http://dx.doi.org/10.1016/j.ejrs.2012.05.003</v>
      </c>
      <c r="BG901" t="s">
        <v>74</v>
      </c>
      <c r="BH901" t="s">
        <v>74</v>
      </c>
      <c r="BI901">
        <v>15</v>
      </c>
      <c r="BJ901" t="s">
        <v>16720</v>
      </c>
      <c r="BK901" t="s">
        <v>2920</v>
      </c>
      <c r="BL901" t="s">
        <v>16721</v>
      </c>
      <c r="BM901" t="s">
        <v>16722</v>
      </c>
      <c r="BN901" t="s">
        <v>74</v>
      </c>
      <c r="BO901" t="s">
        <v>7420</v>
      </c>
      <c r="BP901" t="s">
        <v>74</v>
      </c>
      <c r="BQ901" t="s">
        <v>74</v>
      </c>
      <c r="BR901" t="s">
        <v>101</v>
      </c>
      <c r="BS901" t="s">
        <v>16723</v>
      </c>
      <c r="BT901" t="str">
        <f>HYPERLINK("https%3A%2F%2Fwww.webofscience.com%2Fwos%2Fwoscc%2Ffull-record%2FWOS:000216581500007","View Full Record in Web of Science")</f>
        <v>View Full Record in Web of Science</v>
      </c>
    </row>
    <row r="902" spans="1:72" x14ac:dyDescent="0.15">
      <c r="A902" t="s">
        <v>72</v>
      </c>
      <c r="B902" t="s">
        <v>16724</v>
      </c>
      <c r="C902" t="s">
        <v>74</v>
      </c>
      <c r="D902" t="s">
        <v>74</v>
      </c>
      <c r="E902" t="s">
        <v>74</v>
      </c>
      <c r="F902" t="s">
        <v>16725</v>
      </c>
      <c r="G902" t="s">
        <v>74</v>
      </c>
      <c r="H902" t="s">
        <v>74</v>
      </c>
      <c r="I902" t="s">
        <v>16726</v>
      </c>
      <c r="J902" t="s">
        <v>16727</v>
      </c>
      <c r="K902" t="s">
        <v>74</v>
      </c>
      <c r="L902" t="s">
        <v>74</v>
      </c>
      <c r="M902" t="s">
        <v>78</v>
      </c>
      <c r="N902" t="s">
        <v>79</v>
      </c>
      <c r="O902" t="s">
        <v>74</v>
      </c>
      <c r="P902" t="s">
        <v>74</v>
      </c>
      <c r="Q902" t="s">
        <v>74</v>
      </c>
      <c r="R902" t="s">
        <v>74</v>
      </c>
      <c r="S902" t="s">
        <v>74</v>
      </c>
      <c r="T902" t="s">
        <v>74</v>
      </c>
      <c r="U902" t="s">
        <v>16728</v>
      </c>
      <c r="V902" t="s">
        <v>16729</v>
      </c>
      <c r="W902" t="s">
        <v>16730</v>
      </c>
      <c r="X902" t="s">
        <v>16731</v>
      </c>
      <c r="Y902" t="s">
        <v>16732</v>
      </c>
      <c r="Z902" t="s">
        <v>16733</v>
      </c>
      <c r="AA902" t="s">
        <v>16734</v>
      </c>
      <c r="AB902" t="s">
        <v>16735</v>
      </c>
      <c r="AC902" t="s">
        <v>16736</v>
      </c>
      <c r="AD902" t="s">
        <v>5910</v>
      </c>
      <c r="AE902" t="s">
        <v>74</v>
      </c>
      <c r="AF902" t="s">
        <v>74</v>
      </c>
      <c r="AG902">
        <v>28</v>
      </c>
      <c r="AH902">
        <v>4</v>
      </c>
      <c r="AI902">
        <v>4</v>
      </c>
      <c r="AJ902">
        <v>0</v>
      </c>
      <c r="AK902">
        <v>5</v>
      </c>
      <c r="AL902" t="s">
        <v>11343</v>
      </c>
      <c r="AM902" t="s">
        <v>4123</v>
      </c>
      <c r="AN902" t="s">
        <v>4124</v>
      </c>
      <c r="AO902" t="s">
        <v>16737</v>
      </c>
      <c r="AP902" t="s">
        <v>16738</v>
      </c>
      <c r="AQ902" t="s">
        <v>74</v>
      </c>
      <c r="AR902" t="s">
        <v>16739</v>
      </c>
      <c r="AS902" t="s">
        <v>16727</v>
      </c>
      <c r="AT902" t="s">
        <v>15365</v>
      </c>
      <c r="AU902">
        <v>2012</v>
      </c>
      <c r="AV902">
        <v>98</v>
      </c>
      <c r="AW902">
        <v>5</v>
      </c>
      <c r="AX902" t="s">
        <v>74</v>
      </c>
      <c r="AY902" t="s">
        <v>74</v>
      </c>
      <c r="AZ902" t="s">
        <v>74</v>
      </c>
      <c r="BA902" t="s">
        <v>74</v>
      </c>
      <c r="BB902" t="s">
        <v>74</v>
      </c>
      <c r="BC902" t="s">
        <v>74</v>
      </c>
      <c r="BD902">
        <v>59001</v>
      </c>
      <c r="BE902" t="s">
        <v>16740</v>
      </c>
      <c r="BF902" t="str">
        <f>HYPERLINK("http://dx.doi.org/10.1209/0295-5075/98/59001","http://dx.doi.org/10.1209/0295-5075/98/59001")</f>
        <v>http://dx.doi.org/10.1209/0295-5075/98/59001</v>
      </c>
      <c r="BG902" t="s">
        <v>74</v>
      </c>
      <c r="BH902" t="s">
        <v>74</v>
      </c>
      <c r="BI902">
        <v>6</v>
      </c>
      <c r="BJ902" t="s">
        <v>10810</v>
      </c>
      <c r="BK902" t="s">
        <v>98</v>
      </c>
      <c r="BL902" t="s">
        <v>10811</v>
      </c>
      <c r="BM902" t="s">
        <v>16741</v>
      </c>
      <c r="BN902" t="s">
        <v>74</v>
      </c>
      <c r="BO902" t="s">
        <v>74</v>
      </c>
      <c r="BP902" t="s">
        <v>74</v>
      </c>
      <c r="BQ902" t="s">
        <v>74</v>
      </c>
      <c r="BR902" t="s">
        <v>101</v>
      </c>
      <c r="BS902" t="s">
        <v>16742</v>
      </c>
      <c r="BT902" t="str">
        <f>HYPERLINK("https%3A%2F%2Fwww.webofscience.com%2Fwos%2Fwoscc%2Ffull-record%2FWOS:000305276600041","View Full Record in Web of Science")</f>
        <v>View Full Record in Web of Science</v>
      </c>
    </row>
    <row r="903" spans="1:72" x14ac:dyDescent="0.15">
      <c r="A903" t="s">
        <v>72</v>
      </c>
      <c r="B903" t="s">
        <v>16743</v>
      </c>
      <c r="C903" t="s">
        <v>74</v>
      </c>
      <c r="D903" t="s">
        <v>74</v>
      </c>
      <c r="E903" t="s">
        <v>74</v>
      </c>
      <c r="F903" t="s">
        <v>16744</v>
      </c>
      <c r="G903" t="s">
        <v>74</v>
      </c>
      <c r="H903" t="s">
        <v>74</v>
      </c>
      <c r="I903" t="s">
        <v>16745</v>
      </c>
      <c r="J903" t="s">
        <v>1614</v>
      </c>
      <c r="K903" t="s">
        <v>74</v>
      </c>
      <c r="L903" t="s">
        <v>74</v>
      </c>
      <c r="M903" t="s">
        <v>78</v>
      </c>
      <c r="N903" t="s">
        <v>79</v>
      </c>
      <c r="O903" t="s">
        <v>74</v>
      </c>
      <c r="P903" t="s">
        <v>74</v>
      </c>
      <c r="Q903" t="s">
        <v>74</v>
      </c>
      <c r="R903" t="s">
        <v>74</v>
      </c>
      <c r="S903" t="s">
        <v>74</v>
      </c>
      <c r="T903" t="s">
        <v>74</v>
      </c>
      <c r="U903" t="s">
        <v>16746</v>
      </c>
      <c r="V903" t="s">
        <v>16747</v>
      </c>
      <c r="W903" t="s">
        <v>16748</v>
      </c>
      <c r="X903" t="s">
        <v>16749</v>
      </c>
      <c r="Y903" t="s">
        <v>16750</v>
      </c>
      <c r="Z903" t="s">
        <v>74</v>
      </c>
      <c r="AA903" t="s">
        <v>16751</v>
      </c>
      <c r="AB903" t="s">
        <v>16752</v>
      </c>
      <c r="AC903" t="s">
        <v>74</v>
      </c>
      <c r="AD903" t="s">
        <v>74</v>
      </c>
      <c r="AE903" t="s">
        <v>74</v>
      </c>
      <c r="AF903" t="s">
        <v>74</v>
      </c>
      <c r="AG903">
        <v>33</v>
      </c>
      <c r="AH903">
        <v>16</v>
      </c>
      <c r="AI903">
        <v>20</v>
      </c>
      <c r="AJ903">
        <v>0</v>
      </c>
      <c r="AK903">
        <v>26</v>
      </c>
      <c r="AL903" t="s">
        <v>1624</v>
      </c>
      <c r="AM903" t="s">
        <v>1268</v>
      </c>
      <c r="AN903" t="s">
        <v>1625</v>
      </c>
      <c r="AO903" t="s">
        <v>1626</v>
      </c>
      <c r="AP903" t="s">
        <v>1627</v>
      </c>
      <c r="AQ903" t="s">
        <v>74</v>
      </c>
      <c r="AR903" t="s">
        <v>1614</v>
      </c>
      <c r="AS903" t="s">
        <v>462</v>
      </c>
      <c r="AT903" t="s">
        <v>15365</v>
      </c>
      <c r="AU903">
        <v>2012</v>
      </c>
      <c r="AV903">
        <v>40</v>
      </c>
      <c r="AW903">
        <v>6</v>
      </c>
      <c r="AX903" t="s">
        <v>74</v>
      </c>
      <c r="AY903" t="s">
        <v>74</v>
      </c>
      <c r="AZ903" t="s">
        <v>74</v>
      </c>
      <c r="BA903" t="s">
        <v>74</v>
      </c>
      <c r="BB903">
        <v>567</v>
      </c>
      <c r="BC903">
        <v>570</v>
      </c>
      <c r="BD903" t="s">
        <v>74</v>
      </c>
      <c r="BE903" t="s">
        <v>16753</v>
      </c>
      <c r="BF903" t="str">
        <f>HYPERLINK("http://dx.doi.org/10.1130/G32990.1","http://dx.doi.org/10.1130/G32990.1")</f>
        <v>http://dx.doi.org/10.1130/G32990.1</v>
      </c>
      <c r="BG903" t="s">
        <v>74</v>
      </c>
      <c r="BH903" t="s">
        <v>74</v>
      </c>
      <c r="BI903">
        <v>4</v>
      </c>
      <c r="BJ903" t="s">
        <v>462</v>
      </c>
      <c r="BK903" t="s">
        <v>98</v>
      </c>
      <c r="BL903" t="s">
        <v>462</v>
      </c>
      <c r="BM903" t="s">
        <v>16754</v>
      </c>
      <c r="BN903" t="s">
        <v>74</v>
      </c>
      <c r="BO903" t="s">
        <v>74</v>
      </c>
      <c r="BP903" t="s">
        <v>74</v>
      </c>
      <c r="BQ903" t="s">
        <v>74</v>
      </c>
      <c r="BR903" t="s">
        <v>101</v>
      </c>
      <c r="BS903" t="s">
        <v>16755</v>
      </c>
      <c r="BT903" t="str">
        <f>HYPERLINK("https%3A%2F%2Fwww.webofscience.com%2Fwos%2Fwoscc%2Ffull-record%2FWOS:000304515000023","View Full Record in Web of Science")</f>
        <v>View Full Record in Web of Science</v>
      </c>
    </row>
    <row r="904" spans="1:72" x14ac:dyDescent="0.15">
      <c r="A904" t="s">
        <v>72</v>
      </c>
      <c r="B904" t="s">
        <v>16756</v>
      </c>
      <c r="C904" t="s">
        <v>74</v>
      </c>
      <c r="D904" t="s">
        <v>74</v>
      </c>
      <c r="E904" t="s">
        <v>74</v>
      </c>
      <c r="F904" t="s">
        <v>16757</v>
      </c>
      <c r="G904" t="s">
        <v>74</v>
      </c>
      <c r="H904" t="s">
        <v>74</v>
      </c>
      <c r="I904" t="s">
        <v>16758</v>
      </c>
      <c r="J904" t="s">
        <v>16759</v>
      </c>
      <c r="K904" t="s">
        <v>74</v>
      </c>
      <c r="L904" t="s">
        <v>74</v>
      </c>
      <c r="M904" t="s">
        <v>78</v>
      </c>
      <c r="N904" t="s">
        <v>974</v>
      </c>
      <c r="O904" t="s">
        <v>74</v>
      </c>
      <c r="P904" t="s">
        <v>74</v>
      </c>
      <c r="Q904" t="s">
        <v>74</v>
      </c>
      <c r="R904" t="s">
        <v>74</v>
      </c>
      <c r="S904" t="s">
        <v>74</v>
      </c>
      <c r="T904" t="s">
        <v>16760</v>
      </c>
      <c r="U904" t="s">
        <v>16761</v>
      </c>
      <c r="V904" t="s">
        <v>16762</v>
      </c>
      <c r="W904" t="s">
        <v>16763</v>
      </c>
      <c r="X904" t="s">
        <v>16764</v>
      </c>
      <c r="Y904" t="s">
        <v>16765</v>
      </c>
      <c r="Z904" t="s">
        <v>16766</v>
      </c>
      <c r="AA904" t="s">
        <v>16767</v>
      </c>
      <c r="AB904" t="s">
        <v>16768</v>
      </c>
      <c r="AC904" t="s">
        <v>74</v>
      </c>
      <c r="AD904" t="s">
        <v>74</v>
      </c>
      <c r="AE904" t="s">
        <v>74</v>
      </c>
      <c r="AF904" t="s">
        <v>74</v>
      </c>
      <c r="AG904">
        <v>92</v>
      </c>
      <c r="AH904">
        <v>5</v>
      </c>
      <c r="AI904">
        <v>5</v>
      </c>
      <c r="AJ904">
        <v>0</v>
      </c>
      <c r="AK904">
        <v>0</v>
      </c>
      <c r="AL904" t="s">
        <v>3018</v>
      </c>
      <c r="AM904" t="s">
        <v>3019</v>
      </c>
      <c r="AN904" t="s">
        <v>3020</v>
      </c>
      <c r="AO904" t="s">
        <v>74</v>
      </c>
      <c r="AP904" t="s">
        <v>16769</v>
      </c>
      <c r="AQ904" t="s">
        <v>74</v>
      </c>
      <c r="AR904" t="s">
        <v>16759</v>
      </c>
      <c r="AS904" t="s">
        <v>16770</v>
      </c>
      <c r="AT904" t="s">
        <v>15365</v>
      </c>
      <c r="AU904">
        <v>2012</v>
      </c>
      <c r="AV904">
        <v>2</v>
      </c>
      <c r="AW904">
        <v>2</v>
      </c>
      <c r="AX904" t="s">
        <v>74</v>
      </c>
      <c r="AY904" t="s">
        <v>74</v>
      </c>
      <c r="AZ904" t="s">
        <v>74</v>
      </c>
      <c r="BA904" t="s">
        <v>74</v>
      </c>
      <c r="BB904">
        <v>90</v>
      </c>
      <c r="BC904">
        <v>108</v>
      </c>
      <c r="BD904" t="s">
        <v>74</v>
      </c>
      <c r="BE904" t="s">
        <v>16771</v>
      </c>
      <c r="BF904" t="str">
        <f>HYPERLINK("http://dx.doi.org/10.3390/geosciences2020090","http://dx.doi.org/10.3390/geosciences2020090")</f>
        <v>http://dx.doi.org/10.3390/geosciences2020090</v>
      </c>
      <c r="BG904" t="s">
        <v>74</v>
      </c>
      <c r="BH904" t="s">
        <v>74</v>
      </c>
      <c r="BI904">
        <v>19</v>
      </c>
      <c r="BJ904" t="s">
        <v>461</v>
      </c>
      <c r="BK904" t="s">
        <v>2920</v>
      </c>
      <c r="BL904" t="s">
        <v>462</v>
      </c>
      <c r="BM904" t="s">
        <v>16772</v>
      </c>
      <c r="BN904" t="s">
        <v>74</v>
      </c>
      <c r="BO904" t="s">
        <v>7420</v>
      </c>
      <c r="BP904" t="s">
        <v>74</v>
      </c>
      <c r="BQ904" t="s">
        <v>74</v>
      </c>
      <c r="BR904" t="s">
        <v>101</v>
      </c>
      <c r="BS904" t="s">
        <v>16773</v>
      </c>
      <c r="BT904" t="str">
        <f>HYPERLINK("https%3A%2F%2Fwww.webofscience.com%2Fwos%2Fwoscc%2Ffull-record%2FWOS:000409616300005","View Full Record in Web of Science")</f>
        <v>View Full Record in Web of Science</v>
      </c>
    </row>
    <row r="905" spans="1:72" x14ac:dyDescent="0.15">
      <c r="A905" t="s">
        <v>72</v>
      </c>
      <c r="B905" t="s">
        <v>15795</v>
      </c>
      <c r="C905" t="s">
        <v>74</v>
      </c>
      <c r="D905" t="s">
        <v>74</v>
      </c>
      <c r="E905" t="s">
        <v>74</v>
      </c>
      <c r="F905" t="s">
        <v>16774</v>
      </c>
      <c r="G905" t="s">
        <v>74</v>
      </c>
      <c r="H905" t="s">
        <v>74</v>
      </c>
      <c r="I905" t="s">
        <v>16775</v>
      </c>
      <c r="J905" t="s">
        <v>16776</v>
      </c>
      <c r="K905" t="s">
        <v>74</v>
      </c>
      <c r="L905" t="s">
        <v>74</v>
      </c>
      <c r="M905" t="s">
        <v>78</v>
      </c>
      <c r="N905" t="s">
        <v>79</v>
      </c>
      <c r="O905" t="s">
        <v>74</v>
      </c>
      <c r="P905" t="s">
        <v>74</v>
      </c>
      <c r="Q905" t="s">
        <v>74</v>
      </c>
      <c r="R905" t="s">
        <v>74</v>
      </c>
      <c r="S905" t="s">
        <v>74</v>
      </c>
      <c r="T905" t="s">
        <v>16777</v>
      </c>
      <c r="U905" t="s">
        <v>74</v>
      </c>
      <c r="V905" t="s">
        <v>16778</v>
      </c>
      <c r="W905" t="s">
        <v>16779</v>
      </c>
      <c r="X905" t="s">
        <v>16780</v>
      </c>
      <c r="Y905" t="s">
        <v>16781</v>
      </c>
      <c r="Z905" t="s">
        <v>16782</v>
      </c>
      <c r="AA905" t="s">
        <v>74</v>
      </c>
      <c r="AB905" t="s">
        <v>74</v>
      </c>
      <c r="AC905" t="s">
        <v>16783</v>
      </c>
      <c r="AD905" t="s">
        <v>16784</v>
      </c>
      <c r="AE905" t="s">
        <v>74</v>
      </c>
      <c r="AF905" t="s">
        <v>74</v>
      </c>
      <c r="AG905">
        <v>42</v>
      </c>
      <c r="AH905">
        <v>6</v>
      </c>
      <c r="AI905">
        <v>9</v>
      </c>
      <c r="AJ905">
        <v>1</v>
      </c>
      <c r="AK905">
        <v>16</v>
      </c>
      <c r="AL905" t="s">
        <v>5018</v>
      </c>
      <c r="AM905" t="s">
        <v>434</v>
      </c>
      <c r="AN905" t="s">
        <v>5019</v>
      </c>
      <c r="AO905" t="s">
        <v>16785</v>
      </c>
      <c r="AP905" t="s">
        <v>74</v>
      </c>
      <c r="AQ905" t="s">
        <v>74</v>
      </c>
      <c r="AR905" t="s">
        <v>16786</v>
      </c>
      <c r="AS905" t="s">
        <v>16787</v>
      </c>
      <c r="AT905" t="s">
        <v>15365</v>
      </c>
      <c r="AU905">
        <v>2012</v>
      </c>
      <c r="AV905">
        <v>23</v>
      </c>
      <c r="AW905">
        <v>2</v>
      </c>
      <c r="AX905" t="s">
        <v>74</v>
      </c>
      <c r="AY905" t="s">
        <v>74</v>
      </c>
      <c r="AZ905" t="s">
        <v>74</v>
      </c>
      <c r="BA905" t="s">
        <v>74</v>
      </c>
      <c r="BB905">
        <v>194</v>
      </c>
      <c r="BC905">
        <v>205</v>
      </c>
      <c r="BD905" t="s">
        <v>74</v>
      </c>
      <c r="BE905" t="s">
        <v>16788</v>
      </c>
      <c r="BF905" t="str">
        <f>HYPERLINK("http://dx.doi.org/10.1177/0957154X11399203","http://dx.doi.org/10.1177/0957154X11399203")</f>
        <v>http://dx.doi.org/10.1177/0957154X11399203</v>
      </c>
      <c r="BG905" t="s">
        <v>74</v>
      </c>
      <c r="BH905" t="s">
        <v>74</v>
      </c>
      <c r="BI905">
        <v>12</v>
      </c>
      <c r="BJ905" t="s">
        <v>16789</v>
      </c>
      <c r="BK905" t="s">
        <v>7282</v>
      </c>
      <c r="BL905" t="s">
        <v>16790</v>
      </c>
      <c r="BM905" t="s">
        <v>16791</v>
      </c>
      <c r="BN905">
        <v>23057228</v>
      </c>
      <c r="BO905" t="s">
        <v>74</v>
      </c>
      <c r="BP905" t="s">
        <v>74</v>
      </c>
      <c r="BQ905" t="s">
        <v>74</v>
      </c>
      <c r="BR905" t="s">
        <v>101</v>
      </c>
      <c r="BS905" t="s">
        <v>16792</v>
      </c>
      <c r="BT905" t="str">
        <f>HYPERLINK("https%3A%2F%2Fwww.webofscience.com%2Fwos%2Fwoscc%2Ffull-record%2FWOS:000304659800005","View Full Record in Web of Science")</f>
        <v>View Full Record in Web of Science</v>
      </c>
    </row>
    <row r="906" spans="1:72" x14ac:dyDescent="0.15">
      <c r="A906" t="s">
        <v>72</v>
      </c>
      <c r="B906" t="s">
        <v>15795</v>
      </c>
      <c r="C906" t="s">
        <v>74</v>
      </c>
      <c r="D906" t="s">
        <v>74</v>
      </c>
      <c r="E906" t="s">
        <v>74</v>
      </c>
      <c r="F906" t="s">
        <v>16774</v>
      </c>
      <c r="G906" t="s">
        <v>74</v>
      </c>
      <c r="H906" t="s">
        <v>74</v>
      </c>
      <c r="I906" t="s">
        <v>16793</v>
      </c>
      <c r="J906" t="s">
        <v>16776</v>
      </c>
      <c r="K906" t="s">
        <v>74</v>
      </c>
      <c r="L906" t="s">
        <v>74</v>
      </c>
      <c r="M906" t="s">
        <v>78</v>
      </c>
      <c r="N906" t="s">
        <v>79</v>
      </c>
      <c r="O906" t="s">
        <v>74</v>
      </c>
      <c r="P906" t="s">
        <v>74</v>
      </c>
      <c r="Q906" t="s">
        <v>74</v>
      </c>
      <c r="R906" t="s">
        <v>74</v>
      </c>
      <c r="S906" t="s">
        <v>74</v>
      </c>
      <c r="T906" t="s">
        <v>16794</v>
      </c>
      <c r="U906" t="s">
        <v>16795</v>
      </c>
      <c r="V906" t="s">
        <v>16796</v>
      </c>
      <c r="W906" t="s">
        <v>16779</v>
      </c>
      <c r="X906" t="s">
        <v>15801</v>
      </c>
      <c r="Y906" t="s">
        <v>16781</v>
      </c>
      <c r="Z906" t="s">
        <v>16782</v>
      </c>
      <c r="AA906" t="s">
        <v>74</v>
      </c>
      <c r="AB906" t="s">
        <v>74</v>
      </c>
      <c r="AC906" t="s">
        <v>16797</v>
      </c>
      <c r="AD906" t="s">
        <v>16798</v>
      </c>
      <c r="AE906" t="s">
        <v>74</v>
      </c>
      <c r="AF906" t="s">
        <v>74</v>
      </c>
      <c r="AG906">
        <v>43</v>
      </c>
      <c r="AH906">
        <v>5</v>
      </c>
      <c r="AI906">
        <v>7</v>
      </c>
      <c r="AJ906">
        <v>0</v>
      </c>
      <c r="AK906">
        <v>10</v>
      </c>
      <c r="AL906" t="s">
        <v>5018</v>
      </c>
      <c r="AM906" t="s">
        <v>434</v>
      </c>
      <c r="AN906" t="s">
        <v>5019</v>
      </c>
      <c r="AO906" t="s">
        <v>16785</v>
      </c>
      <c r="AP906" t="s">
        <v>74</v>
      </c>
      <c r="AQ906" t="s">
        <v>74</v>
      </c>
      <c r="AR906" t="s">
        <v>16786</v>
      </c>
      <c r="AS906" t="s">
        <v>16787</v>
      </c>
      <c r="AT906" t="s">
        <v>15365</v>
      </c>
      <c r="AU906">
        <v>2012</v>
      </c>
      <c r="AV906">
        <v>23</v>
      </c>
      <c r="AW906">
        <v>2</v>
      </c>
      <c r="AX906" t="s">
        <v>74</v>
      </c>
      <c r="AY906" t="s">
        <v>74</v>
      </c>
      <c r="AZ906" t="s">
        <v>74</v>
      </c>
      <c r="BA906" t="s">
        <v>74</v>
      </c>
      <c r="BB906">
        <v>206</v>
      </c>
      <c r="BC906">
        <v>215</v>
      </c>
      <c r="BD906" t="s">
        <v>74</v>
      </c>
      <c r="BE906" t="s">
        <v>16799</v>
      </c>
      <c r="BF906" t="str">
        <f>HYPERLINK("http://dx.doi.org/10.1177/0957154X11399209","http://dx.doi.org/10.1177/0957154X11399209")</f>
        <v>http://dx.doi.org/10.1177/0957154X11399209</v>
      </c>
      <c r="BG906" t="s">
        <v>74</v>
      </c>
      <c r="BH906" t="s">
        <v>74</v>
      </c>
      <c r="BI906">
        <v>10</v>
      </c>
      <c r="BJ906" t="s">
        <v>16789</v>
      </c>
      <c r="BK906" t="s">
        <v>7282</v>
      </c>
      <c r="BL906" t="s">
        <v>16790</v>
      </c>
      <c r="BM906" t="s">
        <v>16791</v>
      </c>
      <c r="BN906">
        <v>23057229</v>
      </c>
      <c r="BO906" t="s">
        <v>74</v>
      </c>
      <c r="BP906" t="s">
        <v>74</v>
      </c>
      <c r="BQ906" t="s">
        <v>74</v>
      </c>
      <c r="BR906" t="s">
        <v>101</v>
      </c>
      <c r="BS906" t="s">
        <v>16800</v>
      </c>
      <c r="BT906" t="str">
        <f>HYPERLINK("https%3A%2F%2Fwww.webofscience.com%2Fwos%2Fwoscc%2Ffull-record%2FWOS:000304659800006","View Full Record in Web of Science")</f>
        <v>View Full Record in Web of Science</v>
      </c>
    </row>
    <row r="907" spans="1:72" x14ac:dyDescent="0.15">
      <c r="A907" t="s">
        <v>72</v>
      </c>
      <c r="B907" t="s">
        <v>16801</v>
      </c>
      <c r="C907" t="s">
        <v>74</v>
      </c>
      <c r="D907" t="s">
        <v>74</v>
      </c>
      <c r="E907" t="s">
        <v>74</v>
      </c>
      <c r="F907" t="s">
        <v>16802</v>
      </c>
      <c r="G907" t="s">
        <v>74</v>
      </c>
      <c r="H907" t="s">
        <v>74</v>
      </c>
      <c r="I907" t="s">
        <v>16803</v>
      </c>
      <c r="J907" t="s">
        <v>11819</v>
      </c>
      <c r="K907" t="s">
        <v>74</v>
      </c>
      <c r="L907" t="s">
        <v>74</v>
      </c>
      <c r="M907" t="s">
        <v>78</v>
      </c>
      <c r="N907" t="s">
        <v>79</v>
      </c>
      <c r="O907" t="s">
        <v>74</v>
      </c>
      <c r="P907" t="s">
        <v>74</v>
      </c>
      <c r="Q907" t="s">
        <v>74</v>
      </c>
      <c r="R907" t="s">
        <v>74</v>
      </c>
      <c r="S907" t="s">
        <v>74</v>
      </c>
      <c r="T907" t="s">
        <v>16804</v>
      </c>
      <c r="U907" t="s">
        <v>74</v>
      </c>
      <c r="V907" t="s">
        <v>16805</v>
      </c>
      <c r="W907" t="s">
        <v>16806</v>
      </c>
      <c r="X907" t="s">
        <v>11824</v>
      </c>
      <c r="Y907" t="s">
        <v>16807</v>
      </c>
      <c r="Z907" t="s">
        <v>16808</v>
      </c>
      <c r="AA907" t="s">
        <v>74</v>
      </c>
      <c r="AB907" t="s">
        <v>74</v>
      </c>
      <c r="AC907" t="s">
        <v>16809</v>
      </c>
      <c r="AD907" t="s">
        <v>16810</v>
      </c>
      <c r="AE907" t="s">
        <v>16811</v>
      </c>
      <c r="AF907" t="s">
        <v>74</v>
      </c>
      <c r="AG907">
        <v>7</v>
      </c>
      <c r="AH907">
        <v>26</v>
      </c>
      <c r="AI907">
        <v>30</v>
      </c>
      <c r="AJ907">
        <v>3</v>
      </c>
      <c r="AK907">
        <v>23</v>
      </c>
      <c r="AL907" t="s">
        <v>259</v>
      </c>
      <c r="AM907" t="s">
        <v>189</v>
      </c>
      <c r="AN907" t="s">
        <v>260</v>
      </c>
      <c r="AO907" t="s">
        <v>11828</v>
      </c>
      <c r="AP907" t="s">
        <v>74</v>
      </c>
      <c r="AQ907" t="s">
        <v>74</v>
      </c>
      <c r="AR907" t="s">
        <v>11829</v>
      </c>
      <c r="AS907" t="s">
        <v>11830</v>
      </c>
      <c r="AT907" t="s">
        <v>15365</v>
      </c>
      <c r="AU907">
        <v>2012</v>
      </c>
      <c r="AV907">
        <v>16</v>
      </c>
      <c r="AW907" t="s">
        <v>74</v>
      </c>
      <c r="AX907" t="s">
        <v>74</v>
      </c>
      <c r="AY907" t="s">
        <v>74</v>
      </c>
      <c r="AZ907" t="s">
        <v>74</v>
      </c>
      <c r="BA907" t="s">
        <v>74</v>
      </c>
      <c r="BB907">
        <v>1</v>
      </c>
      <c r="BC907">
        <v>4</v>
      </c>
      <c r="BD907" t="s">
        <v>74</v>
      </c>
      <c r="BE907" t="s">
        <v>16812</v>
      </c>
      <c r="BF907" t="str">
        <f>HYPERLINK("http://dx.doi.org/10.1016/j.jag.2011.11.008","http://dx.doi.org/10.1016/j.jag.2011.11.008")</f>
        <v>http://dx.doi.org/10.1016/j.jag.2011.11.008</v>
      </c>
      <c r="BG907" t="s">
        <v>74</v>
      </c>
      <c r="BH907" t="s">
        <v>74</v>
      </c>
      <c r="BI907">
        <v>4</v>
      </c>
      <c r="BJ907" t="s">
        <v>11832</v>
      </c>
      <c r="BK907" t="s">
        <v>98</v>
      </c>
      <c r="BL907" t="s">
        <v>11832</v>
      </c>
      <c r="BM907" t="s">
        <v>16813</v>
      </c>
      <c r="BN907" t="s">
        <v>74</v>
      </c>
      <c r="BO907" t="s">
        <v>74</v>
      </c>
      <c r="BP907" t="s">
        <v>74</v>
      </c>
      <c r="BQ907" t="s">
        <v>74</v>
      </c>
      <c r="BR907" t="s">
        <v>101</v>
      </c>
      <c r="BS907" t="s">
        <v>16814</v>
      </c>
      <c r="BT907" t="str">
        <f>HYPERLINK("https%3A%2F%2Fwww.webofscience.com%2Fwos%2Fwoscc%2Ffull-record%2FWOS:000302665200001","View Full Record in Web of Science")</f>
        <v>View Full Record in Web of Science</v>
      </c>
    </row>
    <row r="908" spans="1:72" x14ac:dyDescent="0.15">
      <c r="A908" t="s">
        <v>72</v>
      </c>
      <c r="B908" t="s">
        <v>16815</v>
      </c>
      <c r="C908" t="s">
        <v>74</v>
      </c>
      <c r="D908" t="s">
        <v>74</v>
      </c>
      <c r="E908" t="s">
        <v>74</v>
      </c>
      <c r="F908" t="s">
        <v>16816</v>
      </c>
      <c r="G908" t="s">
        <v>74</v>
      </c>
      <c r="H908" t="s">
        <v>74</v>
      </c>
      <c r="I908" t="s">
        <v>16817</v>
      </c>
      <c r="J908" t="s">
        <v>16818</v>
      </c>
      <c r="K908" t="s">
        <v>74</v>
      </c>
      <c r="L908" t="s">
        <v>74</v>
      </c>
      <c r="M908" t="s">
        <v>78</v>
      </c>
      <c r="N908" t="s">
        <v>79</v>
      </c>
      <c r="O908" t="s">
        <v>74</v>
      </c>
      <c r="P908" t="s">
        <v>74</v>
      </c>
      <c r="Q908" t="s">
        <v>74</v>
      </c>
      <c r="R908" t="s">
        <v>74</v>
      </c>
      <c r="S908" t="s">
        <v>74</v>
      </c>
      <c r="T908" t="s">
        <v>74</v>
      </c>
      <c r="U908" t="s">
        <v>16819</v>
      </c>
      <c r="V908" t="s">
        <v>16820</v>
      </c>
      <c r="W908" t="s">
        <v>16821</v>
      </c>
      <c r="X908" t="s">
        <v>16822</v>
      </c>
      <c r="Y908" t="s">
        <v>16823</v>
      </c>
      <c r="Z908" t="s">
        <v>16824</v>
      </c>
      <c r="AA908" t="s">
        <v>16825</v>
      </c>
      <c r="AB908" t="s">
        <v>16826</v>
      </c>
      <c r="AC908" t="s">
        <v>74</v>
      </c>
      <c r="AD908" t="s">
        <v>74</v>
      </c>
      <c r="AE908" t="s">
        <v>74</v>
      </c>
      <c r="AF908" t="s">
        <v>74</v>
      </c>
      <c r="AG908">
        <v>19</v>
      </c>
      <c r="AH908">
        <v>145</v>
      </c>
      <c r="AI908">
        <v>156</v>
      </c>
      <c r="AJ908">
        <v>0</v>
      </c>
      <c r="AK908">
        <v>23</v>
      </c>
      <c r="AL908" t="s">
        <v>1429</v>
      </c>
      <c r="AM908" t="s">
        <v>1430</v>
      </c>
      <c r="AN908" t="s">
        <v>1431</v>
      </c>
      <c r="AO908" t="s">
        <v>16827</v>
      </c>
      <c r="AP908" t="s">
        <v>74</v>
      </c>
      <c r="AQ908" t="s">
        <v>74</v>
      </c>
      <c r="AR908" t="s">
        <v>16828</v>
      </c>
      <c r="AS908" t="s">
        <v>16829</v>
      </c>
      <c r="AT908" t="s">
        <v>15365</v>
      </c>
      <c r="AU908">
        <v>2012</v>
      </c>
      <c r="AV908">
        <v>51</v>
      </c>
      <c r="AW908">
        <v>6</v>
      </c>
      <c r="AX908" t="s">
        <v>74</v>
      </c>
      <c r="AY908" t="s">
        <v>74</v>
      </c>
      <c r="AZ908" t="s">
        <v>74</v>
      </c>
      <c r="BA908" t="s">
        <v>74</v>
      </c>
      <c r="BB908">
        <v>1129</v>
      </c>
      <c r="BC908">
        <v>1144</v>
      </c>
      <c r="BD908" t="s">
        <v>74</v>
      </c>
      <c r="BE908" t="s">
        <v>16830</v>
      </c>
      <c r="BF908" t="str">
        <f>HYPERLINK("http://dx.doi.org/10.1175/JAMC-D-11-02.1","http://dx.doi.org/10.1175/JAMC-D-11-02.1")</f>
        <v>http://dx.doi.org/10.1175/JAMC-D-11-02.1</v>
      </c>
      <c r="BG908" t="s">
        <v>74</v>
      </c>
      <c r="BH908" t="s">
        <v>74</v>
      </c>
      <c r="BI908">
        <v>16</v>
      </c>
      <c r="BJ908" t="s">
        <v>378</v>
      </c>
      <c r="BK908" t="s">
        <v>98</v>
      </c>
      <c r="BL908" t="s">
        <v>378</v>
      </c>
      <c r="BM908" t="s">
        <v>16831</v>
      </c>
      <c r="BN908" t="s">
        <v>74</v>
      </c>
      <c r="BO908" t="s">
        <v>380</v>
      </c>
      <c r="BP908" t="s">
        <v>74</v>
      </c>
      <c r="BQ908" t="s">
        <v>74</v>
      </c>
      <c r="BR908" t="s">
        <v>101</v>
      </c>
      <c r="BS908" t="s">
        <v>16832</v>
      </c>
      <c r="BT908" t="str">
        <f>HYPERLINK("https%3A%2F%2Fwww.webofscience.com%2Fwos%2Fwoscc%2Ffull-record%2FWOS:000305310100010","View Full Record in Web of Science")</f>
        <v>View Full Record in Web of Science</v>
      </c>
    </row>
    <row r="909" spans="1:72" x14ac:dyDescent="0.15">
      <c r="A909" t="s">
        <v>72</v>
      </c>
      <c r="B909" t="s">
        <v>16833</v>
      </c>
      <c r="C909" t="s">
        <v>74</v>
      </c>
      <c r="D909" t="s">
        <v>74</v>
      </c>
      <c r="E909" t="s">
        <v>74</v>
      </c>
      <c r="F909" t="s">
        <v>16834</v>
      </c>
      <c r="G909" t="s">
        <v>74</v>
      </c>
      <c r="H909" t="s">
        <v>74</v>
      </c>
      <c r="I909" t="s">
        <v>16835</v>
      </c>
      <c r="J909" t="s">
        <v>13297</v>
      </c>
      <c r="K909" t="s">
        <v>74</v>
      </c>
      <c r="L909" t="s">
        <v>74</v>
      </c>
      <c r="M909" t="s">
        <v>78</v>
      </c>
      <c r="N909" t="s">
        <v>79</v>
      </c>
      <c r="O909" t="s">
        <v>74</v>
      </c>
      <c r="P909" t="s">
        <v>74</v>
      </c>
      <c r="Q909" t="s">
        <v>74</v>
      </c>
      <c r="R909" t="s">
        <v>74</v>
      </c>
      <c r="S909" t="s">
        <v>74</v>
      </c>
      <c r="T909" t="s">
        <v>16836</v>
      </c>
      <c r="U909" t="s">
        <v>16837</v>
      </c>
      <c r="V909" t="s">
        <v>16838</v>
      </c>
      <c r="W909" t="s">
        <v>16839</v>
      </c>
      <c r="X909" t="s">
        <v>16840</v>
      </c>
      <c r="Y909" t="s">
        <v>16841</v>
      </c>
      <c r="Z909" t="s">
        <v>16842</v>
      </c>
      <c r="AA909" t="s">
        <v>16843</v>
      </c>
      <c r="AB909" t="s">
        <v>16844</v>
      </c>
      <c r="AC909" t="s">
        <v>16845</v>
      </c>
      <c r="AD909" t="s">
        <v>16846</v>
      </c>
      <c r="AE909" t="s">
        <v>16847</v>
      </c>
      <c r="AF909" t="s">
        <v>74</v>
      </c>
      <c r="AG909">
        <v>25</v>
      </c>
      <c r="AH909">
        <v>17</v>
      </c>
      <c r="AI909">
        <v>17</v>
      </c>
      <c r="AJ909">
        <v>0</v>
      </c>
      <c r="AK909">
        <v>12</v>
      </c>
      <c r="AL909" t="s">
        <v>916</v>
      </c>
      <c r="AM909" t="s">
        <v>899</v>
      </c>
      <c r="AN909" t="s">
        <v>900</v>
      </c>
      <c r="AO909" t="s">
        <v>13303</v>
      </c>
      <c r="AP909" t="s">
        <v>74</v>
      </c>
      <c r="AQ909" t="s">
        <v>74</v>
      </c>
      <c r="AR909" t="s">
        <v>13305</v>
      </c>
      <c r="AS909" t="s">
        <v>13306</v>
      </c>
      <c r="AT909" t="s">
        <v>15365</v>
      </c>
      <c r="AU909">
        <v>2012</v>
      </c>
      <c r="AV909">
        <v>80</v>
      </c>
      <c r="AW909">
        <v>7</v>
      </c>
      <c r="AX909" t="s">
        <v>74</v>
      </c>
      <c r="AY909" t="s">
        <v>74</v>
      </c>
      <c r="AZ909" t="s">
        <v>74</v>
      </c>
      <c r="BA909" t="s">
        <v>74</v>
      </c>
      <c r="BB909">
        <v>2629</v>
      </c>
      <c r="BC909">
        <v>2635</v>
      </c>
      <c r="BD909" t="s">
        <v>74</v>
      </c>
      <c r="BE909" t="s">
        <v>16848</v>
      </c>
      <c r="BF909" t="str">
        <f>HYPERLINK("http://dx.doi.org/10.1111/j.1095-8649.2012.03282.x","http://dx.doi.org/10.1111/j.1095-8649.2012.03282.x")</f>
        <v>http://dx.doi.org/10.1111/j.1095-8649.2012.03282.x</v>
      </c>
      <c r="BG909" t="s">
        <v>74</v>
      </c>
      <c r="BH909" t="s">
        <v>74</v>
      </c>
      <c r="BI909">
        <v>7</v>
      </c>
      <c r="BJ909" t="s">
        <v>4156</v>
      </c>
      <c r="BK909" t="s">
        <v>98</v>
      </c>
      <c r="BL909" t="s">
        <v>4156</v>
      </c>
      <c r="BM909" t="s">
        <v>16849</v>
      </c>
      <c r="BN909">
        <v>22650438</v>
      </c>
      <c r="BO909" t="s">
        <v>74</v>
      </c>
      <c r="BP909" t="s">
        <v>74</v>
      </c>
      <c r="BQ909" t="s">
        <v>74</v>
      </c>
      <c r="BR909" t="s">
        <v>101</v>
      </c>
      <c r="BS909" t="s">
        <v>16850</v>
      </c>
      <c r="BT909" t="str">
        <f>HYPERLINK("https%3A%2F%2Fwww.webofscience.com%2Fwos%2Fwoscc%2Ffull-record%2FWOS:000304808400016","View Full Record in Web of Science")</f>
        <v>View Full Record in Web of Science</v>
      </c>
    </row>
    <row r="910" spans="1:72" x14ac:dyDescent="0.15">
      <c r="A910" t="s">
        <v>72</v>
      </c>
      <c r="B910" t="s">
        <v>16851</v>
      </c>
      <c r="C910" t="s">
        <v>74</v>
      </c>
      <c r="D910" t="s">
        <v>74</v>
      </c>
      <c r="E910" t="s">
        <v>74</v>
      </c>
      <c r="F910" t="s">
        <v>16852</v>
      </c>
      <c r="G910" t="s">
        <v>74</v>
      </c>
      <c r="H910" t="s">
        <v>74</v>
      </c>
      <c r="I910" t="s">
        <v>16853</v>
      </c>
      <c r="J910" t="s">
        <v>8722</v>
      </c>
      <c r="K910" t="s">
        <v>74</v>
      </c>
      <c r="L910" t="s">
        <v>74</v>
      </c>
      <c r="M910" t="s">
        <v>78</v>
      </c>
      <c r="N910" t="s">
        <v>79</v>
      </c>
      <c r="O910" t="s">
        <v>74</v>
      </c>
      <c r="P910" t="s">
        <v>74</v>
      </c>
      <c r="Q910" t="s">
        <v>74</v>
      </c>
      <c r="R910" t="s">
        <v>74</v>
      </c>
      <c r="S910" t="s">
        <v>74</v>
      </c>
      <c r="T910" t="s">
        <v>16854</v>
      </c>
      <c r="U910" t="s">
        <v>16855</v>
      </c>
      <c r="V910" t="s">
        <v>16856</v>
      </c>
      <c r="W910" t="s">
        <v>16857</v>
      </c>
      <c r="X910" t="s">
        <v>16858</v>
      </c>
      <c r="Y910" t="s">
        <v>16859</v>
      </c>
      <c r="Z910" t="s">
        <v>16860</v>
      </c>
      <c r="AA910" t="s">
        <v>74</v>
      </c>
      <c r="AB910" t="s">
        <v>74</v>
      </c>
      <c r="AC910" t="s">
        <v>16861</v>
      </c>
      <c r="AD910" t="s">
        <v>16862</v>
      </c>
      <c r="AE910" t="s">
        <v>16863</v>
      </c>
      <c r="AF910" t="s">
        <v>74</v>
      </c>
      <c r="AG910">
        <v>32</v>
      </c>
      <c r="AH910">
        <v>48</v>
      </c>
      <c r="AI910">
        <v>54</v>
      </c>
      <c r="AJ910">
        <v>0</v>
      </c>
      <c r="AK910">
        <v>27</v>
      </c>
      <c r="AL910" t="s">
        <v>188</v>
      </c>
      <c r="AM910" t="s">
        <v>189</v>
      </c>
      <c r="AN910" t="s">
        <v>190</v>
      </c>
      <c r="AO910" t="s">
        <v>8735</v>
      </c>
      <c r="AP910" t="s">
        <v>8736</v>
      </c>
      <c r="AQ910" t="s">
        <v>74</v>
      </c>
      <c r="AR910" t="s">
        <v>8737</v>
      </c>
      <c r="AS910" t="s">
        <v>8738</v>
      </c>
      <c r="AT910" t="s">
        <v>15365</v>
      </c>
      <c r="AU910">
        <v>2012</v>
      </c>
      <c r="AV910">
        <v>94</v>
      </c>
      <c r="AW910" t="s">
        <v>74</v>
      </c>
      <c r="AX910" t="s">
        <v>74</v>
      </c>
      <c r="AY910" t="s">
        <v>74</v>
      </c>
      <c r="AZ910" t="s">
        <v>74</v>
      </c>
      <c r="BA910" t="s">
        <v>74</v>
      </c>
      <c r="BB910">
        <v>9</v>
      </c>
      <c r="BC910">
        <v>17</v>
      </c>
      <c r="BD910" t="s">
        <v>74</v>
      </c>
      <c r="BE910" t="s">
        <v>16864</v>
      </c>
      <c r="BF910" t="str">
        <f>HYPERLINK("http://dx.doi.org/10.1016/j.jmarsys.2011.10.002","http://dx.doi.org/10.1016/j.jmarsys.2011.10.002")</f>
        <v>http://dx.doi.org/10.1016/j.jmarsys.2011.10.002</v>
      </c>
      <c r="BG910" t="s">
        <v>74</v>
      </c>
      <c r="BH910" t="s">
        <v>74</v>
      </c>
      <c r="BI910">
        <v>9</v>
      </c>
      <c r="BJ910" t="s">
        <v>8741</v>
      </c>
      <c r="BK910" t="s">
        <v>98</v>
      </c>
      <c r="BL910" t="s">
        <v>8742</v>
      </c>
      <c r="BM910" t="s">
        <v>16865</v>
      </c>
      <c r="BN910" t="s">
        <v>74</v>
      </c>
      <c r="BO910" t="s">
        <v>74</v>
      </c>
      <c r="BP910" t="s">
        <v>74</v>
      </c>
      <c r="BQ910" t="s">
        <v>74</v>
      </c>
      <c r="BR910" t="s">
        <v>101</v>
      </c>
      <c r="BS910" t="s">
        <v>16866</v>
      </c>
      <c r="BT910" t="str">
        <f>HYPERLINK("https%3A%2F%2Fwww.webofscience.com%2Fwos%2Fwoscc%2Ffull-record%2FWOS:000300748500002","View Full Record in Web of Science")</f>
        <v>View Full Record in Web of Science</v>
      </c>
    </row>
    <row r="911" spans="1:72" x14ac:dyDescent="0.15">
      <c r="A911" t="s">
        <v>72</v>
      </c>
      <c r="B911" t="s">
        <v>16867</v>
      </c>
      <c r="C911" t="s">
        <v>74</v>
      </c>
      <c r="D911" t="s">
        <v>74</v>
      </c>
      <c r="E911" t="s">
        <v>74</v>
      </c>
      <c r="F911" t="s">
        <v>16868</v>
      </c>
      <c r="G911" t="s">
        <v>74</v>
      </c>
      <c r="H911" t="s">
        <v>74</v>
      </c>
      <c r="I911" t="s">
        <v>16869</v>
      </c>
      <c r="J911" t="s">
        <v>8722</v>
      </c>
      <c r="K911" t="s">
        <v>74</v>
      </c>
      <c r="L911" t="s">
        <v>74</v>
      </c>
      <c r="M911" t="s">
        <v>78</v>
      </c>
      <c r="N911" t="s">
        <v>79</v>
      </c>
      <c r="O911" t="s">
        <v>74</v>
      </c>
      <c r="P911" t="s">
        <v>74</v>
      </c>
      <c r="Q911" t="s">
        <v>74</v>
      </c>
      <c r="R911" t="s">
        <v>74</v>
      </c>
      <c r="S911" t="s">
        <v>74</v>
      </c>
      <c r="T911" t="s">
        <v>16870</v>
      </c>
      <c r="U911" t="s">
        <v>16871</v>
      </c>
      <c r="V911" t="s">
        <v>16872</v>
      </c>
      <c r="W911" t="s">
        <v>16873</v>
      </c>
      <c r="X911" t="s">
        <v>16874</v>
      </c>
      <c r="Y911" t="s">
        <v>16875</v>
      </c>
      <c r="Z911" t="s">
        <v>16876</v>
      </c>
      <c r="AA911" t="s">
        <v>16877</v>
      </c>
      <c r="AB911" t="s">
        <v>16878</v>
      </c>
      <c r="AC911" t="s">
        <v>16879</v>
      </c>
      <c r="AD911" t="s">
        <v>16880</v>
      </c>
      <c r="AE911" t="s">
        <v>16881</v>
      </c>
      <c r="AF911" t="s">
        <v>74</v>
      </c>
      <c r="AG911">
        <v>56</v>
      </c>
      <c r="AH911">
        <v>23</v>
      </c>
      <c r="AI911">
        <v>23</v>
      </c>
      <c r="AJ911">
        <v>1</v>
      </c>
      <c r="AK911">
        <v>26</v>
      </c>
      <c r="AL911" t="s">
        <v>188</v>
      </c>
      <c r="AM911" t="s">
        <v>189</v>
      </c>
      <c r="AN911" t="s">
        <v>190</v>
      </c>
      <c r="AO911" t="s">
        <v>8735</v>
      </c>
      <c r="AP911" t="s">
        <v>8736</v>
      </c>
      <c r="AQ911" t="s">
        <v>74</v>
      </c>
      <c r="AR911" t="s">
        <v>8737</v>
      </c>
      <c r="AS911" t="s">
        <v>8738</v>
      </c>
      <c r="AT911" t="s">
        <v>15365</v>
      </c>
      <c r="AU911">
        <v>2012</v>
      </c>
      <c r="AV911">
        <v>94</v>
      </c>
      <c r="AW911" t="s">
        <v>74</v>
      </c>
      <c r="AX911" t="s">
        <v>74</v>
      </c>
      <c r="AY911" t="s">
        <v>74</v>
      </c>
      <c r="AZ911" t="s">
        <v>74</v>
      </c>
      <c r="BA911" t="s">
        <v>74</v>
      </c>
      <c r="BB911">
        <v>174</v>
      </c>
      <c r="BC911">
        <v>184</v>
      </c>
      <c r="BD911" t="s">
        <v>74</v>
      </c>
      <c r="BE911" t="s">
        <v>16882</v>
      </c>
      <c r="BF911" t="str">
        <f>HYPERLINK("http://dx.doi.org/10.1016/j.jmarsys.2011.11.020","http://dx.doi.org/10.1016/j.jmarsys.2011.11.020")</f>
        <v>http://dx.doi.org/10.1016/j.jmarsys.2011.11.020</v>
      </c>
      <c r="BG911" t="s">
        <v>74</v>
      </c>
      <c r="BH911" t="s">
        <v>74</v>
      </c>
      <c r="BI911">
        <v>11</v>
      </c>
      <c r="BJ911" t="s">
        <v>8741</v>
      </c>
      <c r="BK911" t="s">
        <v>98</v>
      </c>
      <c r="BL911" t="s">
        <v>8742</v>
      </c>
      <c r="BM911" t="s">
        <v>16865</v>
      </c>
      <c r="BN911" t="s">
        <v>74</v>
      </c>
      <c r="BO911" t="s">
        <v>74</v>
      </c>
      <c r="BP911" t="s">
        <v>74</v>
      </c>
      <c r="BQ911" t="s">
        <v>74</v>
      </c>
      <c r="BR911" t="s">
        <v>101</v>
      </c>
      <c r="BS911" t="s">
        <v>16883</v>
      </c>
      <c r="BT911" t="str">
        <f>HYPERLINK("https%3A%2F%2Fwww.webofscience.com%2Fwos%2Fwoscc%2Ffull-record%2FWOS:000300748500015","View Full Record in Web of Science")</f>
        <v>View Full Record in Web of Science</v>
      </c>
    </row>
    <row r="912" spans="1:72" x14ac:dyDescent="0.15">
      <c r="A912" t="s">
        <v>72</v>
      </c>
      <c r="B912" t="s">
        <v>16884</v>
      </c>
      <c r="C912" t="s">
        <v>74</v>
      </c>
      <c r="D912" t="s">
        <v>74</v>
      </c>
      <c r="E912" t="s">
        <v>74</v>
      </c>
      <c r="F912" t="s">
        <v>16885</v>
      </c>
      <c r="G912" t="s">
        <v>74</v>
      </c>
      <c r="H912" t="s">
        <v>74</v>
      </c>
      <c r="I912" t="s">
        <v>16886</v>
      </c>
      <c r="J912" t="s">
        <v>1567</v>
      </c>
      <c r="K912" t="s">
        <v>74</v>
      </c>
      <c r="L912" t="s">
        <v>74</v>
      </c>
      <c r="M912" t="s">
        <v>78</v>
      </c>
      <c r="N912" t="s">
        <v>79</v>
      </c>
      <c r="O912" t="s">
        <v>74</v>
      </c>
      <c r="P912" t="s">
        <v>74</v>
      </c>
      <c r="Q912" t="s">
        <v>74</v>
      </c>
      <c r="R912" t="s">
        <v>74</v>
      </c>
      <c r="S912" t="s">
        <v>74</v>
      </c>
      <c r="T912" t="s">
        <v>74</v>
      </c>
      <c r="U912" t="s">
        <v>16887</v>
      </c>
      <c r="V912" t="s">
        <v>16888</v>
      </c>
      <c r="W912" t="s">
        <v>16889</v>
      </c>
      <c r="X912" t="s">
        <v>16890</v>
      </c>
      <c r="Y912" t="s">
        <v>16891</v>
      </c>
      <c r="Z912" t="s">
        <v>16892</v>
      </c>
      <c r="AA912" t="s">
        <v>16893</v>
      </c>
      <c r="AB912" t="s">
        <v>16894</v>
      </c>
      <c r="AC912" t="s">
        <v>16895</v>
      </c>
      <c r="AD912" t="s">
        <v>10873</v>
      </c>
      <c r="AE912" t="s">
        <v>16896</v>
      </c>
      <c r="AF912" t="s">
        <v>74</v>
      </c>
      <c r="AG912">
        <v>54</v>
      </c>
      <c r="AH912">
        <v>104</v>
      </c>
      <c r="AI912">
        <v>120</v>
      </c>
      <c r="AJ912">
        <v>2</v>
      </c>
      <c r="AK912">
        <v>38</v>
      </c>
      <c r="AL912" t="s">
        <v>1429</v>
      </c>
      <c r="AM912" t="s">
        <v>1430</v>
      </c>
      <c r="AN912" t="s">
        <v>1431</v>
      </c>
      <c r="AO912" t="s">
        <v>1579</v>
      </c>
      <c r="AP912" t="s">
        <v>1580</v>
      </c>
      <c r="AQ912" t="s">
        <v>74</v>
      </c>
      <c r="AR912" t="s">
        <v>1581</v>
      </c>
      <c r="AS912" t="s">
        <v>1582</v>
      </c>
      <c r="AT912" t="s">
        <v>15365</v>
      </c>
      <c r="AU912">
        <v>2012</v>
      </c>
      <c r="AV912">
        <v>42</v>
      </c>
      <c r="AW912">
        <v>6</v>
      </c>
      <c r="AX912" t="s">
        <v>74</v>
      </c>
      <c r="AY912" t="s">
        <v>74</v>
      </c>
      <c r="AZ912" t="s">
        <v>74</v>
      </c>
      <c r="BA912" t="s">
        <v>74</v>
      </c>
      <c r="BB912">
        <v>956</v>
      </c>
      <c r="BC912">
        <v>972</v>
      </c>
      <c r="BD912" t="s">
        <v>74</v>
      </c>
      <c r="BE912" t="s">
        <v>16897</v>
      </c>
      <c r="BF912" t="str">
        <f>HYPERLINK("http://dx.doi.org/10.1175/JPO-D-11-0135.1","http://dx.doi.org/10.1175/JPO-D-11-0135.1")</f>
        <v>http://dx.doi.org/10.1175/JPO-D-11-0135.1</v>
      </c>
      <c r="BG912" t="s">
        <v>74</v>
      </c>
      <c r="BH912" t="s">
        <v>74</v>
      </c>
      <c r="BI912">
        <v>17</v>
      </c>
      <c r="BJ912" t="s">
        <v>941</v>
      </c>
      <c r="BK912" t="s">
        <v>98</v>
      </c>
      <c r="BL912" t="s">
        <v>941</v>
      </c>
      <c r="BM912" t="s">
        <v>16898</v>
      </c>
      <c r="BN912" t="s">
        <v>74</v>
      </c>
      <c r="BO912" t="s">
        <v>416</v>
      </c>
      <c r="BP912" t="s">
        <v>74</v>
      </c>
      <c r="BQ912" t="s">
        <v>74</v>
      </c>
      <c r="BR912" t="s">
        <v>101</v>
      </c>
      <c r="BS912" t="s">
        <v>16899</v>
      </c>
      <c r="BT912" t="str">
        <f>HYPERLINK("https%3A%2F%2Fwww.webofscience.com%2Fwos%2Fwoscc%2Ffull-record%2FWOS:000305845700005","View Full Record in Web of Science")</f>
        <v>View Full Record in Web of Science</v>
      </c>
    </row>
    <row r="913" spans="1:72" x14ac:dyDescent="0.15">
      <c r="A913" t="s">
        <v>72</v>
      </c>
      <c r="B913" t="s">
        <v>16900</v>
      </c>
      <c r="C913" t="s">
        <v>74</v>
      </c>
      <c r="D913" t="s">
        <v>74</v>
      </c>
      <c r="E913" t="s">
        <v>74</v>
      </c>
      <c r="F913" t="s">
        <v>16901</v>
      </c>
      <c r="G913" t="s">
        <v>74</v>
      </c>
      <c r="H913" t="s">
        <v>74</v>
      </c>
      <c r="I913" t="s">
        <v>16902</v>
      </c>
      <c r="J913" t="s">
        <v>8231</v>
      </c>
      <c r="K913" t="s">
        <v>74</v>
      </c>
      <c r="L913" t="s">
        <v>74</v>
      </c>
      <c r="M913" t="s">
        <v>78</v>
      </c>
      <c r="N913" t="s">
        <v>79</v>
      </c>
      <c r="O913" t="s">
        <v>74</v>
      </c>
      <c r="P913" t="s">
        <v>74</v>
      </c>
      <c r="Q913" t="s">
        <v>74</v>
      </c>
      <c r="R913" t="s">
        <v>74</v>
      </c>
      <c r="S913" t="s">
        <v>74</v>
      </c>
      <c r="T913" t="s">
        <v>16903</v>
      </c>
      <c r="U913" t="s">
        <v>16904</v>
      </c>
      <c r="V913" t="s">
        <v>16905</v>
      </c>
      <c r="W913" t="s">
        <v>16906</v>
      </c>
      <c r="X913" t="s">
        <v>636</v>
      </c>
      <c r="Y913" t="s">
        <v>16907</v>
      </c>
      <c r="Z913" t="s">
        <v>16908</v>
      </c>
      <c r="AA913" t="s">
        <v>74</v>
      </c>
      <c r="AB913" t="s">
        <v>74</v>
      </c>
      <c r="AC913" t="s">
        <v>16909</v>
      </c>
      <c r="AD913" t="s">
        <v>16910</v>
      </c>
      <c r="AE913" t="s">
        <v>16911</v>
      </c>
      <c r="AF913" t="s">
        <v>74</v>
      </c>
      <c r="AG913">
        <v>53</v>
      </c>
      <c r="AH913">
        <v>55</v>
      </c>
      <c r="AI913">
        <v>62</v>
      </c>
      <c r="AJ913">
        <v>0</v>
      </c>
      <c r="AK913">
        <v>60</v>
      </c>
      <c r="AL913" t="s">
        <v>1771</v>
      </c>
      <c r="AM913" t="s">
        <v>90</v>
      </c>
      <c r="AN913" t="s">
        <v>1772</v>
      </c>
      <c r="AO913" t="s">
        <v>8243</v>
      </c>
      <c r="AP913" t="s">
        <v>8244</v>
      </c>
      <c r="AQ913" t="s">
        <v>74</v>
      </c>
      <c r="AR913" t="s">
        <v>8245</v>
      </c>
      <c r="AS913" t="s">
        <v>8246</v>
      </c>
      <c r="AT913" t="s">
        <v>15365</v>
      </c>
      <c r="AU913">
        <v>2012</v>
      </c>
      <c r="AV913">
        <v>34</v>
      </c>
      <c r="AW913">
        <v>6</v>
      </c>
      <c r="AX913" t="s">
        <v>74</v>
      </c>
      <c r="AY913" t="s">
        <v>74</v>
      </c>
      <c r="AZ913" t="s">
        <v>74</v>
      </c>
      <c r="BA913" t="s">
        <v>74</v>
      </c>
      <c r="BB913">
        <v>443</v>
      </c>
      <c r="BC913">
        <v>453</v>
      </c>
      <c r="BD913" t="s">
        <v>74</v>
      </c>
      <c r="BE913" t="s">
        <v>16912</v>
      </c>
      <c r="BF913" t="str">
        <f>HYPERLINK("http://dx.doi.org/10.1093/plankt/fbs027","http://dx.doi.org/10.1093/plankt/fbs027")</f>
        <v>http://dx.doi.org/10.1093/plankt/fbs027</v>
      </c>
      <c r="BG913" t="s">
        <v>74</v>
      </c>
      <c r="BH913" t="s">
        <v>74</v>
      </c>
      <c r="BI913">
        <v>11</v>
      </c>
      <c r="BJ913" t="s">
        <v>1161</v>
      </c>
      <c r="BK913" t="s">
        <v>98</v>
      </c>
      <c r="BL913" t="s">
        <v>1161</v>
      </c>
      <c r="BM913" t="s">
        <v>16913</v>
      </c>
      <c r="BN913" t="s">
        <v>74</v>
      </c>
      <c r="BO913" t="s">
        <v>607</v>
      </c>
      <c r="BP913" t="s">
        <v>74</v>
      </c>
      <c r="BQ913" t="s">
        <v>74</v>
      </c>
      <c r="BR913" t="s">
        <v>101</v>
      </c>
      <c r="BS913" t="s">
        <v>16914</v>
      </c>
      <c r="BT913" t="str">
        <f>HYPERLINK("https%3A%2F%2Fwww.webofscience.com%2Fwos%2Fwoscc%2Ffull-record%2FWOS:000303340700001","View Full Record in Web of Science")</f>
        <v>View Full Record in Web of Science</v>
      </c>
    </row>
    <row r="914" spans="1:72" x14ac:dyDescent="0.15">
      <c r="A914" t="s">
        <v>72</v>
      </c>
      <c r="B914" t="s">
        <v>16915</v>
      </c>
      <c r="C914" t="s">
        <v>74</v>
      </c>
      <c r="D914" t="s">
        <v>74</v>
      </c>
      <c r="E914" t="s">
        <v>74</v>
      </c>
      <c r="F914" t="s">
        <v>16916</v>
      </c>
      <c r="G914" t="s">
        <v>74</v>
      </c>
      <c r="H914" t="s">
        <v>74</v>
      </c>
      <c r="I914" t="s">
        <v>16917</v>
      </c>
      <c r="J914" t="s">
        <v>16918</v>
      </c>
      <c r="K914" t="s">
        <v>74</v>
      </c>
      <c r="L914" t="s">
        <v>74</v>
      </c>
      <c r="M914" t="s">
        <v>78</v>
      </c>
      <c r="N914" t="s">
        <v>79</v>
      </c>
      <c r="O914" t="s">
        <v>74</v>
      </c>
      <c r="P914" t="s">
        <v>74</v>
      </c>
      <c r="Q914" t="s">
        <v>74</v>
      </c>
      <c r="R914" t="s">
        <v>74</v>
      </c>
      <c r="S914" t="s">
        <v>74</v>
      </c>
      <c r="T914" t="s">
        <v>16919</v>
      </c>
      <c r="U914" t="s">
        <v>16920</v>
      </c>
      <c r="V914" t="s">
        <v>16921</v>
      </c>
      <c r="W914" t="s">
        <v>16922</v>
      </c>
      <c r="X914" t="s">
        <v>16923</v>
      </c>
      <c r="Y914" t="s">
        <v>16924</v>
      </c>
      <c r="Z914" t="s">
        <v>16925</v>
      </c>
      <c r="AA914" t="s">
        <v>16926</v>
      </c>
      <c r="AB914" t="s">
        <v>16927</v>
      </c>
      <c r="AC914" t="s">
        <v>16928</v>
      </c>
      <c r="AD914" t="s">
        <v>16928</v>
      </c>
      <c r="AE914" t="s">
        <v>16929</v>
      </c>
      <c r="AF914" t="s">
        <v>74</v>
      </c>
      <c r="AG914">
        <v>61</v>
      </c>
      <c r="AH914">
        <v>22</v>
      </c>
      <c r="AI914">
        <v>25</v>
      </c>
      <c r="AJ914">
        <v>3</v>
      </c>
      <c r="AK914">
        <v>53</v>
      </c>
      <c r="AL914" t="s">
        <v>898</v>
      </c>
      <c r="AM914" t="s">
        <v>899</v>
      </c>
      <c r="AN914" t="s">
        <v>900</v>
      </c>
      <c r="AO914" t="s">
        <v>16930</v>
      </c>
      <c r="AP914" t="s">
        <v>16931</v>
      </c>
      <c r="AQ914" t="s">
        <v>74</v>
      </c>
      <c r="AR914" t="s">
        <v>16932</v>
      </c>
      <c r="AS914" t="s">
        <v>16933</v>
      </c>
      <c r="AT914" t="s">
        <v>15365</v>
      </c>
      <c r="AU914">
        <v>2012</v>
      </c>
      <c r="AV914">
        <v>287</v>
      </c>
      <c r="AW914">
        <v>2</v>
      </c>
      <c r="AX914" t="s">
        <v>74</v>
      </c>
      <c r="AY914" t="s">
        <v>74</v>
      </c>
      <c r="AZ914" t="s">
        <v>74</v>
      </c>
      <c r="BA914" t="s">
        <v>74</v>
      </c>
      <c r="BB914">
        <v>81</v>
      </c>
      <c r="BC914">
        <v>90</v>
      </c>
      <c r="BD914" t="s">
        <v>74</v>
      </c>
      <c r="BE914" t="s">
        <v>16934</v>
      </c>
      <c r="BF914" t="str">
        <f>HYPERLINK("http://dx.doi.org/10.1111/j.1469-7998.2012.00903.x","http://dx.doi.org/10.1111/j.1469-7998.2012.00903.x")</f>
        <v>http://dx.doi.org/10.1111/j.1469-7998.2012.00903.x</v>
      </c>
      <c r="BG914" t="s">
        <v>74</v>
      </c>
      <c r="BH914" t="s">
        <v>74</v>
      </c>
      <c r="BI914">
        <v>10</v>
      </c>
      <c r="BJ914" t="s">
        <v>675</v>
      </c>
      <c r="BK914" t="s">
        <v>98</v>
      </c>
      <c r="BL914" t="s">
        <v>675</v>
      </c>
      <c r="BM914" t="s">
        <v>16935</v>
      </c>
      <c r="BN914" t="s">
        <v>74</v>
      </c>
      <c r="BO914" t="s">
        <v>74</v>
      </c>
      <c r="BP914" t="s">
        <v>74</v>
      </c>
      <c r="BQ914" t="s">
        <v>74</v>
      </c>
      <c r="BR914" t="s">
        <v>101</v>
      </c>
      <c r="BS914" t="s">
        <v>16936</v>
      </c>
      <c r="BT914" t="str">
        <f>HYPERLINK("https%3A%2F%2Fwww.webofscience.com%2Fwos%2Fwoscc%2Ffull-record%2FWOS:000304300300001","View Full Record in Web of Science")</f>
        <v>View Full Record in Web of Science</v>
      </c>
    </row>
    <row r="915" spans="1:72" x14ac:dyDescent="0.15">
      <c r="A915" t="s">
        <v>72</v>
      </c>
      <c r="B915" t="s">
        <v>16937</v>
      </c>
      <c r="C915" t="s">
        <v>74</v>
      </c>
      <c r="D915" t="s">
        <v>74</v>
      </c>
      <c r="E915" t="s">
        <v>74</v>
      </c>
      <c r="F915" t="s">
        <v>16938</v>
      </c>
      <c r="G915" t="s">
        <v>74</v>
      </c>
      <c r="H915" t="s">
        <v>74</v>
      </c>
      <c r="I915" t="s">
        <v>16939</v>
      </c>
      <c r="J915" t="s">
        <v>16940</v>
      </c>
      <c r="K915" t="s">
        <v>74</v>
      </c>
      <c r="L915" t="s">
        <v>74</v>
      </c>
      <c r="M915" t="s">
        <v>78</v>
      </c>
      <c r="N915" t="s">
        <v>79</v>
      </c>
      <c r="O915" t="s">
        <v>74</v>
      </c>
      <c r="P915" t="s">
        <v>74</v>
      </c>
      <c r="Q915" t="s">
        <v>74</v>
      </c>
      <c r="R915" t="s">
        <v>74</v>
      </c>
      <c r="S915" t="s">
        <v>74</v>
      </c>
      <c r="T915" t="s">
        <v>16941</v>
      </c>
      <c r="U915" t="s">
        <v>16942</v>
      </c>
      <c r="V915" t="s">
        <v>16943</v>
      </c>
      <c r="W915" t="s">
        <v>16944</v>
      </c>
      <c r="X915" t="s">
        <v>16945</v>
      </c>
      <c r="Y915" t="s">
        <v>2756</v>
      </c>
      <c r="Z915" t="s">
        <v>16946</v>
      </c>
      <c r="AA915" t="s">
        <v>16947</v>
      </c>
      <c r="AB915" t="s">
        <v>74</v>
      </c>
      <c r="AC915" t="s">
        <v>16948</v>
      </c>
      <c r="AD915" t="s">
        <v>16949</v>
      </c>
      <c r="AE915" t="s">
        <v>16950</v>
      </c>
      <c r="AF915" t="s">
        <v>74</v>
      </c>
      <c r="AG915">
        <v>98</v>
      </c>
      <c r="AH915">
        <v>28</v>
      </c>
      <c r="AI915">
        <v>32</v>
      </c>
      <c r="AJ915">
        <v>0</v>
      </c>
      <c r="AK915">
        <v>8</v>
      </c>
      <c r="AL915" t="s">
        <v>259</v>
      </c>
      <c r="AM915" t="s">
        <v>189</v>
      </c>
      <c r="AN915" t="s">
        <v>260</v>
      </c>
      <c r="AO915" t="s">
        <v>16951</v>
      </c>
      <c r="AP915" t="s">
        <v>16952</v>
      </c>
      <c r="AQ915" t="s">
        <v>74</v>
      </c>
      <c r="AR915" t="s">
        <v>16940</v>
      </c>
      <c r="AS915" t="s">
        <v>16953</v>
      </c>
      <c r="AT915" t="s">
        <v>15365</v>
      </c>
      <c r="AU915">
        <v>2012</v>
      </c>
      <c r="AV915">
        <v>142</v>
      </c>
      <c r="AW915" t="s">
        <v>74</v>
      </c>
      <c r="AX915" t="s">
        <v>74</v>
      </c>
      <c r="AY915" t="s">
        <v>74</v>
      </c>
      <c r="AZ915" t="s">
        <v>74</v>
      </c>
      <c r="BA915" t="s">
        <v>74</v>
      </c>
      <c r="BB915">
        <v>130</v>
      </c>
      <c r="BC915">
        <v>147</v>
      </c>
      <c r="BD915" t="s">
        <v>74</v>
      </c>
      <c r="BE915" t="s">
        <v>16954</v>
      </c>
      <c r="BF915" t="str">
        <f>HYPERLINK("http://dx.doi.org/10.1016/j.lithos.2012.03.008","http://dx.doi.org/10.1016/j.lithos.2012.03.008")</f>
        <v>http://dx.doi.org/10.1016/j.lithos.2012.03.008</v>
      </c>
      <c r="BG915" t="s">
        <v>74</v>
      </c>
      <c r="BH915" t="s">
        <v>74</v>
      </c>
      <c r="BI915">
        <v>18</v>
      </c>
      <c r="BJ915" t="s">
        <v>16572</v>
      </c>
      <c r="BK915" t="s">
        <v>98</v>
      </c>
      <c r="BL915" t="s">
        <v>16572</v>
      </c>
      <c r="BM915" t="s">
        <v>16955</v>
      </c>
      <c r="BN915" t="s">
        <v>74</v>
      </c>
      <c r="BO915" t="s">
        <v>74</v>
      </c>
      <c r="BP915" t="s">
        <v>74</v>
      </c>
      <c r="BQ915" t="s">
        <v>74</v>
      </c>
      <c r="BR915" t="s">
        <v>101</v>
      </c>
      <c r="BS915" t="s">
        <v>16956</v>
      </c>
      <c r="BT915" t="str">
        <f>HYPERLINK("https%3A%2F%2Fwww.webofscience.com%2Fwos%2Fwoscc%2Ffull-record%2FWOS:000304725500009","View Full Record in Web of Science")</f>
        <v>View Full Record in Web of Science</v>
      </c>
    </row>
    <row r="916" spans="1:72" x14ac:dyDescent="0.15">
      <c r="A916" t="s">
        <v>72</v>
      </c>
      <c r="B916" t="s">
        <v>16957</v>
      </c>
      <c r="C916" t="s">
        <v>74</v>
      </c>
      <c r="D916" t="s">
        <v>74</v>
      </c>
      <c r="E916" t="s">
        <v>74</v>
      </c>
      <c r="F916" t="s">
        <v>16958</v>
      </c>
      <c r="G916" t="s">
        <v>74</v>
      </c>
      <c r="H916" t="s">
        <v>74</v>
      </c>
      <c r="I916" t="s">
        <v>16959</v>
      </c>
      <c r="J916" t="s">
        <v>8251</v>
      </c>
      <c r="K916" t="s">
        <v>74</v>
      </c>
      <c r="L916" t="s">
        <v>74</v>
      </c>
      <c r="M916" t="s">
        <v>78</v>
      </c>
      <c r="N916" t="s">
        <v>79</v>
      </c>
      <c r="O916" t="s">
        <v>74</v>
      </c>
      <c r="P916" t="s">
        <v>74</v>
      </c>
      <c r="Q916" t="s">
        <v>74</v>
      </c>
      <c r="R916" t="s">
        <v>74</v>
      </c>
      <c r="S916" t="s">
        <v>74</v>
      </c>
      <c r="T916" t="s">
        <v>16960</v>
      </c>
      <c r="U916" t="s">
        <v>16961</v>
      </c>
      <c r="V916" t="s">
        <v>16962</v>
      </c>
      <c r="W916" t="s">
        <v>16963</v>
      </c>
      <c r="X916" t="s">
        <v>16964</v>
      </c>
      <c r="Y916" t="s">
        <v>16965</v>
      </c>
      <c r="Z916" t="s">
        <v>16966</v>
      </c>
      <c r="AA916" t="s">
        <v>16967</v>
      </c>
      <c r="AB916" t="s">
        <v>16968</v>
      </c>
      <c r="AC916" t="s">
        <v>16969</v>
      </c>
      <c r="AD916" t="s">
        <v>16970</v>
      </c>
      <c r="AE916" t="s">
        <v>16971</v>
      </c>
      <c r="AF916" t="s">
        <v>74</v>
      </c>
      <c r="AG916">
        <v>74</v>
      </c>
      <c r="AH916">
        <v>10</v>
      </c>
      <c r="AI916">
        <v>11</v>
      </c>
      <c r="AJ916">
        <v>0</v>
      </c>
      <c r="AK916">
        <v>11</v>
      </c>
      <c r="AL916" t="s">
        <v>4767</v>
      </c>
      <c r="AM916" t="s">
        <v>4768</v>
      </c>
      <c r="AN916" t="s">
        <v>4769</v>
      </c>
      <c r="AO916" t="s">
        <v>8260</v>
      </c>
      <c r="AP916" t="s">
        <v>8261</v>
      </c>
      <c r="AQ916" t="s">
        <v>74</v>
      </c>
      <c r="AR916" t="s">
        <v>8262</v>
      </c>
      <c r="AS916" t="s">
        <v>8263</v>
      </c>
      <c r="AT916" t="s">
        <v>15365</v>
      </c>
      <c r="AU916">
        <v>2012</v>
      </c>
      <c r="AV916">
        <v>42</v>
      </c>
      <c r="AW916">
        <v>2</v>
      </c>
      <c r="AX916" t="s">
        <v>74</v>
      </c>
      <c r="AY916" t="s">
        <v>74</v>
      </c>
      <c r="AZ916" t="s">
        <v>74</v>
      </c>
      <c r="BA916" t="s">
        <v>74</v>
      </c>
      <c r="BB916">
        <v>137</v>
      </c>
      <c r="BC916">
        <v>159</v>
      </c>
      <c r="BD916" t="s">
        <v>74</v>
      </c>
      <c r="BE916" t="s">
        <v>16972</v>
      </c>
      <c r="BF916" t="str">
        <f>HYPERLINK("http://dx.doi.org/10.1007/s12526-011-0098-8","http://dx.doi.org/10.1007/s12526-011-0098-8")</f>
        <v>http://dx.doi.org/10.1007/s12526-011-0098-8</v>
      </c>
      <c r="BG916" t="s">
        <v>74</v>
      </c>
      <c r="BH916" t="s">
        <v>74</v>
      </c>
      <c r="BI916">
        <v>23</v>
      </c>
      <c r="BJ916" t="s">
        <v>8265</v>
      </c>
      <c r="BK916" t="s">
        <v>98</v>
      </c>
      <c r="BL916" t="s">
        <v>8266</v>
      </c>
      <c r="BM916" t="s">
        <v>16973</v>
      </c>
      <c r="BN916" t="s">
        <v>74</v>
      </c>
      <c r="BO916" t="s">
        <v>74</v>
      </c>
      <c r="BP916" t="s">
        <v>74</v>
      </c>
      <c r="BQ916" t="s">
        <v>74</v>
      </c>
      <c r="BR916" t="s">
        <v>101</v>
      </c>
      <c r="BS916" t="s">
        <v>16974</v>
      </c>
      <c r="BT916" t="str">
        <f>HYPERLINK("https%3A%2F%2Fwww.webofscience.com%2Fwos%2Fwoscc%2Ffull-record%2FWOS:000304098000004","View Full Record in Web of Science")</f>
        <v>View Full Record in Web of Science</v>
      </c>
    </row>
    <row r="917" spans="1:72" x14ac:dyDescent="0.15">
      <c r="A917" t="s">
        <v>72</v>
      </c>
      <c r="B917" t="s">
        <v>16975</v>
      </c>
      <c r="C917" t="s">
        <v>74</v>
      </c>
      <c r="D917" t="s">
        <v>74</v>
      </c>
      <c r="E917" t="s">
        <v>74</v>
      </c>
      <c r="F917" t="s">
        <v>16976</v>
      </c>
      <c r="G917" t="s">
        <v>74</v>
      </c>
      <c r="H917" t="s">
        <v>74</v>
      </c>
      <c r="I917" t="s">
        <v>16977</v>
      </c>
      <c r="J917" t="s">
        <v>8251</v>
      </c>
      <c r="K917" t="s">
        <v>74</v>
      </c>
      <c r="L917" t="s">
        <v>74</v>
      </c>
      <c r="M917" t="s">
        <v>78</v>
      </c>
      <c r="N917" t="s">
        <v>79</v>
      </c>
      <c r="O917" t="s">
        <v>74</v>
      </c>
      <c r="P917" t="s">
        <v>74</v>
      </c>
      <c r="Q917" t="s">
        <v>74</v>
      </c>
      <c r="R917" t="s">
        <v>74</v>
      </c>
      <c r="S917" t="s">
        <v>74</v>
      </c>
      <c r="T917" t="s">
        <v>16978</v>
      </c>
      <c r="U917" t="s">
        <v>74</v>
      </c>
      <c r="V917" t="s">
        <v>16979</v>
      </c>
      <c r="W917" t="s">
        <v>16980</v>
      </c>
      <c r="X917" t="s">
        <v>16981</v>
      </c>
      <c r="Y917" t="s">
        <v>16982</v>
      </c>
      <c r="Z917" t="s">
        <v>16983</v>
      </c>
      <c r="AA917" t="s">
        <v>16984</v>
      </c>
      <c r="AB917" t="s">
        <v>16985</v>
      </c>
      <c r="AC917" t="s">
        <v>16986</v>
      </c>
      <c r="AD917" t="s">
        <v>16987</v>
      </c>
      <c r="AE917" t="s">
        <v>16988</v>
      </c>
      <c r="AF917" t="s">
        <v>74</v>
      </c>
      <c r="AG917">
        <v>17</v>
      </c>
      <c r="AH917">
        <v>2</v>
      </c>
      <c r="AI917">
        <v>2</v>
      </c>
      <c r="AJ917">
        <v>0</v>
      </c>
      <c r="AK917">
        <v>16</v>
      </c>
      <c r="AL917" t="s">
        <v>4767</v>
      </c>
      <c r="AM917" t="s">
        <v>4768</v>
      </c>
      <c r="AN917" t="s">
        <v>4769</v>
      </c>
      <c r="AO917" t="s">
        <v>8260</v>
      </c>
      <c r="AP917" t="s">
        <v>74</v>
      </c>
      <c r="AQ917" t="s">
        <v>74</v>
      </c>
      <c r="AR917" t="s">
        <v>8262</v>
      </c>
      <c r="AS917" t="s">
        <v>8263</v>
      </c>
      <c r="AT917" t="s">
        <v>15365</v>
      </c>
      <c r="AU917">
        <v>2012</v>
      </c>
      <c r="AV917">
        <v>42</v>
      </c>
      <c r="AW917">
        <v>2</v>
      </c>
      <c r="AX917" t="s">
        <v>74</v>
      </c>
      <c r="AY917" t="s">
        <v>74</v>
      </c>
      <c r="AZ917" t="s">
        <v>74</v>
      </c>
      <c r="BA917" t="s">
        <v>74</v>
      </c>
      <c r="BB917">
        <v>241</v>
      </c>
      <c r="BC917">
        <v>245</v>
      </c>
      <c r="BD917" t="s">
        <v>74</v>
      </c>
      <c r="BE917" t="s">
        <v>16989</v>
      </c>
      <c r="BF917" t="str">
        <f>HYPERLINK("http://dx.doi.org/10.1007/s12526-012-0111-x","http://dx.doi.org/10.1007/s12526-012-0111-x")</f>
        <v>http://dx.doi.org/10.1007/s12526-012-0111-x</v>
      </c>
      <c r="BG917" t="s">
        <v>74</v>
      </c>
      <c r="BH917" t="s">
        <v>74</v>
      </c>
      <c r="BI917">
        <v>5</v>
      </c>
      <c r="BJ917" t="s">
        <v>8265</v>
      </c>
      <c r="BK917" t="s">
        <v>98</v>
      </c>
      <c r="BL917" t="s">
        <v>8266</v>
      </c>
      <c r="BM917" t="s">
        <v>16973</v>
      </c>
      <c r="BN917" t="s">
        <v>74</v>
      </c>
      <c r="BO917" t="s">
        <v>74</v>
      </c>
      <c r="BP917" t="s">
        <v>74</v>
      </c>
      <c r="BQ917" t="s">
        <v>74</v>
      </c>
      <c r="BR917" t="s">
        <v>101</v>
      </c>
      <c r="BS917" t="s">
        <v>16990</v>
      </c>
      <c r="BT917" t="str">
        <f>HYPERLINK("https%3A%2F%2Fwww.webofscience.com%2Fwos%2Fwoscc%2Ffull-record%2FWOS:000304098000012","View Full Record in Web of Science")</f>
        <v>View Full Record in Web of Science</v>
      </c>
    </row>
    <row r="918" spans="1:72" x14ac:dyDescent="0.15">
      <c r="A918" t="s">
        <v>72</v>
      </c>
      <c r="B918" t="s">
        <v>16991</v>
      </c>
      <c r="C918" t="s">
        <v>74</v>
      </c>
      <c r="D918" t="s">
        <v>74</v>
      </c>
      <c r="E918" t="s">
        <v>74</v>
      </c>
      <c r="F918" t="s">
        <v>16992</v>
      </c>
      <c r="G918" t="s">
        <v>74</v>
      </c>
      <c r="H918" t="s">
        <v>74</v>
      </c>
      <c r="I918" t="s">
        <v>16993</v>
      </c>
      <c r="J918" t="s">
        <v>5922</v>
      </c>
      <c r="K918" t="s">
        <v>74</v>
      </c>
      <c r="L918" t="s">
        <v>74</v>
      </c>
      <c r="M918" t="s">
        <v>78</v>
      </c>
      <c r="N918" t="s">
        <v>79</v>
      </c>
      <c r="O918" t="s">
        <v>74</v>
      </c>
      <c r="P918" t="s">
        <v>74</v>
      </c>
      <c r="Q918" t="s">
        <v>74</v>
      </c>
      <c r="R918" t="s">
        <v>74</v>
      </c>
      <c r="S918" t="s">
        <v>74</v>
      </c>
      <c r="T918" t="s">
        <v>74</v>
      </c>
      <c r="U918" t="s">
        <v>16994</v>
      </c>
      <c r="V918" t="s">
        <v>16995</v>
      </c>
      <c r="W918" t="s">
        <v>16996</v>
      </c>
      <c r="X918" t="s">
        <v>16997</v>
      </c>
      <c r="Y918" t="s">
        <v>16998</v>
      </c>
      <c r="Z918" t="s">
        <v>16999</v>
      </c>
      <c r="AA918" t="s">
        <v>13684</v>
      </c>
      <c r="AB918" t="s">
        <v>17000</v>
      </c>
      <c r="AC918" t="s">
        <v>74</v>
      </c>
      <c r="AD918" t="s">
        <v>74</v>
      </c>
      <c r="AE918" t="s">
        <v>74</v>
      </c>
      <c r="AF918" t="s">
        <v>74</v>
      </c>
      <c r="AG918">
        <v>70</v>
      </c>
      <c r="AH918">
        <v>32</v>
      </c>
      <c r="AI918">
        <v>34</v>
      </c>
      <c r="AJ918">
        <v>1</v>
      </c>
      <c r="AK918">
        <v>59</v>
      </c>
      <c r="AL918" t="s">
        <v>4767</v>
      </c>
      <c r="AM918" t="s">
        <v>4768</v>
      </c>
      <c r="AN918" t="s">
        <v>4769</v>
      </c>
      <c r="AO918" t="s">
        <v>5933</v>
      </c>
      <c r="AP918" t="s">
        <v>5934</v>
      </c>
      <c r="AQ918" t="s">
        <v>74</v>
      </c>
      <c r="AR918" t="s">
        <v>5935</v>
      </c>
      <c r="AS918" t="s">
        <v>5936</v>
      </c>
      <c r="AT918" t="s">
        <v>15365</v>
      </c>
      <c r="AU918">
        <v>2012</v>
      </c>
      <c r="AV918">
        <v>159</v>
      </c>
      <c r="AW918">
        <v>6</v>
      </c>
      <c r="AX918" t="s">
        <v>74</v>
      </c>
      <c r="AY918" t="s">
        <v>74</v>
      </c>
      <c r="AZ918" t="s">
        <v>74</v>
      </c>
      <c r="BA918" t="s">
        <v>74</v>
      </c>
      <c r="BB918">
        <v>1317</v>
      </c>
      <c r="BC918">
        <v>1326</v>
      </c>
      <c r="BD918" t="s">
        <v>74</v>
      </c>
      <c r="BE918" t="s">
        <v>17001</v>
      </c>
      <c r="BF918" t="str">
        <f>HYPERLINK("http://dx.doi.org/10.1007/s00227-012-1912-y","http://dx.doi.org/10.1007/s00227-012-1912-y")</f>
        <v>http://dx.doi.org/10.1007/s00227-012-1912-y</v>
      </c>
      <c r="BG918" t="s">
        <v>74</v>
      </c>
      <c r="BH918" t="s">
        <v>74</v>
      </c>
      <c r="BI918">
        <v>10</v>
      </c>
      <c r="BJ918" t="s">
        <v>1753</v>
      </c>
      <c r="BK918" t="s">
        <v>98</v>
      </c>
      <c r="BL918" t="s">
        <v>1753</v>
      </c>
      <c r="BM918" t="s">
        <v>17002</v>
      </c>
      <c r="BN918" t="s">
        <v>74</v>
      </c>
      <c r="BO918" t="s">
        <v>1499</v>
      </c>
      <c r="BP918" t="s">
        <v>74</v>
      </c>
      <c r="BQ918" t="s">
        <v>74</v>
      </c>
      <c r="BR918" t="s">
        <v>101</v>
      </c>
      <c r="BS918" t="s">
        <v>17003</v>
      </c>
      <c r="BT918" t="str">
        <f>HYPERLINK("https%3A%2F%2Fwww.webofscience.com%2Fwos%2Fwoscc%2Ffull-record%2FWOS:000303472100012","View Full Record in Web of Science")</f>
        <v>View Full Record in Web of Science</v>
      </c>
    </row>
    <row r="919" spans="1:72" x14ac:dyDescent="0.15">
      <c r="A919" t="s">
        <v>72</v>
      </c>
      <c r="B919" t="s">
        <v>17004</v>
      </c>
      <c r="C919" t="s">
        <v>74</v>
      </c>
      <c r="D919" t="s">
        <v>74</v>
      </c>
      <c r="E919" t="s">
        <v>74</v>
      </c>
      <c r="F919" t="s">
        <v>17005</v>
      </c>
      <c r="G919" t="s">
        <v>74</v>
      </c>
      <c r="H919" t="s">
        <v>74</v>
      </c>
      <c r="I919" t="s">
        <v>17006</v>
      </c>
      <c r="J919" t="s">
        <v>5922</v>
      </c>
      <c r="K919" t="s">
        <v>74</v>
      </c>
      <c r="L919" t="s">
        <v>74</v>
      </c>
      <c r="M919" t="s">
        <v>78</v>
      </c>
      <c r="N919" t="s">
        <v>79</v>
      </c>
      <c r="O919" t="s">
        <v>74</v>
      </c>
      <c r="P919" t="s">
        <v>74</v>
      </c>
      <c r="Q919" t="s">
        <v>74</v>
      </c>
      <c r="R919" t="s">
        <v>74</v>
      </c>
      <c r="S919" t="s">
        <v>74</v>
      </c>
      <c r="T919" t="s">
        <v>74</v>
      </c>
      <c r="U919" t="s">
        <v>17007</v>
      </c>
      <c r="V919" t="s">
        <v>17008</v>
      </c>
      <c r="W919" t="s">
        <v>17009</v>
      </c>
      <c r="X919" t="s">
        <v>17010</v>
      </c>
      <c r="Y919" t="s">
        <v>17011</v>
      </c>
      <c r="Z919" t="s">
        <v>17012</v>
      </c>
      <c r="AA919" t="s">
        <v>17013</v>
      </c>
      <c r="AB919" t="s">
        <v>17014</v>
      </c>
      <c r="AC919" t="s">
        <v>17015</v>
      </c>
      <c r="AD919" t="s">
        <v>17016</v>
      </c>
      <c r="AE919" t="s">
        <v>17017</v>
      </c>
      <c r="AF919" t="s">
        <v>74</v>
      </c>
      <c r="AG919">
        <v>53</v>
      </c>
      <c r="AH919">
        <v>59</v>
      </c>
      <c r="AI919">
        <v>68</v>
      </c>
      <c r="AJ919">
        <v>0</v>
      </c>
      <c r="AK919">
        <v>66</v>
      </c>
      <c r="AL919" t="s">
        <v>4767</v>
      </c>
      <c r="AM919" t="s">
        <v>4768</v>
      </c>
      <c r="AN919" t="s">
        <v>4769</v>
      </c>
      <c r="AO919" t="s">
        <v>5933</v>
      </c>
      <c r="AP919" t="s">
        <v>5934</v>
      </c>
      <c r="AQ919" t="s">
        <v>74</v>
      </c>
      <c r="AR919" t="s">
        <v>5935</v>
      </c>
      <c r="AS919" t="s">
        <v>5936</v>
      </c>
      <c r="AT919" t="s">
        <v>15365</v>
      </c>
      <c r="AU919">
        <v>2012</v>
      </c>
      <c r="AV919">
        <v>159</v>
      </c>
      <c r="AW919">
        <v>6</v>
      </c>
      <c r="AX919" t="s">
        <v>74</v>
      </c>
      <c r="AY919" t="s">
        <v>74</v>
      </c>
      <c r="AZ919" t="s">
        <v>74</v>
      </c>
      <c r="BA919" t="s">
        <v>74</v>
      </c>
      <c r="BB919">
        <v>1335</v>
      </c>
      <c r="BC919">
        <v>1345</v>
      </c>
      <c r="BD919" t="s">
        <v>74</v>
      </c>
      <c r="BE919" t="s">
        <v>17018</v>
      </c>
      <c r="BF919" t="str">
        <f>HYPERLINK("http://dx.doi.org/10.1007/s00227-012-1914-9","http://dx.doi.org/10.1007/s00227-012-1914-9")</f>
        <v>http://dx.doi.org/10.1007/s00227-012-1914-9</v>
      </c>
      <c r="BG919" t="s">
        <v>74</v>
      </c>
      <c r="BH919" t="s">
        <v>74</v>
      </c>
      <c r="BI919">
        <v>11</v>
      </c>
      <c r="BJ919" t="s">
        <v>1753</v>
      </c>
      <c r="BK919" t="s">
        <v>98</v>
      </c>
      <c r="BL919" t="s">
        <v>1753</v>
      </c>
      <c r="BM919" t="s">
        <v>17002</v>
      </c>
      <c r="BN919" t="s">
        <v>74</v>
      </c>
      <c r="BO919" t="s">
        <v>1254</v>
      </c>
      <c r="BP919" t="s">
        <v>74</v>
      </c>
      <c r="BQ919" t="s">
        <v>74</v>
      </c>
      <c r="BR919" t="s">
        <v>101</v>
      </c>
      <c r="BS919" t="s">
        <v>17019</v>
      </c>
      <c r="BT919" t="str">
        <f>HYPERLINK("https%3A%2F%2Fwww.webofscience.com%2Fwos%2Fwoscc%2Ffull-record%2FWOS:000303472100014","View Full Record in Web of Science")</f>
        <v>View Full Record in Web of Science</v>
      </c>
    </row>
    <row r="920" spans="1:72" x14ac:dyDescent="0.15">
      <c r="A920" t="s">
        <v>72</v>
      </c>
      <c r="B920" t="s">
        <v>17020</v>
      </c>
      <c r="C920" t="s">
        <v>74</v>
      </c>
      <c r="D920" t="s">
        <v>74</v>
      </c>
      <c r="E920" t="s">
        <v>74</v>
      </c>
      <c r="F920" t="s">
        <v>17021</v>
      </c>
      <c r="G920" t="s">
        <v>74</v>
      </c>
      <c r="H920" t="s">
        <v>74</v>
      </c>
      <c r="I920" t="s">
        <v>17022</v>
      </c>
      <c r="J920" t="s">
        <v>17023</v>
      </c>
      <c r="K920" t="s">
        <v>74</v>
      </c>
      <c r="L920" t="s">
        <v>74</v>
      </c>
      <c r="M920" t="s">
        <v>78</v>
      </c>
      <c r="N920" t="s">
        <v>974</v>
      </c>
      <c r="O920" t="s">
        <v>74</v>
      </c>
      <c r="P920" t="s">
        <v>74</v>
      </c>
      <c r="Q920" t="s">
        <v>74</v>
      </c>
      <c r="R920" t="s">
        <v>74</v>
      </c>
      <c r="S920" t="s">
        <v>74</v>
      </c>
      <c r="T920" t="s">
        <v>17024</v>
      </c>
      <c r="U920" t="s">
        <v>17025</v>
      </c>
      <c r="V920" t="s">
        <v>17026</v>
      </c>
      <c r="W920" t="s">
        <v>17027</v>
      </c>
      <c r="X920" t="s">
        <v>17028</v>
      </c>
      <c r="Y920" t="s">
        <v>17029</v>
      </c>
      <c r="Z920" t="s">
        <v>17030</v>
      </c>
      <c r="AA920" t="s">
        <v>17031</v>
      </c>
      <c r="AB920" t="s">
        <v>17032</v>
      </c>
      <c r="AC920" t="s">
        <v>74</v>
      </c>
      <c r="AD920" t="s">
        <v>74</v>
      </c>
      <c r="AE920" t="s">
        <v>74</v>
      </c>
      <c r="AF920" t="s">
        <v>74</v>
      </c>
      <c r="AG920">
        <v>46</v>
      </c>
      <c r="AH920">
        <v>58</v>
      </c>
      <c r="AI920">
        <v>60</v>
      </c>
      <c r="AJ920">
        <v>1</v>
      </c>
      <c r="AK920">
        <v>39</v>
      </c>
      <c r="AL920" t="s">
        <v>17033</v>
      </c>
      <c r="AM920" t="s">
        <v>17034</v>
      </c>
      <c r="AN920" t="s">
        <v>17035</v>
      </c>
      <c r="AO920" t="s">
        <v>17036</v>
      </c>
      <c r="AP920" t="s">
        <v>74</v>
      </c>
      <c r="AQ920" t="s">
        <v>74</v>
      </c>
      <c r="AR920" t="s">
        <v>17037</v>
      </c>
      <c r="AS920" t="s">
        <v>17038</v>
      </c>
      <c r="AT920" t="s">
        <v>15365</v>
      </c>
      <c r="AU920">
        <v>2012</v>
      </c>
      <c r="AV920">
        <v>12</v>
      </c>
      <c r="AW920">
        <v>7</v>
      </c>
      <c r="AX920" t="s">
        <v>74</v>
      </c>
      <c r="AY920" t="s">
        <v>74</v>
      </c>
      <c r="AZ920" t="s">
        <v>74</v>
      </c>
      <c r="BA920" t="s">
        <v>74</v>
      </c>
      <c r="BB920">
        <v>618</v>
      </c>
      <c r="BC920">
        <v>631</v>
      </c>
      <c r="BD920" t="s">
        <v>74</v>
      </c>
      <c r="BE920" t="s">
        <v>74</v>
      </c>
      <c r="BF920" t="s">
        <v>74</v>
      </c>
      <c r="BG920" t="s">
        <v>74</v>
      </c>
      <c r="BH920" t="s">
        <v>74</v>
      </c>
      <c r="BI920">
        <v>14</v>
      </c>
      <c r="BJ920" t="s">
        <v>17039</v>
      </c>
      <c r="BK920" t="s">
        <v>98</v>
      </c>
      <c r="BL920" t="s">
        <v>10860</v>
      </c>
      <c r="BM920" t="s">
        <v>17040</v>
      </c>
      <c r="BN920">
        <v>22512550</v>
      </c>
      <c r="BO920" t="s">
        <v>74</v>
      </c>
      <c r="BP920" t="s">
        <v>74</v>
      </c>
      <c r="BQ920" t="s">
        <v>74</v>
      </c>
      <c r="BR920" t="s">
        <v>101</v>
      </c>
      <c r="BS920" t="s">
        <v>17041</v>
      </c>
      <c r="BT920" t="str">
        <f>HYPERLINK("https%3A%2F%2Fwww.webofscience.com%2Fwos%2Fwoscc%2Ffull-record%2FWOS:000305731300003","View Full Record in Web of Science")</f>
        <v>View Full Record in Web of Science</v>
      </c>
    </row>
    <row r="921" spans="1:72" x14ac:dyDescent="0.15">
      <c r="A921" t="s">
        <v>72</v>
      </c>
      <c r="B921" t="s">
        <v>17042</v>
      </c>
      <c r="C921" t="s">
        <v>74</v>
      </c>
      <c r="D921" t="s">
        <v>74</v>
      </c>
      <c r="E921" t="s">
        <v>74</v>
      </c>
      <c r="F921" t="s">
        <v>17043</v>
      </c>
      <c r="G921" t="s">
        <v>74</v>
      </c>
      <c r="H921" t="s">
        <v>74</v>
      </c>
      <c r="I921" t="s">
        <v>17044</v>
      </c>
      <c r="J921" t="s">
        <v>11977</v>
      </c>
      <c r="K921" t="s">
        <v>74</v>
      </c>
      <c r="L921" t="s">
        <v>74</v>
      </c>
      <c r="M921" t="s">
        <v>78</v>
      </c>
      <c r="N921" t="s">
        <v>79</v>
      </c>
      <c r="O921" t="s">
        <v>74</v>
      </c>
      <c r="P921" t="s">
        <v>74</v>
      </c>
      <c r="Q921" t="s">
        <v>74</v>
      </c>
      <c r="R921" t="s">
        <v>74</v>
      </c>
      <c r="S921" t="s">
        <v>74</v>
      </c>
      <c r="T921" t="s">
        <v>17045</v>
      </c>
      <c r="U921" t="s">
        <v>17046</v>
      </c>
      <c r="V921" t="s">
        <v>17047</v>
      </c>
      <c r="W921" t="s">
        <v>17048</v>
      </c>
      <c r="X921" t="s">
        <v>17049</v>
      </c>
      <c r="Y921" t="s">
        <v>17050</v>
      </c>
      <c r="Z921" t="s">
        <v>17051</v>
      </c>
      <c r="AA921" t="s">
        <v>17052</v>
      </c>
      <c r="AB921" t="s">
        <v>17053</v>
      </c>
      <c r="AC921" t="s">
        <v>17054</v>
      </c>
      <c r="AD921" t="s">
        <v>17055</v>
      </c>
      <c r="AE921" t="s">
        <v>17056</v>
      </c>
      <c r="AF921" t="s">
        <v>74</v>
      </c>
      <c r="AG921">
        <v>60</v>
      </c>
      <c r="AH921">
        <v>58</v>
      </c>
      <c r="AI921">
        <v>60</v>
      </c>
      <c r="AJ921">
        <v>0</v>
      </c>
      <c r="AK921">
        <v>69</v>
      </c>
      <c r="AL921" t="s">
        <v>898</v>
      </c>
      <c r="AM921" t="s">
        <v>899</v>
      </c>
      <c r="AN921" t="s">
        <v>900</v>
      </c>
      <c r="AO921" t="s">
        <v>11990</v>
      </c>
      <c r="AP921" t="s">
        <v>14231</v>
      </c>
      <c r="AQ921" t="s">
        <v>74</v>
      </c>
      <c r="AR921" t="s">
        <v>11991</v>
      </c>
      <c r="AS921" t="s">
        <v>11992</v>
      </c>
      <c r="AT921" t="s">
        <v>15365</v>
      </c>
      <c r="AU921">
        <v>2012</v>
      </c>
      <c r="AV921">
        <v>21</v>
      </c>
      <c r="AW921">
        <v>11</v>
      </c>
      <c r="AX921" t="s">
        <v>74</v>
      </c>
      <c r="AY921" t="s">
        <v>74</v>
      </c>
      <c r="AZ921" t="s">
        <v>74</v>
      </c>
      <c r="BA921" t="s">
        <v>74</v>
      </c>
      <c r="BB921">
        <v>2775</v>
      </c>
      <c r="BC921">
        <v>2787</v>
      </c>
      <c r="BD921" t="s">
        <v>74</v>
      </c>
      <c r="BE921" t="s">
        <v>17057</v>
      </c>
      <c r="BF921" t="str">
        <f>HYPERLINK("http://dx.doi.org/10.1111/j.1365-294X.2012.05572.x","http://dx.doi.org/10.1111/j.1365-294X.2012.05572.x")</f>
        <v>http://dx.doi.org/10.1111/j.1365-294X.2012.05572.x</v>
      </c>
      <c r="BG921" t="s">
        <v>74</v>
      </c>
      <c r="BH921" t="s">
        <v>74</v>
      </c>
      <c r="BI921">
        <v>13</v>
      </c>
      <c r="BJ921" t="s">
        <v>8852</v>
      </c>
      <c r="BK921" t="s">
        <v>98</v>
      </c>
      <c r="BL921" t="s">
        <v>8853</v>
      </c>
      <c r="BM921" t="s">
        <v>17058</v>
      </c>
      <c r="BN921">
        <v>22494503</v>
      </c>
      <c r="BO921" t="s">
        <v>74</v>
      </c>
      <c r="BP921" t="s">
        <v>74</v>
      </c>
      <c r="BQ921" t="s">
        <v>74</v>
      </c>
      <c r="BR921" t="s">
        <v>101</v>
      </c>
      <c r="BS921" t="s">
        <v>17059</v>
      </c>
      <c r="BT921" t="str">
        <f>HYPERLINK("https%3A%2F%2Fwww.webofscience.com%2Fwos%2Fwoscc%2Ffull-record%2FWOS:000304389500018","View Full Record in Web of Science")</f>
        <v>View Full Record in Web of Science</v>
      </c>
    </row>
    <row r="922" spans="1:72" x14ac:dyDescent="0.15">
      <c r="A922" t="s">
        <v>72</v>
      </c>
      <c r="B922" t="s">
        <v>17060</v>
      </c>
      <c r="C922" t="s">
        <v>74</v>
      </c>
      <c r="D922" t="s">
        <v>74</v>
      </c>
      <c r="E922" t="s">
        <v>74</v>
      </c>
      <c r="F922" t="s">
        <v>17061</v>
      </c>
      <c r="G922" t="s">
        <v>74</v>
      </c>
      <c r="H922" t="s">
        <v>74</v>
      </c>
      <c r="I922" t="s">
        <v>17062</v>
      </c>
      <c r="J922" t="s">
        <v>11977</v>
      </c>
      <c r="K922" t="s">
        <v>74</v>
      </c>
      <c r="L922" t="s">
        <v>74</v>
      </c>
      <c r="M922" t="s">
        <v>78</v>
      </c>
      <c r="N922" t="s">
        <v>79</v>
      </c>
      <c r="O922" t="s">
        <v>74</v>
      </c>
      <c r="P922" t="s">
        <v>74</v>
      </c>
      <c r="Q922" t="s">
        <v>74</v>
      </c>
      <c r="R922" t="s">
        <v>74</v>
      </c>
      <c r="S922" t="s">
        <v>74</v>
      </c>
      <c r="T922" t="s">
        <v>17063</v>
      </c>
      <c r="U922" t="s">
        <v>17064</v>
      </c>
      <c r="V922" t="s">
        <v>17065</v>
      </c>
      <c r="W922" t="s">
        <v>17066</v>
      </c>
      <c r="X922" t="s">
        <v>17067</v>
      </c>
      <c r="Y922" t="s">
        <v>17068</v>
      </c>
      <c r="Z922" t="s">
        <v>17069</v>
      </c>
      <c r="AA922" t="s">
        <v>17070</v>
      </c>
      <c r="AB922" t="s">
        <v>17071</v>
      </c>
      <c r="AC922" t="s">
        <v>17072</v>
      </c>
      <c r="AD922" t="s">
        <v>17073</v>
      </c>
      <c r="AE922" t="s">
        <v>17074</v>
      </c>
      <c r="AF922" t="s">
        <v>74</v>
      </c>
      <c r="AG922">
        <v>79</v>
      </c>
      <c r="AH922">
        <v>68</v>
      </c>
      <c r="AI922">
        <v>72</v>
      </c>
      <c r="AJ922">
        <v>2</v>
      </c>
      <c r="AK922">
        <v>102</v>
      </c>
      <c r="AL922" t="s">
        <v>898</v>
      </c>
      <c r="AM922" t="s">
        <v>899</v>
      </c>
      <c r="AN922" t="s">
        <v>900</v>
      </c>
      <c r="AO922" t="s">
        <v>11990</v>
      </c>
      <c r="AP922" t="s">
        <v>14231</v>
      </c>
      <c r="AQ922" t="s">
        <v>74</v>
      </c>
      <c r="AR922" t="s">
        <v>11991</v>
      </c>
      <c r="AS922" t="s">
        <v>11992</v>
      </c>
      <c r="AT922" t="s">
        <v>15365</v>
      </c>
      <c r="AU922">
        <v>2012</v>
      </c>
      <c r="AV922">
        <v>21</v>
      </c>
      <c r="AW922">
        <v>11</v>
      </c>
      <c r="AX922" t="s">
        <v>74</v>
      </c>
      <c r="AY922" t="s">
        <v>74</v>
      </c>
      <c r="AZ922" t="s">
        <v>74</v>
      </c>
      <c r="BA922" t="s">
        <v>74</v>
      </c>
      <c r="BB922">
        <v>2788</v>
      </c>
      <c r="BC922">
        <v>2804</v>
      </c>
      <c r="BD922" t="s">
        <v>74</v>
      </c>
      <c r="BE922" t="s">
        <v>17075</v>
      </c>
      <c r="BF922" t="str">
        <f>HYPERLINK("http://dx.doi.org/10.1111/j.1365-294X.2012.05565.x","http://dx.doi.org/10.1111/j.1365-294X.2012.05565.x")</f>
        <v>http://dx.doi.org/10.1111/j.1365-294X.2012.05565.x</v>
      </c>
      <c r="BG922" t="s">
        <v>74</v>
      </c>
      <c r="BH922" t="s">
        <v>74</v>
      </c>
      <c r="BI922">
        <v>17</v>
      </c>
      <c r="BJ922" t="s">
        <v>8852</v>
      </c>
      <c r="BK922" t="s">
        <v>98</v>
      </c>
      <c r="BL922" t="s">
        <v>8853</v>
      </c>
      <c r="BM922" t="s">
        <v>17058</v>
      </c>
      <c r="BN922">
        <v>22497583</v>
      </c>
      <c r="BO922" t="s">
        <v>1254</v>
      </c>
      <c r="BP922" t="s">
        <v>74</v>
      </c>
      <c r="BQ922" t="s">
        <v>74</v>
      </c>
      <c r="BR922" t="s">
        <v>101</v>
      </c>
      <c r="BS922" t="s">
        <v>17076</v>
      </c>
      <c r="BT922" t="str">
        <f>HYPERLINK("https%3A%2F%2Fwww.webofscience.com%2Fwos%2Fwoscc%2Ffull-record%2FWOS:000304389500019","View Full Record in Web of Science")</f>
        <v>View Full Record in Web of Science</v>
      </c>
    </row>
    <row r="923" spans="1:72" x14ac:dyDescent="0.15">
      <c r="A923" t="s">
        <v>72</v>
      </c>
      <c r="B923" t="s">
        <v>17077</v>
      </c>
      <c r="C923" t="s">
        <v>74</v>
      </c>
      <c r="D923" t="s">
        <v>74</v>
      </c>
      <c r="E923" t="s">
        <v>74</v>
      </c>
      <c r="F923" t="s">
        <v>17078</v>
      </c>
      <c r="G923" t="s">
        <v>74</v>
      </c>
      <c r="H923" t="s">
        <v>74</v>
      </c>
      <c r="I923" t="s">
        <v>17079</v>
      </c>
      <c r="J923" t="s">
        <v>7921</v>
      </c>
      <c r="K923" t="s">
        <v>74</v>
      </c>
      <c r="L923" t="s">
        <v>74</v>
      </c>
      <c r="M923" t="s">
        <v>78</v>
      </c>
      <c r="N923" t="s">
        <v>79</v>
      </c>
      <c r="O923" t="s">
        <v>74</v>
      </c>
      <c r="P923" t="s">
        <v>74</v>
      </c>
      <c r="Q923" t="s">
        <v>74</v>
      </c>
      <c r="R923" t="s">
        <v>74</v>
      </c>
      <c r="S923" t="s">
        <v>74</v>
      </c>
      <c r="T923" t="s">
        <v>17080</v>
      </c>
      <c r="U923" t="s">
        <v>17081</v>
      </c>
      <c r="V923" t="s">
        <v>17082</v>
      </c>
      <c r="W923" t="s">
        <v>17083</v>
      </c>
      <c r="X923" t="s">
        <v>17084</v>
      </c>
      <c r="Y923" t="s">
        <v>17085</v>
      </c>
      <c r="Z923" t="s">
        <v>17086</v>
      </c>
      <c r="AA923" t="s">
        <v>17087</v>
      </c>
      <c r="AB923" t="s">
        <v>17088</v>
      </c>
      <c r="AC923" t="s">
        <v>17089</v>
      </c>
      <c r="AD923" t="s">
        <v>17090</v>
      </c>
      <c r="AE923" t="s">
        <v>17091</v>
      </c>
      <c r="AF923" t="s">
        <v>74</v>
      </c>
      <c r="AG923">
        <v>24</v>
      </c>
      <c r="AH923">
        <v>10</v>
      </c>
      <c r="AI923">
        <v>11</v>
      </c>
      <c r="AJ923">
        <v>0</v>
      </c>
      <c r="AK923">
        <v>4</v>
      </c>
      <c r="AL923" t="s">
        <v>1771</v>
      </c>
      <c r="AM923" t="s">
        <v>90</v>
      </c>
      <c r="AN923" t="s">
        <v>1772</v>
      </c>
      <c r="AO923" t="s">
        <v>7934</v>
      </c>
      <c r="AP923" t="s">
        <v>8087</v>
      </c>
      <c r="AQ923" t="s">
        <v>74</v>
      </c>
      <c r="AR923" t="s">
        <v>7935</v>
      </c>
      <c r="AS923" t="s">
        <v>7936</v>
      </c>
      <c r="AT923" t="s">
        <v>15365</v>
      </c>
      <c r="AU923">
        <v>2012</v>
      </c>
      <c r="AV923">
        <v>423</v>
      </c>
      <c r="AW923">
        <v>2</v>
      </c>
      <c r="AX923" t="s">
        <v>74</v>
      </c>
      <c r="AY923" t="s">
        <v>74</v>
      </c>
      <c r="AZ923" t="s">
        <v>74</v>
      </c>
      <c r="BA923" t="s">
        <v>74</v>
      </c>
      <c r="BB923">
        <v>1293</v>
      </c>
      <c r="BC923">
        <v>1299</v>
      </c>
      <c r="BD923" t="s">
        <v>74</v>
      </c>
      <c r="BE923" t="s">
        <v>17092</v>
      </c>
      <c r="BF923" t="str">
        <f>HYPERLINK("http://dx.doi.org/10.1111/j.1365-2966.2012.20951.x","http://dx.doi.org/10.1111/j.1365-2966.2012.20951.x")</f>
        <v>http://dx.doi.org/10.1111/j.1365-2966.2012.20951.x</v>
      </c>
      <c r="BG923" t="s">
        <v>74</v>
      </c>
      <c r="BH923" t="s">
        <v>74</v>
      </c>
      <c r="BI923">
        <v>7</v>
      </c>
      <c r="BJ923" t="s">
        <v>127</v>
      </c>
      <c r="BK923" t="s">
        <v>98</v>
      </c>
      <c r="BL923" t="s">
        <v>127</v>
      </c>
      <c r="BM923" t="s">
        <v>17093</v>
      </c>
      <c r="BN923" t="s">
        <v>74</v>
      </c>
      <c r="BO923" t="s">
        <v>1347</v>
      </c>
      <c r="BP923" t="s">
        <v>74</v>
      </c>
      <c r="BQ923" t="s">
        <v>74</v>
      </c>
      <c r="BR923" t="s">
        <v>101</v>
      </c>
      <c r="BS923" t="s">
        <v>17094</v>
      </c>
      <c r="BT923" t="str">
        <f>HYPERLINK("https%3A%2F%2Fwww.webofscience.com%2Fwos%2Fwoscc%2Ffull-record%2FWOS:000305070900022","View Full Record in Web of Science")</f>
        <v>View Full Record in Web of Science</v>
      </c>
    </row>
    <row r="924" spans="1:72" x14ac:dyDescent="0.15">
      <c r="A924" t="s">
        <v>72</v>
      </c>
      <c r="B924" t="s">
        <v>17095</v>
      </c>
      <c r="C924" t="s">
        <v>74</v>
      </c>
      <c r="D924" t="s">
        <v>74</v>
      </c>
      <c r="E924" t="s">
        <v>74</v>
      </c>
      <c r="F924" t="s">
        <v>17096</v>
      </c>
      <c r="G924" t="s">
        <v>74</v>
      </c>
      <c r="H924" t="s">
        <v>74</v>
      </c>
      <c r="I924" t="s">
        <v>17097</v>
      </c>
      <c r="J924" t="s">
        <v>17098</v>
      </c>
      <c r="K924" t="s">
        <v>74</v>
      </c>
      <c r="L924" t="s">
        <v>74</v>
      </c>
      <c r="M924" t="s">
        <v>78</v>
      </c>
      <c r="N924" t="s">
        <v>79</v>
      </c>
      <c r="O924" t="s">
        <v>74</v>
      </c>
      <c r="P924" t="s">
        <v>74</v>
      </c>
      <c r="Q924" t="s">
        <v>74</v>
      </c>
      <c r="R924" t="s">
        <v>74</v>
      </c>
      <c r="S924" t="s">
        <v>74</v>
      </c>
      <c r="T924" t="s">
        <v>17099</v>
      </c>
      <c r="U924" t="s">
        <v>74</v>
      </c>
      <c r="V924" t="s">
        <v>17100</v>
      </c>
      <c r="W924" t="s">
        <v>17101</v>
      </c>
      <c r="X924" t="s">
        <v>17102</v>
      </c>
      <c r="Y924" t="s">
        <v>17103</v>
      </c>
      <c r="Z924" t="s">
        <v>17104</v>
      </c>
      <c r="AA924" t="s">
        <v>17105</v>
      </c>
      <c r="AB924" t="s">
        <v>17106</v>
      </c>
      <c r="AC924" t="s">
        <v>74</v>
      </c>
      <c r="AD924" t="s">
        <v>74</v>
      </c>
      <c r="AE924" t="s">
        <v>74</v>
      </c>
      <c r="AF924" t="s">
        <v>74</v>
      </c>
      <c r="AG924">
        <v>62</v>
      </c>
      <c r="AH924">
        <v>17</v>
      </c>
      <c r="AI924">
        <v>18</v>
      </c>
      <c r="AJ924">
        <v>0</v>
      </c>
      <c r="AK924">
        <v>0</v>
      </c>
      <c r="AL924" t="s">
        <v>4767</v>
      </c>
      <c r="AM924" t="s">
        <v>4768</v>
      </c>
      <c r="AN924" t="s">
        <v>4769</v>
      </c>
      <c r="AO924" t="s">
        <v>17107</v>
      </c>
      <c r="AP924" t="s">
        <v>74</v>
      </c>
      <c r="AQ924" t="s">
        <v>74</v>
      </c>
      <c r="AR924" t="s">
        <v>17108</v>
      </c>
      <c r="AS924" t="s">
        <v>17109</v>
      </c>
      <c r="AT924" t="s">
        <v>15365</v>
      </c>
      <c r="AU924">
        <v>2012</v>
      </c>
      <c r="AV924">
        <v>2</v>
      </c>
      <c r="AW924">
        <v>3</v>
      </c>
      <c r="AX924" t="s">
        <v>74</v>
      </c>
      <c r="AY924" t="s">
        <v>74</v>
      </c>
      <c r="AZ924" t="s">
        <v>74</v>
      </c>
      <c r="BA924" t="s">
        <v>74</v>
      </c>
      <c r="BB924">
        <v>104</v>
      </c>
      <c r="BC924">
        <v>110</v>
      </c>
      <c r="BD924" t="s">
        <v>74</v>
      </c>
      <c r="BE924" t="s">
        <v>17110</v>
      </c>
      <c r="BF924" t="str">
        <f>HYPERLINK("http://dx.doi.org/10.1007/s13659-012-0021-4","http://dx.doi.org/10.1007/s13659-012-0021-4")</f>
        <v>http://dx.doi.org/10.1007/s13659-012-0021-4</v>
      </c>
      <c r="BG924" t="s">
        <v>74</v>
      </c>
      <c r="BH924" t="s">
        <v>74</v>
      </c>
      <c r="BI924">
        <v>7</v>
      </c>
      <c r="BJ924" t="s">
        <v>17039</v>
      </c>
      <c r="BK924" t="s">
        <v>2920</v>
      </c>
      <c r="BL924" t="s">
        <v>10860</v>
      </c>
      <c r="BM924" t="s">
        <v>17111</v>
      </c>
      <c r="BN924" t="s">
        <v>74</v>
      </c>
      <c r="BO924" t="s">
        <v>777</v>
      </c>
      <c r="BP924" t="s">
        <v>74</v>
      </c>
      <c r="BQ924" t="s">
        <v>74</v>
      </c>
      <c r="BR924" t="s">
        <v>101</v>
      </c>
      <c r="BS924" t="s">
        <v>17112</v>
      </c>
      <c r="BT924" t="str">
        <f>HYPERLINK("https%3A%2F%2Fwww.webofscience.com%2Fwos%2Fwoscc%2Ffull-record%2FWOS:000216558200002","View Full Record in Web of Science")</f>
        <v>View Full Record in Web of Science</v>
      </c>
    </row>
    <row r="925" spans="1:72" x14ac:dyDescent="0.15">
      <c r="A925" t="s">
        <v>72</v>
      </c>
      <c r="B925" t="s">
        <v>17113</v>
      </c>
      <c r="C925" t="s">
        <v>74</v>
      </c>
      <c r="D925" t="s">
        <v>74</v>
      </c>
      <c r="E925" t="s">
        <v>74</v>
      </c>
      <c r="F925" t="s">
        <v>17114</v>
      </c>
      <c r="G925" t="s">
        <v>74</v>
      </c>
      <c r="H925" t="s">
        <v>74</v>
      </c>
      <c r="I925" t="s">
        <v>17115</v>
      </c>
      <c r="J925" t="s">
        <v>2850</v>
      </c>
      <c r="K925" t="s">
        <v>74</v>
      </c>
      <c r="L925" t="s">
        <v>74</v>
      </c>
      <c r="M925" t="s">
        <v>78</v>
      </c>
      <c r="N925" t="s">
        <v>79</v>
      </c>
      <c r="O925" t="s">
        <v>74</v>
      </c>
      <c r="P925" t="s">
        <v>74</v>
      </c>
      <c r="Q925" t="s">
        <v>74</v>
      </c>
      <c r="R925" t="s">
        <v>74</v>
      </c>
      <c r="S925" t="s">
        <v>74</v>
      </c>
      <c r="T925" t="s">
        <v>74</v>
      </c>
      <c r="U925" t="s">
        <v>17116</v>
      </c>
      <c r="V925" t="s">
        <v>17117</v>
      </c>
      <c r="W925" t="s">
        <v>17118</v>
      </c>
      <c r="X925" t="s">
        <v>17119</v>
      </c>
      <c r="Y925" t="s">
        <v>17120</v>
      </c>
      <c r="Z925" t="s">
        <v>17121</v>
      </c>
      <c r="AA925" t="s">
        <v>17122</v>
      </c>
      <c r="AB925" t="s">
        <v>17123</v>
      </c>
      <c r="AC925" t="s">
        <v>17124</v>
      </c>
      <c r="AD925" t="s">
        <v>17125</v>
      </c>
      <c r="AE925" t="s">
        <v>17126</v>
      </c>
      <c r="AF925" t="s">
        <v>74</v>
      </c>
      <c r="AG925">
        <v>30</v>
      </c>
      <c r="AH925">
        <v>92</v>
      </c>
      <c r="AI925">
        <v>99</v>
      </c>
      <c r="AJ925">
        <v>0</v>
      </c>
      <c r="AK925">
        <v>44</v>
      </c>
      <c r="AL925" t="s">
        <v>433</v>
      </c>
      <c r="AM925" t="s">
        <v>371</v>
      </c>
      <c r="AN925" t="s">
        <v>2862</v>
      </c>
      <c r="AO925" t="s">
        <v>2863</v>
      </c>
      <c r="AP925" t="s">
        <v>2864</v>
      </c>
      <c r="AQ925" t="s">
        <v>74</v>
      </c>
      <c r="AR925" t="s">
        <v>2865</v>
      </c>
      <c r="AS925" t="s">
        <v>2866</v>
      </c>
      <c r="AT925" t="s">
        <v>15365</v>
      </c>
      <c r="AU925">
        <v>2012</v>
      </c>
      <c r="AV925">
        <v>5</v>
      </c>
      <c r="AW925">
        <v>6</v>
      </c>
      <c r="AX925" t="s">
        <v>74</v>
      </c>
      <c r="AY925" t="s">
        <v>74</v>
      </c>
      <c r="AZ925" t="s">
        <v>74</v>
      </c>
      <c r="BA925" t="s">
        <v>74</v>
      </c>
      <c r="BB925">
        <v>393</v>
      </c>
      <c r="BC925">
        <v>396</v>
      </c>
      <c r="BD925" t="s">
        <v>74</v>
      </c>
      <c r="BE925" t="s">
        <v>17127</v>
      </c>
      <c r="BF925" t="str">
        <f>HYPERLINK("http://dx.doi.org/10.1038/NGEO1468","http://dx.doi.org/10.1038/NGEO1468")</f>
        <v>http://dx.doi.org/10.1038/NGEO1468</v>
      </c>
      <c r="BG925" t="s">
        <v>74</v>
      </c>
      <c r="BH925" t="s">
        <v>74</v>
      </c>
      <c r="BI925">
        <v>4</v>
      </c>
      <c r="BJ925" t="s">
        <v>461</v>
      </c>
      <c r="BK925" t="s">
        <v>98</v>
      </c>
      <c r="BL925" t="s">
        <v>462</v>
      </c>
      <c r="BM925" t="s">
        <v>17128</v>
      </c>
      <c r="BN925" t="s">
        <v>74</v>
      </c>
      <c r="BO925" t="s">
        <v>74</v>
      </c>
      <c r="BP925" t="s">
        <v>74</v>
      </c>
      <c r="BQ925" t="s">
        <v>74</v>
      </c>
      <c r="BR925" t="s">
        <v>101</v>
      </c>
      <c r="BS925" t="s">
        <v>17129</v>
      </c>
      <c r="BT925" t="str">
        <f>HYPERLINK("https%3A%2F%2Fwww.webofscience.com%2Fwos%2Fwoscc%2Ffull-record%2FWOS:000307079700013","View Full Record in Web of Science")</f>
        <v>View Full Record in Web of Science</v>
      </c>
    </row>
    <row r="926" spans="1:72" x14ac:dyDescent="0.15">
      <c r="A926" t="s">
        <v>72</v>
      </c>
      <c r="B926" t="s">
        <v>17130</v>
      </c>
      <c r="C926" t="s">
        <v>74</v>
      </c>
      <c r="D926" t="s">
        <v>74</v>
      </c>
      <c r="E926" t="s">
        <v>74</v>
      </c>
      <c r="F926" t="s">
        <v>17131</v>
      </c>
      <c r="G926" t="s">
        <v>74</v>
      </c>
      <c r="H926" t="s">
        <v>74</v>
      </c>
      <c r="I926" t="s">
        <v>17132</v>
      </c>
      <c r="J926" t="s">
        <v>13601</v>
      </c>
      <c r="K926" t="s">
        <v>74</v>
      </c>
      <c r="L926" t="s">
        <v>74</v>
      </c>
      <c r="M926" t="s">
        <v>78</v>
      </c>
      <c r="N926" t="s">
        <v>79</v>
      </c>
      <c r="O926" t="s">
        <v>74</v>
      </c>
      <c r="P926" t="s">
        <v>74</v>
      </c>
      <c r="Q926" t="s">
        <v>74</v>
      </c>
      <c r="R926" t="s">
        <v>74</v>
      </c>
      <c r="S926" t="s">
        <v>74</v>
      </c>
      <c r="T926" t="s">
        <v>74</v>
      </c>
      <c r="U926" t="s">
        <v>17133</v>
      </c>
      <c r="V926" t="s">
        <v>17134</v>
      </c>
      <c r="W926" t="s">
        <v>17135</v>
      </c>
      <c r="X926" t="s">
        <v>3103</v>
      </c>
      <c r="Y926" t="s">
        <v>17136</v>
      </c>
      <c r="Z926" t="s">
        <v>17137</v>
      </c>
      <c r="AA926" t="s">
        <v>74</v>
      </c>
      <c r="AB926" t="s">
        <v>17138</v>
      </c>
      <c r="AC926" t="s">
        <v>17139</v>
      </c>
      <c r="AD926" t="s">
        <v>17139</v>
      </c>
      <c r="AE926" t="s">
        <v>17140</v>
      </c>
      <c r="AF926" t="s">
        <v>74</v>
      </c>
      <c r="AG926">
        <v>32</v>
      </c>
      <c r="AH926">
        <v>50</v>
      </c>
      <c r="AI926">
        <v>52</v>
      </c>
      <c r="AJ926">
        <v>0</v>
      </c>
      <c r="AK926">
        <v>55</v>
      </c>
      <c r="AL926" t="s">
        <v>898</v>
      </c>
      <c r="AM926" t="s">
        <v>899</v>
      </c>
      <c r="AN926" t="s">
        <v>900</v>
      </c>
      <c r="AO926" t="s">
        <v>13613</v>
      </c>
      <c r="AP926" t="s">
        <v>13614</v>
      </c>
      <c r="AQ926" t="s">
        <v>74</v>
      </c>
      <c r="AR926" t="s">
        <v>13601</v>
      </c>
      <c r="AS926" t="s">
        <v>13615</v>
      </c>
      <c r="AT926" t="s">
        <v>15365</v>
      </c>
      <c r="AU926">
        <v>2012</v>
      </c>
      <c r="AV926">
        <v>121</v>
      </c>
      <c r="AW926">
        <v>6</v>
      </c>
      <c r="AX926" t="s">
        <v>74</v>
      </c>
      <c r="AY926" t="s">
        <v>74</v>
      </c>
      <c r="AZ926" t="s">
        <v>74</v>
      </c>
      <c r="BA926" t="s">
        <v>74</v>
      </c>
      <c r="BB926">
        <v>882</v>
      </c>
      <c r="BC926">
        <v>890</v>
      </c>
      <c r="BD926" t="s">
        <v>74</v>
      </c>
      <c r="BE926" t="s">
        <v>17141</v>
      </c>
      <c r="BF926" t="str">
        <f>HYPERLINK("http://dx.doi.org/10.1111/j.1600-0706.2011.20000.x","http://dx.doi.org/10.1111/j.1600-0706.2011.20000.x")</f>
        <v>http://dx.doi.org/10.1111/j.1600-0706.2011.20000.x</v>
      </c>
      <c r="BG926" t="s">
        <v>74</v>
      </c>
      <c r="BH926" t="s">
        <v>74</v>
      </c>
      <c r="BI926">
        <v>9</v>
      </c>
      <c r="BJ926" t="s">
        <v>515</v>
      </c>
      <c r="BK926" t="s">
        <v>98</v>
      </c>
      <c r="BL926" t="s">
        <v>333</v>
      </c>
      <c r="BM926" t="s">
        <v>17142</v>
      </c>
      <c r="BN926" t="s">
        <v>74</v>
      </c>
      <c r="BO926" t="s">
        <v>74</v>
      </c>
      <c r="BP926" t="s">
        <v>74</v>
      </c>
      <c r="BQ926" t="s">
        <v>74</v>
      </c>
      <c r="BR926" t="s">
        <v>101</v>
      </c>
      <c r="BS926" t="s">
        <v>17143</v>
      </c>
      <c r="BT926" t="str">
        <f>HYPERLINK("https%3A%2F%2Fwww.webofscience.com%2Fwos%2Fwoscc%2Ffull-record%2FWOS:000304389900009","View Full Record in Web of Science")</f>
        <v>View Full Record in Web of Science</v>
      </c>
    </row>
    <row r="927" spans="1:72" x14ac:dyDescent="0.15">
      <c r="A927" t="s">
        <v>72</v>
      </c>
      <c r="B927" t="s">
        <v>17144</v>
      </c>
      <c r="C927" t="s">
        <v>74</v>
      </c>
      <c r="D927" t="s">
        <v>74</v>
      </c>
      <c r="E927" t="s">
        <v>74</v>
      </c>
      <c r="F927" t="s">
        <v>17145</v>
      </c>
      <c r="G927" t="s">
        <v>74</v>
      </c>
      <c r="H927" t="s">
        <v>74</v>
      </c>
      <c r="I927" t="s">
        <v>17146</v>
      </c>
      <c r="J927" t="s">
        <v>17147</v>
      </c>
      <c r="K927" t="s">
        <v>74</v>
      </c>
      <c r="L927" t="s">
        <v>74</v>
      </c>
      <c r="M927" t="s">
        <v>78</v>
      </c>
      <c r="N927" t="s">
        <v>471</v>
      </c>
      <c r="O927" t="s">
        <v>17148</v>
      </c>
      <c r="P927" t="s">
        <v>17149</v>
      </c>
      <c r="Q927" t="s">
        <v>17150</v>
      </c>
      <c r="R927" t="s">
        <v>74</v>
      </c>
      <c r="S927" t="s">
        <v>17151</v>
      </c>
      <c r="T927" t="s">
        <v>17152</v>
      </c>
      <c r="U927" t="s">
        <v>17153</v>
      </c>
      <c r="V927" t="s">
        <v>17154</v>
      </c>
      <c r="W927" t="s">
        <v>17155</v>
      </c>
      <c r="X927" t="s">
        <v>17156</v>
      </c>
      <c r="Y927" t="s">
        <v>17157</v>
      </c>
      <c r="Z927" t="s">
        <v>17158</v>
      </c>
      <c r="AA927" t="s">
        <v>17159</v>
      </c>
      <c r="AB927" t="s">
        <v>17160</v>
      </c>
      <c r="AC927" t="s">
        <v>74</v>
      </c>
      <c r="AD927" t="s">
        <v>74</v>
      </c>
      <c r="AE927" t="s">
        <v>74</v>
      </c>
      <c r="AF927" t="s">
        <v>74</v>
      </c>
      <c r="AG927">
        <v>38</v>
      </c>
      <c r="AH927">
        <v>38</v>
      </c>
      <c r="AI927">
        <v>39</v>
      </c>
      <c r="AJ927">
        <v>1</v>
      </c>
      <c r="AK927">
        <v>41</v>
      </c>
      <c r="AL927" t="s">
        <v>935</v>
      </c>
      <c r="AM927" t="s">
        <v>2382</v>
      </c>
      <c r="AN927" t="s">
        <v>2383</v>
      </c>
      <c r="AO927" t="s">
        <v>17161</v>
      </c>
      <c r="AP927" t="s">
        <v>17162</v>
      </c>
      <c r="AQ927" t="s">
        <v>74</v>
      </c>
      <c r="AR927" t="s">
        <v>17163</v>
      </c>
      <c r="AS927" t="s">
        <v>17164</v>
      </c>
      <c r="AT927" t="s">
        <v>15365</v>
      </c>
      <c r="AU927">
        <v>2012</v>
      </c>
      <c r="AV927">
        <v>42</v>
      </c>
      <c r="AW927" t="s">
        <v>17165</v>
      </c>
      <c r="AX927" t="s">
        <v>74</v>
      </c>
      <c r="AY927" t="s">
        <v>74</v>
      </c>
      <c r="AZ927" t="s">
        <v>74</v>
      </c>
      <c r="BA927" t="s">
        <v>74</v>
      </c>
      <c r="BB927">
        <v>253</v>
      </c>
      <c r="BC927">
        <v>262</v>
      </c>
      <c r="BD927" t="s">
        <v>74</v>
      </c>
      <c r="BE927" t="s">
        <v>17166</v>
      </c>
      <c r="BF927" t="str">
        <f>HYPERLINK("http://dx.doi.org/10.1007/s11084-012-9282-5","http://dx.doi.org/10.1007/s11084-012-9282-5")</f>
        <v>http://dx.doi.org/10.1007/s11084-012-9282-5</v>
      </c>
      <c r="BG927" t="s">
        <v>74</v>
      </c>
      <c r="BH927" t="s">
        <v>74</v>
      </c>
      <c r="BI927">
        <v>10</v>
      </c>
      <c r="BJ927" t="s">
        <v>1966</v>
      </c>
      <c r="BK927" t="s">
        <v>491</v>
      </c>
      <c r="BL927" t="s">
        <v>1967</v>
      </c>
      <c r="BM927" t="s">
        <v>17167</v>
      </c>
      <c r="BN927">
        <v>22688852</v>
      </c>
      <c r="BO927" t="s">
        <v>74</v>
      </c>
      <c r="BP927" t="s">
        <v>74</v>
      </c>
      <c r="BQ927" t="s">
        <v>74</v>
      </c>
      <c r="BR927" t="s">
        <v>101</v>
      </c>
      <c r="BS927" t="s">
        <v>17168</v>
      </c>
      <c r="BT927" t="str">
        <f>HYPERLINK("https%3A%2F%2Fwww.webofscience.com%2Fwos%2Fwoscc%2Ffull-record%2FWOS:000305985800014","View Full Record in Web of Science")</f>
        <v>View Full Record in Web of Science</v>
      </c>
    </row>
    <row r="928" spans="1:72" x14ac:dyDescent="0.15">
      <c r="A928" t="s">
        <v>72</v>
      </c>
      <c r="B928" t="s">
        <v>17169</v>
      </c>
      <c r="C928" t="s">
        <v>74</v>
      </c>
      <c r="D928" t="s">
        <v>74</v>
      </c>
      <c r="E928" t="s">
        <v>74</v>
      </c>
      <c r="F928" t="s">
        <v>17170</v>
      </c>
      <c r="G928" t="s">
        <v>74</v>
      </c>
      <c r="H928" t="s">
        <v>74</v>
      </c>
      <c r="I928" t="s">
        <v>17171</v>
      </c>
      <c r="J928" t="s">
        <v>178</v>
      </c>
      <c r="K928" t="s">
        <v>74</v>
      </c>
      <c r="L928" t="s">
        <v>74</v>
      </c>
      <c r="M928" t="s">
        <v>78</v>
      </c>
      <c r="N928" t="s">
        <v>2829</v>
      </c>
      <c r="O928" t="s">
        <v>74</v>
      </c>
      <c r="P928" t="s">
        <v>74</v>
      </c>
      <c r="Q928" t="s">
        <v>74</v>
      </c>
      <c r="R928" t="s">
        <v>74</v>
      </c>
      <c r="S928" t="s">
        <v>74</v>
      </c>
      <c r="T928" t="s">
        <v>74</v>
      </c>
      <c r="U928" t="s">
        <v>17172</v>
      </c>
      <c r="V928" t="s">
        <v>74</v>
      </c>
      <c r="W928" t="s">
        <v>17173</v>
      </c>
      <c r="X928" t="s">
        <v>17174</v>
      </c>
      <c r="Y928" t="s">
        <v>17175</v>
      </c>
      <c r="Z928" t="s">
        <v>74</v>
      </c>
      <c r="AA928" t="s">
        <v>17176</v>
      </c>
      <c r="AB928" t="s">
        <v>17177</v>
      </c>
      <c r="AC928" t="s">
        <v>74</v>
      </c>
      <c r="AD928" t="s">
        <v>74</v>
      </c>
      <c r="AE928" t="s">
        <v>74</v>
      </c>
      <c r="AF928" t="s">
        <v>74</v>
      </c>
      <c r="AG928">
        <v>32</v>
      </c>
      <c r="AH928">
        <v>2</v>
      </c>
      <c r="AI928">
        <v>2</v>
      </c>
      <c r="AJ928">
        <v>0</v>
      </c>
      <c r="AK928">
        <v>23</v>
      </c>
      <c r="AL928" t="s">
        <v>188</v>
      </c>
      <c r="AM928" t="s">
        <v>189</v>
      </c>
      <c r="AN928" t="s">
        <v>190</v>
      </c>
      <c r="AO928" t="s">
        <v>191</v>
      </c>
      <c r="AP928" t="s">
        <v>192</v>
      </c>
      <c r="AQ928" t="s">
        <v>74</v>
      </c>
      <c r="AR928" t="s">
        <v>193</v>
      </c>
      <c r="AS928" t="s">
        <v>194</v>
      </c>
      <c r="AT928" t="s">
        <v>15605</v>
      </c>
      <c r="AU928">
        <v>2012</v>
      </c>
      <c r="AV928">
        <v>335</v>
      </c>
      <c r="AW928" t="s">
        <v>74</v>
      </c>
      <c r="AX928" t="s">
        <v>74</v>
      </c>
      <c r="AY928" t="s">
        <v>74</v>
      </c>
      <c r="AZ928" t="s">
        <v>1019</v>
      </c>
      <c r="BA928" t="s">
        <v>74</v>
      </c>
      <c r="BB928">
        <v>1</v>
      </c>
      <c r="BC928">
        <v>3</v>
      </c>
      <c r="BD928" t="s">
        <v>74</v>
      </c>
      <c r="BE928" t="s">
        <v>17178</v>
      </c>
      <c r="BF928" t="str">
        <f>HYPERLINK("http://dx.doi.org/10.1016/j.palaeo.2012.04.005","http://dx.doi.org/10.1016/j.palaeo.2012.04.005")</f>
        <v>http://dx.doi.org/10.1016/j.palaeo.2012.04.005</v>
      </c>
      <c r="BG928" t="s">
        <v>74</v>
      </c>
      <c r="BH928" t="s">
        <v>74</v>
      </c>
      <c r="BI928">
        <v>3</v>
      </c>
      <c r="BJ928" t="s">
        <v>197</v>
      </c>
      <c r="BK928" t="s">
        <v>98</v>
      </c>
      <c r="BL928" t="s">
        <v>198</v>
      </c>
      <c r="BM928" t="s">
        <v>15607</v>
      </c>
      <c r="BN928" t="s">
        <v>74</v>
      </c>
      <c r="BO928" t="s">
        <v>74</v>
      </c>
      <c r="BP928" t="s">
        <v>74</v>
      </c>
      <c r="BQ928" t="s">
        <v>74</v>
      </c>
      <c r="BR928" t="s">
        <v>101</v>
      </c>
      <c r="BS928" t="s">
        <v>17179</v>
      </c>
      <c r="BT928" t="str">
        <f>HYPERLINK("https%3A%2F%2Fwww.webofscience.com%2Fwos%2Fwoscc%2Ffull-record%2FWOS:000305378600001","View Full Record in Web of Science")</f>
        <v>View Full Record in Web of Science</v>
      </c>
    </row>
    <row r="929" spans="1:72" x14ac:dyDescent="0.15">
      <c r="A929" t="s">
        <v>72</v>
      </c>
      <c r="B929" t="s">
        <v>17180</v>
      </c>
      <c r="C929" t="s">
        <v>74</v>
      </c>
      <c r="D929" t="s">
        <v>74</v>
      </c>
      <c r="E929" t="s">
        <v>74</v>
      </c>
      <c r="F929" t="s">
        <v>17181</v>
      </c>
      <c r="G929" t="s">
        <v>74</v>
      </c>
      <c r="H929" t="s">
        <v>74</v>
      </c>
      <c r="I929" t="s">
        <v>17182</v>
      </c>
      <c r="J929" t="s">
        <v>178</v>
      </c>
      <c r="K929" t="s">
        <v>74</v>
      </c>
      <c r="L929" t="s">
        <v>74</v>
      </c>
      <c r="M929" t="s">
        <v>78</v>
      </c>
      <c r="N929" t="s">
        <v>79</v>
      </c>
      <c r="O929" t="s">
        <v>74</v>
      </c>
      <c r="P929" t="s">
        <v>74</v>
      </c>
      <c r="Q929" t="s">
        <v>74</v>
      </c>
      <c r="R929" t="s">
        <v>74</v>
      </c>
      <c r="S929" t="s">
        <v>74</v>
      </c>
      <c r="T929" t="s">
        <v>17183</v>
      </c>
      <c r="U929" t="s">
        <v>17184</v>
      </c>
      <c r="V929" t="s">
        <v>17185</v>
      </c>
      <c r="W929" t="s">
        <v>17186</v>
      </c>
      <c r="X929" t="s">
        <v>17187</v>
      </c>
      <c r="Y929" t="s">
        <v>17188</v>
      </c>
      <c r="Z929" t="s">
        <v>17189</v>
      </c>
      <c r="AA929" t="s">
        <v>17190</v>
      </c>
      <c r="AB929" t="s">
        <v>17191</v>
      </c>
      <c r="AC929" t="s">
        <v>17192</v>
      </c>
      <c r="AD929" t="s">
        <v>17193</v>
      </c>
      <c r="AE929" t="s">
        <v>17194</v>
      </c>
      <c r="AF929" t="s">
        <v>74</v>
      </c>
      <c r="AG929">
        <v>94</v>
      </c>
      <c r="AH929">
        <v>141</v>
      </c>
      <c r="AI929">
        <v>147</v>
      </c>
      <c r="AJ929">
        <v>0</v>
      </c>
      <c r="AK929">
        <v>45</v>
      </c>
      <c r="AL929" t="s">
        <v>259</v>
      </c>
      <c r="AM929" t="s">
        <v>189</v>
      </c>
      <c r="AN929" t="s">
        <v>260</v>
      </c>
      <c r="AO929" t="s">
        <v>191</v>
      </c>
      <c r="AP929" t="s">
        <v>192</v>
      </c>
      <c r="AQ929" t="s">
        <v>74</v>
      </c>
      <c r="AR929" t="s">
        <v>193</v>
      </c>
      <c r="AS929" t="s">
        <v>194</v>
      </c>
      <c r="AT929" t="s">
        <v>15605</v>
      </c>
      <c r="AU929">
        <v>2012</v>
      </c>
      <c r="AV929">
        <v>335</v>
      </c>
      <c r="AW929" t="s">
        <v>74</v>
      </c>
      <c r="AX929" t="s">
        <v>74</v>
      </c>
      <c r="AY929" t="s">
        <v>74</v>
      </c>
      <c r="AZ929" t="s">
        <v>1019</v>
      </c>
      <c r="BA929" t="s">
        <v>74</v>
      </c>
      <c r="BB929">
        <v>24</v>
      </c>
      <c r="BC929">
        <v>34</v>
      </c>
      <c r="BD929" t="s">
        <v>74</v>
      </c>
      <c r="BE929" t="s">
        <v>17195</v>
      </c>
      <c r="BF929" t="str">
        <f>HYPERLINK("http://dx.doi.org/10.1016/j.palaeo.2011.05.028","http://dx.doi.org/10.1016/j.palaeo.2011.05.028")</f>
        <v>http://dx.doi.org/10.1016/j.palaeo.2011.05.028</v>
      </c>
      <c r="BG929" t="s">
        <v>74</v>
      </c>
      <c r="BH929" t="s">
        <v>74</v>
      </c>
      <c r="BI929">
        <v>11</v>
      </c>
      <c r="BJ929" t="s">
        <v>197</v>
      </c>
      <c r="BK929" t="s">
        <v>98</v>
      </c>
      <c r="BL929" t="s">
        <v>198</v>
      </c>
      <c r="BM929" t="s">
        <v>15607</v>
      </c>
      <c r="BN929" t="s">
        <v>74</v>
      </c>
      <c r="BO929" t="s">
        <v>1499</v>
      </c>
      <c r="BP929" t="s">
        <v>74</v>
      </c>
      <c r="BQ929" t="s">
        <v>74</v>
      </c>
      <c r="BR929" t="s">
        <v>101</v>
      </c>
      <c r="BS929" t="s">
        <v>17196</v>
      </c>
      <c r="BT929" t="str">
        <f>HYPERLINK("https%3A%2F%2Fwww.webofscience.com%2Fwos%2Fwoscc%2Ffull-record%2FWOS:000305378600004","View Full Record in Web of Science")</f>
        <v>View Full Record in Web of Science</v>
      </c>
    </row>
    <row r="930" spans="1:72" x14ac:dyDescent="0.15">
      <c r="A930" t="s">
        <v>72</v>
      </c>
      <c r="B930" t="s">
        <v>17197</v>
      </c>
      <c r="C930" t="s">
        <v>74</v>
      </c>
      <c r="D930" t="s">
        <v>74</v>
      </c>
      <c r="E930" t="s">
        <v>74</v>
      </c>
      <c r="F930" t="s">
        <v>17198</v>
      </c>
      <c r="G930" t="s">
        <v>74</v>
      </c>
      <c r="H930" t="s">
        <v>74</v>
      </c>
      <c r="I930" t="s">
        <v>17199</v>
      </c>
      <c r="J930" t="s">
        <v>178</v>
      </c>
      <c r="K930" t="s">
        <v>74</v>
      </c>
      <c r="L930" t="s">
        <v>74</v>
      </c>
      <c r="M930" t="s">
        <v>78</v>
      </c>
      <c r="N930" t="s">
        <v>79</v>
      </c>
      <c r="O930" t="s">
        <v>74</v>
      </c>
      <c r="P930" t="s">
        <v>74</v>
      </c>
      <c r="Q930" t="s">
        <v>74</v>
      </c>
      <c r="R930" t="s">
        <v>74</v>
      </c>
      <c r="S930" t="s">
        <v>74</v>
      </c>
      <c r="T930" t="s">
        <v>17200</v>
      </c>
      <c r="U930" t="s">
        <v>17201</v>
      </c>
      <c r="V930" t="s">
        <v>17202</v>
      </c>
      <c r="W930" t="s">
        <v>17203</v>
      </c>
      <c r="X930" t="s">
        <v>17204</v>
      </c>
      <c r="Y930" t="s">
        <v>17205</v>
      </c>
      <c r="Z930" t="s">
        <v>17206</v>
      </c>
      <c r="AA930" t="s">
        <v>17207</v>
      </c>
      <c r="AB930" t="s">
        <v>17208</v>
      </c>
      <c r="AC930" t="s">
        <v>17209</v>
      </c>
      <c r="AD930" t="s">
        <v>17210</v>
      </c>
      <c r="AE930" t="s">
        <v>17211</v>
      </c>
      <c r="AF930" t="s">
        <v>74</v>
      </c>
      <c r="AG930">
        <v>49</v>
      </c>
      <c r="AH930">
        <v>35</v>
      </c>
      <c r="AI930">
        <v>38</v>
      </c>
      <c r="AJ930">
        <v>0</v>
      </c>
      <c r="AK930">
        <v>21</v>
      </c>
      <c r="AL930" t="s">
        <v>259</v>
      </c>
      <c r="AM930" t="s">
        <v>189</v>
      </c>
      <c r="AN930" t="s">
        <v>260</v>
      </c>
      <c r="AO930" t="s">
        <v>191</v>
      </c>
      <c r="AP930" t="s">
        <v>74</v>
      </c>
      <c r="AQ930" t="s">
        <v>74</v>
      </c>
      <c r="AR930" t="s">
        <v>193</v>
      </c>
      <c r="AS930" t="s">
        <v>194</v>
      </c>
      <c r="AT930" t="s">
        <v>15605</v>
      </c>
      <c r="AU930">
        <v>2012</v>
      </c>
      <c r="AV930">
        <v>335</v>
      </c>
      <c r="AW930" t="s">
        <v>74</v>
      </c>
      <c r="AX930" t="s">
        <v>74</v>
      </c>
      <c r="AY930" t="s">
        <v>74</v>
      </c>
      <c r="AZ930" t="s">
        <v>1019</v>
      </c>
      <c r="BA930" t="s">
        <v>74</v>
      </c>
      <c r="BB930">
        <v>61</v>
      </c>
      <c r="BC930">
        <v>70</v>
      </c>
      <c r="BD930" t="s">
        <v>74</v>
      </c>
      <c r="BE930" t="s">
        <v>17212</v>
      </c>
      <c r="BF930" t="str">
        <f>HYPERLINK("http://dx.doi.org/10.1016/j.palaeo.2011.01.027","http://dx.doi.org/10.1016/j.palaeo.2011.01.027")</f>
        <v>http://dx.doi.org/10.1016/j.palaeo.2011.01.027</v>
      </c>
      <c r="BG930" t="s">
        <v>74</v>
      </c>
      <c r="BH930" t="s">
        <v>74</v>
      </c>
      <c r="BI930">
        <v>10</v>
      </c>
      <c r="BJ930" t="s">
        <v>197</v>
      </c>
      <c r="BK930" t="s">
        <v>98</v>
      </c>
      <c r="BL930" t="s">
        <v>198</v>
      </c>
      <c r="BM930" t="s">
        <v>15607</v>
      </c>
      <c r="BN930" t="s">
        <v>74</v>
      </c>
      <c r="BO930" t="s">
        <v>416</v>
      </c>
      <c r="BP930" t="s">
        <v>74</v>
      </c>
      <c r="BQ930" t="s">
        <v>74</v>
      </c>
      <c r="BR930" t="s">
        <v>101</v>
      </c>
      <c r="BS930" t="s">
        <v>17213</v>
      </c>
      <c r="BT930" t="str">
        <f>HYPERLINK("https%3A%2F%2Fwww.webofscience.com%2Fwos%2Fwoscc%2Ffull-record%2FWOS:000305378600008","View Full Record in Web of Science")</f>
        <v>View Full Record in Web of Science</v>
      </c>
    </row>
    <row r="931" spans="1:72" x14ac:dyDescent="0.15">
      <c r="A931" t="s">
        <v>72</v>
      </c>
      <c r="B931" t="s">
        <v>17214</v>
      </c>
      <c r="C931" t="s">
        <v>74</v>
      </c>
      <c r="D931" t="s">
        <v>74</v>
      </c>
      <c r="E931" t="s">
        <v>74</v>
      </c>
      <c r="F931" t="s">
        <v>17215</v>
      </c>
      <c r="G931" t="s">
        <v>74</v>
      </c>
      <c r="H931" t="s">
        <v>74</v>
      </c>
      <c r="I931" t="s">
        <v>17216</v>
      </c>
      <c r="J931" t="s">
        <v>178</v>
      </c>
      <c r="K931" t="s">
        <v>74</v>
      </c>
      <c r="L931" t="s">
        <v>74</v>
      </c>
      <c r="M931" t="s">
        <v>78</v>
      </c>
      <c r="N931" t="s">
        <v>79</v>
      </c>
      <c r="O931" t="s">
        <v>74</v>
      </c>
      <c r="P931" t="s">
        <v>74</v>
      </c>
      <c r="Q931" t="s">
        <v>74</v>
      </c>
      <c r="R931" t="s">
        <v>74</v>
      </c>
      <c r="S931" t="s">
        <v>74</v>
      </c>
      <c r="T931" t="s">
        <v>17217</v>
      </c>
      <c r="U931" t="s">
        <v>17218</v>
      </c>
      <c r="V931" t="s">
        <v>17219</v>
      </c>
      <c r="W931" t="s">
        <v>17220</v>
      </c>
      <c r="X931" t="s">
        <v>17221</v>
      </c>
      <c r="Y931" t="s">
        <v>17222</v>
      </c>
      <c r="Z931" t="s">
        <v>17223</v>
      </c>
      <c r="AA931" t="s">
        <v>74</v>
      </c>
      <c r="AB931" t="s">
        <v>74</v>
      </c>
      <c r="AC931" t="s">
        <v>17224</v>
      </c>
      <c r="AD931" t="s">
        <v>17225</v>
      </c>
      <c r="AE931" t="s">
        <v>17226</v>
      </c>
      <c r="AF931" t="s">
        <v>74</v>
      </c>
      <c r="AG931">
        <v>23</v>
      </c>
      <c r="AH931">
        <v>48</v>
      </c>
      <c r="AI931">
        <v>59</v>
      </c>
      <c r="AJ931">
        <v>8</v>
      </c>
      <c r="AK931">
        <v>89</v>
      </c>
      <c r="AL931" t="s">
        <v>188</v>
      </c>
      <c r="AM931" t="s">
        <v>189</v>
      </c>
      <c r="AN931" t="s">
        <v>190</v>
      </c>
      <c r="AO931" t="s">
        <v>191</v>
      </c>
      <c r="AP931" t="s">
        <v>192</v>
      </c>
      <c r="AQ931" t="s">
        <v>74</v>
      </c>
      <c r="AR931" t="s">
        <v>193</v>
      </c>
      <c r="AS931" t="s">
        <v>194</v>
      </c>
      <c r="AT931" t="s">
        <v>15605</v>
      </c>
      <c r="AU931">
        <v>2012</v>
      </c>
      <c r="AV931">
        <v>335</v>
      </c>
      <c r="AW931" t="s">
        <v>74</v>
      </c>
      <c r="AX931" t="s">
        <v>74</v>
      </c>
      <c r="AY931" t="s">
        <v>74</v>
      </c>
      <c r="AZ931" t="s">
        <v>1019</v>
      </c>
      <c r="BA931" t="s">
        <v>74</v>
      </c>
      <c r="BB931">
        <v>71</v>
      </c>
      <c r="BC931">
        <v>74</v>
      </c>
      <c r="BD931" t="s">
        <v>74</v>
      </c>
      <c r="BE931" t="s">
        <v>17227</v>
      </c>
      <c r="BF931" t="str">
        <f>HYPERLINK("http://dx.doi.org/10.1016/j.palaeo.2011.04.007","http://dx.doi.org/10.1016/j.palaeo.2011.04.007")</f>
        <v>http://dx.doi.org/10.1016/j.palaeo.2011.04.007</v>
      </c>
      <c r="BG931" t="s">
        <v>74</v>
      </c>
      <c r="BH931" t="s">
        <v>74</v>
      </c>
      <c r="BI931">
        <v>4</v>
      </c>
      <c r="BJ931" t="s">
        <v>197</v>
      </c>
      <c r="BK931" t="s">
        <v>98</v>
      </c>
      <c r="BL931" t="s">
        <v>198</v>
      </c>
      <c r="BM931" t="s">
        <v>15607</v>
      </c>
      <c r="BN931" t="s">
        <v>74</v>
      </c>
      <c r="BO931" t="s">
        <v>74</v>
      </c>
      <c r="BP931" t="s">
        <v>74</v>
      </c>
      <c r="BQ931" t="s">
        <v>74</v>
      </c>
      <c r="BR931" t="s">
        <v>101</v>
      </c>
      <c r="BS931" t="s">
        <v>17228</v>
      </c>
      <c r="BT931" t="str">
        <f>HYPERLINK("https%3A%2F%2Fwww.webofscience.com%2Fwos%2Fwoscc%2Ffull-record%2FWOS:000305378600009","View Full Record in Web of Science")</f>
        <v>View Full Record in Web of Science</v>
      </c>
    </row>
    <row r="932" spans="1:72" x14ac:dyDescent="0.15">
      <c r="A932" t="s">
        <v>72</v>
      </c>
      <c r="B932" t="s">
        <v>17229</v>
      </c>
      <c r="C932" t="s">
        <v>74</v>
      </c>
      <c r="D932" t="s">
        <v>74</v>
      </c>
      <c r="E932" t="s">
        <v>74</v>
      </c>
      <c r="F932" t="s">
        <v>17230</v>
      </c>
      <c r="G932" t="s">
        <v>74</v>
      </c>
      <c r="H932" t="s">
        <v>74</v>
      </c>
      <c r="I932" t="s">
        <v>17231</v>
      </c>
      <c r="J932" t="s">
        <v>178</v>
      </c>
      <c r="K932" t="s">
        <v>74</v>
      </c>
      <c r="L932" t="s">
        <v>74</v>
      </c>
      <c r="M932" t="s">
        <v>78</v>
      </c>
      <c r="N932" t="s">
        <v>79</v>
      </c>
      <c r="O932" t="s">
        <v>74</v>
      </c>
      <c r="P932" t="s">
        <v>74</v>
      </c>
      <c r="Q932" t="s">
        <v>74</v>
      </c>
      <c r="R932" t="s">
        <v>74</v>
      </c>
      <c r="S932" t="s">
        <v>74</v>
      </c>
      <c r="T932" t="s">
        <v>17232</v>
      </c>
      <c r="U932" t="s">
        <v>17233</v>
      </c>
      <c r="V932" t="s">
        <v>17234</v>
      </c>
      <c r="W932" t="s">
        <v>17235</v>
      </c>
      <c r="X932" t="s">
        <v>17236</v>
      </c>
      <c r="Y932" t="s">
        <v>17237</v>
      </c>
      <c r="Z932" t="s">
        <v>17238</v>
      </c>
      <c r="AA932" t="s">
        <v>17239</v>
      </c>
      <c r="AB932" t="s">
        <v>17240</v>
      </c>
      <c r="AC932" t="s">
        <v>17241</v>
      </c>
      <c r="AD932" t="s">
        <v>17241</v>
      </c>
      <c r="AE932" t="s">
        <v>17242</v>
      </c>
      <c r="AF932" t="s">
        <v>74</v>
      </c>
      <c r="AG932">
        <v>70</v>
      </c>
      <c r="AH932">
        <v>77</v>
      </c>
      <c r="AI932">
        <v>90</v>
      </c>
      <c r="AJ932">
        <v>1</v>
      </c>
      <c r="AK932">
        <v>67</v>
      </c>
      <c r="AL932" t="s">
        <v>188</v>
      </c>
      <c r="AM932" t="s">
        <v>189</v>
      </c>
      <c r="AN932" t="s">
        <v>190</v>
      </c>
      <c r="AO932" t="s">
        <v>191</v>
      </c>
      <c r="AP932" t="s">
        <v>192</v>
      </c>
      <c r="AQ932" t="s">
        <v>74</v>
      </c>
      <c r="AR932" t="s">
        <v>193</v>
      </c>
      <c r="AS932" t="s">
        <v>194</v>
      </c>
      <c r="AT932" t="s">
        <v>15605</v>
      </c>
      <c r="AU932">
        <v>2012</v>
      </c>
      <c r="AV932">
        <v>335</v>
      </c>
      <c r="AW932" t="s">
        <v>74</v>
      </c>
      <c r="AX932" t="s">
        <v>74</v>
      </c>
      <c r="AY932" t="s">
        <v>74</v>
      </c>
      <c r="AZ932" t="s">
        <v>1019</v>
      </c>
      <c r="BA932" t="s">
        <v>74</v>
      </c>
      <c r="BB932">
        <v>75</v>
      </c>
      <c r="BC932">
        <v>83</v>
      </c>
      <c r="BD932" t="s">
        <v>74</v>
      </c>
      <c r="BE932" t="s">
        <v>17243</v>
      </c>
      <c r="BF932" t="str">
        <f>HYPERLINK("http://dx.doi.org/10.1016/j.palaeo.2011.04.008","http://dx.doi.org/10.1016/j.palaeo.2011.04.008")</f>
        <v>http://dx.doi.org/10.1016/j.palaeo.2011.04.008</v>
      </c>
      <c r="BG932" t="s">
        <v>74</v>
      </c>
      <c r="BH932" t="s">
        <v>74</v>
      </c>
      <c r="BI932">
        <v>9</v>
      </c>
      <c r="BJ932" t="s">
        <v>197</v>
      </c>
      <c r="BK932" t="s">
        <v>98</v>
      </c>
      <c r="BL932" t="s">
        <v>198</v>
      </c>
      <c r="BM932" t="s">
        <v>15607</v>
      </c>
      <c r="BN932" t="s">
        <v>74</v>
      </c>
      <c r="BO932" t="s">
        <v>74</v>
      </c>
      <c r="BP932" t="s">
        <v>74</v>
      </c>
      <c r="BQ932" t="s">
        <v>74</v>
      </c>
      <c r="BR932" t="s">
        <v>101</v>
      </c>
      <c r="BS932" t="s">
        <v>17244</v>
      </c>
      <c r="BT932" t="str">
        <f>HYPERLINK("https%3A%2F%2Fwww.webofscience.com%2Fwos%2Fwoscc%2Ffull-record%2FWOS:000305378600010","View Full Record in Web of Science")</f>
        <v>View Full Record in Web of Science</v>
      </c>
    </row>
    <row r="933" spans="1:72" x14ac:dyDescent="0.15">
      <c r="A933" t="s">
        <v>72</v>
      </c>
      <c r="B933" t="s">
        <v>17245</v>
      </c>
      <c r="C933" t="s">
        <v>74</v>
      </c>
      <c r="D933" t="s">
        <v>74</v>
      </c>
      <c r="E933" t="s">
        <v>74</v>
      </c>
      <c r="F933" t="s">
        <v>17246</v>
      </c>
      <c r="G933" t="s">
        <v>74</v>
      </c>
      <c r="H933" t="s">
        <v>74</v>
      </c>
      <c r="I933" t="s">
        <v>17247</v>
      </c>
      <c r="J933" t="s">
        <v>1860</v>
      </c>
      <c r="K933" t="s">
        <v>74</v>
      </c>
      <c r="L933" t="s">
        <v>74</v>
      </c>
      <c r="M933" t="s">
        <v>78</v>
      </c>
      <c r="N933" t="s">
        <v>79</v>
      </c>
      <c r="O933" t="s">
        <v>74</v>
      </c>
      <c r="P933" t="s">
        <v>74</v>
      </c>
      <c r="Q933" t="s">
        <v>74</v>
      </c>
      <c r="R933" t="s">
        <v>74</v>
      </c>
      <c r="S933" t="s">
        <v>74</v>
      </c>
      <c r="T933" t="s">
        <v>17248</v>
      </c>
      <c r="U933" t="s">
        <v>17249</v>
      </c>
      <c r="V933" t="s">
        <v>17250</v>
      </c>
      <c r="W933" t="s">
        <v>17251</v>
      </c>
      <c r="X933" t="s">
        <v>17252</v>
      </c>
      <c r="Y933" t="s">
        <v>17253</v>
      </c>
      <c r="Z933" t="s">
        <v>17254</v>
      </c>
      <c r="AA933" t="s">
        <v>17255</v>
      </c>
      <c r="AB933" t="s">
        <v>17256</v>
      </c>
      <c r="AC933" t="s">
        <v>17257</v>
      </c>
      <c r="AD933" t="s">
        <v>17258</v>
      </c>
      <c r="AE933" t="s">
        <v>17259</v>
      </c>
      <c r="AF933" t="s">
        <v>74</v>
      </c>
      <c r="AG933">
        <v>41</v>
      </c>
      <c r="AH933">
        <v>24</v>
      </c>
      <c r="AI933">
        <v>24</v>
      </c>
      <c r="AJ933">
        <v>0</v>
      </c>
      <c r="AK933">
        <v>6</v>
      </c>
      <c r="AL933" t="s">
        <v>935</v>
      </c>
      <c r="AM933" t="s">
        <v>371</v>
      </c>
      <c r="AN933" t="s">
        <v>936</v>
      </c>
      <c r="AO933" t="s">
        <v>1874</v>
      </c>
      <c r="AP933" t="s">
        <v>1875</v>
      </c>
      <c r="AQ933" t="s">
        <v>74</v>
      </c>
      <c r="AR933" t="s">
        <v>1876</v>
      </c>
      <c r="AS933" t="s">
        <v>1877</v>
      </c>
      <c r="AT933" t="s">
        <v>15365</v>
      </c>
      <c r="AU933">
        <v>2012</v>
      </c>
      <c r="AV933">
        <v>35</v>
      </c>
      <c r="AW933">
        <v>6</v>
      </c>
      <c r="AX933" t="s">
        <v>74</v>
      </c>
      <c r="AY933" t="s">
        <v>74</v>
      </c>
      <c r="AZ933" t="s">
        <v>74</v>
      </c>
      <c r="BA933" t="s">
        <v>74</v>
      </c>
      <c r="BB933">
        <v>851</v>
      </c>
      <c r="BC933">
        <v>865</v>
      </c>
      <c r="BD933" t="s">
        <v>74</v>
      </c>
      <c r="BE933" t="s">
        <v>17260</v>
      </c>
      <c r="BF933" t="str">
        <f>HYPERLINK("http://dx.doi.org/10.1007/s00300-011-1130-y","http://dx.doi.org/10.1007/s00300-011-1130-y")</f>
        <v>http://dx.doi.org/10.1007/s00300-011-1130-y</v>
      </c>
      <c r="BG933" t="s">
        <v>74</v>
      </c>
      <c r="BH933" t="s">
        <v>74</v>
      </c>
      <c r="BI933">
        <v>15</v>
      </c>
      <c r="BJ933" t="s">
        <v>1879</v>
      </c>
      <c r="BK933" t="s">
        <v>98</v>
      </c>
      <c r="BL933" t="s">
        <v>1880</v>
      </c>
      <c r="BM933" t="s">
        <v>17261</v>
      </c>
      <c r="BN933" t="s">
        <v>74</v>
      </c>
      <c r="BO933" t="s">
        <v>74</v>
      </c>
      <c r="BP933" t="s">
        <v>74</v>
      </c>
      <c r="BQ933" t="s">
        <v>74</v>
      </c>
      <c r="BR933" t="s">
        <v>101</v>
      </c>
      <c r="BS933" t="s">
        <v>17262</v>
      </c>
      <c r="BT933" t="str">
        <f>HYPERLINK("https%3A%2F%2Fwww.webofscience.com%2Fwos%2Fwoscc%2Ffull-record%2FWOS:000303356600004","View Full Record in Web of Science")</f>
        <v>View Full Record in Web of Science</v>
      </c>
    </row>
    <row r="934" spans="1:72" x14ac:dyDescent="0.15">
      <c r="A934" t="s">
        <v>72</v>
      </c>
      <c r="B934" t="s">
        <v>17263</v>
      </c>
      <c r="C934" t="s">
        <v>74</v>
      </c>
      <c r="D934" t="s">
        <v>74</v>
      </c>
      <c r="E934" t="s">
        <v>74</v>
      </c>
      <c r="F934" t="s">
        <v>17264</v>
      </c>
      <c r="G934" t="s">
        <v>74</v>
      </c>
      <c r="H934" t="s">
        <v>74</v>
      </c>
      <c r="I934" t="s">
        <v>17265</v>
      </c>
      <c r="J934" t="s">
        <v>1860</v>
      </c>
      <c r="K934" t="s">
        <v>74</v>
      </c>
      <c r="L934" t="s">
        <v>74</v>
      </c>
      <c r="M934" t="s">
        <v>78</v>
      </c>
      <c r="N934" t="s">
        <v>79</v>
      </c>
      <c r="O934" t="s">
        <v>74</v>
      </c>
      <c r="P934" t="s">
        <v>74</v>
      </c>
      <c r="Q934" t="s">
        <v>74</v>
      </c>
      <c r="R934" t="s">
        <v>74</v>
      </c>
      <c r="S934" t="s">
        <v>74</v>
      </c>
      <c r="T934" t="s">
        <v>17266</v>
      </c>
      <c r="U934" t="s">
        <v>17267</v>
      </c>
      <c r="V934" t="s">
        <v>17268</v>
      </c>
      <c r="W934" t="s">
        <v>17269</v>
      </c>
      <c r="X934" t="s">
        <v>17270</v>
      </c>
      <c r="Y934" t="s">
        <v>8840</v>
      </c>
      <c r="Z934" t="s">
        <v>17271</v>
      </c>
      <c r="AA934" t="s">
        <v>17272</v>
      </c>
      <c r="AB934" t="s">
        <v>17273</v>
      </c>
      <c r="AC934" t="s">
        <v>17274</v>
      </c>
      <c r="AD934" t="s">
        <v>17275</v>
      </c>
      <c r="AE934" t="s">
        <v>17276</v>
      </c>
      <c r="AF934" t="s">
        <v>74</v>
      </c>
      <c r="AG934">
        <v>83</v>
      </c>
      <c r="AH934">
        <v>9</v>
      </c>
      <c r="AI934">
        <v>10</v>
      </c>
      <c r="AJ934">
        <v>1</v>
      </c>
      <c r="AK934">
        <v>14</v>
      </c>
      <c r="AL934" t="s">
        <v>935</v>
      </c>
      <c r="AM934" t="s">
        <v>371</v>
      </c>
      <c r="AN934" t="s">
        <v>1873</v>
      </c>
      <c r="AO934" t="s">
        <v>1874</v>
      </c>
      <c r="AP934" t="s">
        <v>1875</v>
      </c>
      <c r="AQ934" t="s">
        <v>74</v>
      </c>
      <c r="AR934" t="s">
        <v>1876</v>
      </c>
      <c r="AS934" t="s">
        <v>1877</v>
      </c>
      <c r="AT934" t="s">
        <v>15365</v>
      </c>
      <c r="AU934">
        <v>2012</v>
      </c>
      <c r="AV934">
        <v>35</v>
      </c>
      <c r="AW934">
        <v>6</v>
      </c>
      <c r="AX934" t="s">
        <v>74</v>
      </c>
      <c r="AY934" t="s">
        <v>74</v>
      </c>
      <c r="AZ934" t="s">
        <v>74</v>
      </c>
      <c r="BA934" t="s">
        <v>74</v>
      </c>
      <c r="BB934">
        <v>919</v>
      </c>
      <c r="BC934">
        <v>929</v>
      </c>
      <c r="BD934" t="s">
        <v>74</v>
      </c>
      <c r="BE934" t="s">
        <v>17277</v>
      </c>
      <c r="BF934" t="str">
        <f>HYPERLINK("http://dx.doi.org/10.1007/s00300-011-1139-2","http://dx.doi.org/10.1007/s00300-011-1139-2")</f>
        <v>http://dx.doi.org/10.1007/s00300-011-1139-2</v>
      </c>
      <c r="BG934" t="s">
        <v>74</v>
      </c>
      <c r="BH934" t="s">
        <v>74</v>
      </c>
      <c r="BI934">
        <v>11</v>
      </c>
      <c r="BJ934" t="s">
        <v>1879</v>
      </c>
      <c r="BK934" t="s">
        <v>98</v>
      </c>
      <c r="BL934" t="s">
        <v>1880</v>
      </c>
      <c r="BM934" t="s">
        <v>17261</v>
      </c>
      <c r="BN934" t="s">
        <v>74</v>
      </c>
      <c r="BO934" t="s">
        <v>74</v>
      </c>
      <c r="BP934" t="s">
        <v>74</v>
      </c>
      <c r="BQ934" t="s">
        <v>74</v>
      </c>
      <c r="BR934" t="s">
        <v>101</v>
      </c>
      <c r="BS934" t="s">
        <v>17278</v>
      </c>
      <c r="BT934" t="str">
        <f>HYPERLINK("https%3A%2F%2Fwww.webofscience.com%2Fwos%2Fwoscc%2Ffull-record%2FWOS:000303356600010","View Full Record in Web of Science")</f>
        <v>View Full Record in Web of Science</v>
      </c>
    </row>
    <row r="935" spans="1:72" x14ac:dyDescent="0.15">
      <c r="A935" t="s">
        <v>72</v>
      </c>
      <c r="B935" t="s">
        <v>17279</v>
      </c>
      <c r="C935" t="s">
        <v>74</v>
      </c>
      <c r="D935" t="s">
        <v>74</v>
      </c>
      <c r="E935" t="s">
        <v>74</v>
      </c>
      <c r="F935" t="s">
        <v>17280</v>
      </c>
      <c r="G935" t="s">
        <v>74</v>
      </c>
      <c r="H935" t="s">
        <v>74</v>
      </c>
      <c r="I935" t="s">
        <v>17281</v>
      </c>
      <c r="J935" t="s">
        <v>12121</v>
      </c>
      <c r="K935" t="s">
        <v>74</v>
      </c>
      <c r="L935" t="s">
        <v>74</v>
      </c>
      <c r="M935" t="s">
        <v>78</v>
      </c>
      <c r="N935" t="s">
        <v>79</v>
      </c>
      <c r="O935" t="s">
        <v>74</v>
      </c>
      <c r="P935" t="s">
        <v>74</v>
      </c>
      <c r="Q935" t="s">
        <v>74</v>
      </c>
      <c r="R935" t="s">
        <v>74</v>
      </c>
      <c r="S935" t="s">
        <v>74</v>
      </c>
      <c r="T935" t="s">
        <v>17282</v>
      </c>
      <c r="U935" t="s">
        <v>17283</v>
      </c>
      <c r="V935" t="s">
        <v>17284</v>
      </c>
      <c r="W935" t="s">
        <v>17285</v>
      </c>
      <c r="X935" t="s">
        <v>17286</v>
      </c>
      <c r="Y935" t="s">
        <v>17287</v>
      </c>
      <c r="Z935" t="s">
        <v>17288</v>
      </c>
      <c r="AA935" t="s">
        <v>17289</v>
      </c>
      <c r="AB935" t="s">
        <v>17290</v>
      </c>
      <c r="AC935" t="s">
        <v>17291</v>
      </c>
      <c r="AD935" t="s">
        <v>17292</v>
      </c>
      <c r="AE935" t="s">
        <v>17293</v>
      </c>
      <c r="AF935" t="s">
        <v>74</v>
      </c>
      <c r="AG935">
        <v>110</v>
      </c>
      <c r="AH935">
        <v>31</v>
      </c>
      <c r="AI935">
        <v>36</v>
      </c>
      <c r="AJ935">
        <v>0</v>
      </c>
      <c r="AK935">
        <v>28</v>
      </c>
      <c r="AL935" t="s">
        <v>188</v>
      </c>
      <c r="AM935" t="s">
        <v>189</v>
      </c>
      <c r="AN935" t="s">
        <v>190</v>
      </c>
      <c r="AO935" t="s">
        <v>12134</v>
      </c>
      <c r="AP935" t="s">
        <v>12135</v>
      </c>
      <c r="AQ935" t="s">
        <v>74</v>
      </c>
      <c r="AR935" t="s">
        <v>12136</v>
      </c>
      <c r="AS935" t="s">
        <v>12137</v>
      </c>
      <c r="AT935" t="s">
        <v>15365</v>
      </c>
      <c r="AU935">
        <v>2012</v>
      </c>
      <c r="AV935">
        <v>206</v>
      </c>
      <c r="AW935" t="s">
        <v>74</v>
      </c>
      <c r="AX935" t="s">
        <v>74</v>
      </c>
      <c r="AY935" t="s">
        <v>74</v>
      </c>
      <c r="AZ935" t="s">
        <v>74</v>
      </c>
      <c r="BA935" t="s">
        <v>74</v>
      </c>
      <c r="BB935">
        <v>52</v>
      </c>
      <c r="BC935">
        <v>71</v>
      </c>
      <c r="BD935" t="s">
        <v>74</v>
      </c>
      <c r="BE935" t="s">
        <v>17294</v>
      </c>
      <c r="BF935" t="str">
        <f>HYPERLINK("http://dx.doi.org/10.1016/j.precamres.2012.02.019","http://dx.doi.org/10.1016/j.precamres.2012.02.019")</f>
        <v>http://dx.doi.org/10.1016/j.precamres.2012.02.019</v>
      </c>
      <c r="BG935" t="s">
        <v>74</v>
      </c>
      <c r="BH935" t="s">
        <v>74</v>
      </c>
      <c r="BI935">
        <v>20</v>
      </c>
      <c r="BJ935" t="s">
        <v>461</v>
      </c>
      <c r="BK935" t="s">
        <v>98</v>
      </c>
      <c r="BL935" t="s">
        <v>462</v>
      </c>
      <c r="BM935" t="s">
        <v>15886</v>
      </c>
      <c r="BN935" t="s">
        <v>74</v>
      </c>
      <c r="BO935" t="s">
        <v>74</v>
      </c>
      <c r="BP935" t="s">
        <v>74</v>
      </c>
      <c r="BQ935" t="s">
        <v>74</v>
      </c>
      <c r="BR935" t="s">
        <v>101</v>
      </c>
      <c r="BS935" t="s">
        <v>17295</v>
      </c>
      <c r="BT935" t="str">
        <f>HYPERLINK("https%3A%2F%2Fwww.webofscience.com%2Fwos%2Fwoscc%2Ffull-record%2FWOS:000304796600004","View Full Record in Web of Science")</f>
        <v>View Full Record in Web of Science</v>
      </c>
    </row>
    <row r="936" spans="1:72" x14ac:dyDescent="0.15">
      <c r="A936" t="s">
        <v>72</v>
      </c>
      <c r="B936" t="s">
        <v>17296</v>
      </c>
      <c r="C936" t="s">
        <v>74</v>
      </c>
      <c r="D936" t="s">
        <v>74</v>
      </c>
      <c r="E936" t="s">
        <v>74</v>
      </c>
      <c r="F936" t="s">
        <v>17297</v>
      </c>
      <c r="G936" t="s">
        <v>74</v>
      </c>
      <c r="H936" t="s">
        <v>74</v>
      </c>
      <c r="I936" t="s">
        <v>17298</v>
      </c>
      <c r="J936" t="s">
        <v>17299</v>
      </c>
      <c r="K936" t="s">
        <v>74</v>
      </c>
      <c r="L936" t="s">
        <v>74</v>
      </c>
      <c r="M936" t="s">
        <v>78</v>
      </c>
      <c r="N936" t="s">
        <v>79</v>
      </c>
      <c r="O936" t="s">
        <v>74</v>
      </c>
      <c r="P936" t="s">
        <v>74</v>
      </c>
      <c r="Q936" t="s">
        <v>74</v>
      </c>
      <c r="R936" t="s">
        <v>74</v>
      </c>
      <c r="S936" t="s">
        <v>74</v>
      </c>
      <c r="T936" t="s">
        <v>74</v>
      </c>
      <c r="U936" t="s">
        <v>17300</v>
      </c>
      <c r="V936" t="s">
        <v>17301</v>
      </c>
      <c r="W936" t="s">
        <v>17302</v>
      </c>
      <c r="X936" t="s">
        <v>17303</v>
      </c>
      <c r="Y936" t="s">
        <v>17304</v>
      </c>
      <c r="Z936" t="s">
        <v>17305</v>
      </c>
      <c r="AA936" t="s">
        <v>17306</v>
      </c>
      <c r="AB936" t="s">
        <v>17307</v>
      </c>
      <c r="AC936" t="s">
        <v>17308</v>
      </c>
      <c r="AD936" t="s">
        <v>17309</v>
      </c>
      <c r="AE936" t="s">
        <v>17310</v>
      </c>
      <c r="AF936" t="s">
        <v>74</v>
      </c>
      <c r="AG936">
        <v>62</v>
      </c>
      <c r="AH936">
        <v>16</v>
      </c>
      <c r="AI936">
        <v>18</v>
      </c>
      <c r="AJ936">
        <v>0</v>
      </c>
      <c r="AK936">
        <v>17</v>
      </c>
      <c r="AL936" t="s">
        <v>11343</v>
      </c>
      <c r="AM936" t="s">
        <v>4123</v>
      </c>
      <c r="AN936" t="s">
        <v>4124</v>
      </c>
      <c r="AO936" t="s">
        <v>17311</v>
      </c>
      <c r="AP936" t="s">
        <v>17312</v>
      </c>
      <c r="AQ936" t="s">
        <v>74</v>
      </c>
      <c r="AR936" t="s">
        <v>17313</v>
      </c>
      <c r="AS936" t="s">
        <v>17314</v>
      </c>
      <c r="AT936" t="s">
        <v>15365</v>
      </c>
      <c r="AU936">
        <v>2012</v>
      </c>
      <c r="AV936">
        <v>124</v>
      </c>
      <c r="AW936">
        <v>916</v>
      </c>
      <c r="AX936" t="s">
        <v>74</v>
      </c>
      <c r="AY936" t="s">
        <v>74</v>
      </c>
      <c r="AZ936" t="s">
        <v>74</v>
      </c>
      <c r="BA936" t="s">
        <v>74</v>
      </c>
      <c r="BB936">
        <v>637</v>
      </c>
      <c r="BC936">
        <v>649</v>
      </c>
      <c r="BD936" t="s">
        <v>74</v>
      </c>
      <c r="BE936" t="s">
        <v>17315</v>
      </c>
      <c r="BF936" t="str">
        <f>HYPERLINK("http://dx.doi.org/10.1086/666861","http://dx.doi.org/10.1086/666861")</f>
        <v>http://dx.doi.org/10.1086/666861</v>
      </c>
      <c r="BG936" t="s">
        <v>74</v>
      </c>
      <c r="BH936" t="s">
        <v>74</v>
      </c>
      <c r="BI936">
        <v>13</v>
      </c>
      <c r="BJ936" t="s">
        <v>127</v>
      </c>
      <c r="BK936" t="s">
        <v>98</v>
      </c>
      <c r="BL936" t="s">
        <v>127</v>
      </c>
      <c r="BM936" t="s">
        <v>17316</v>
      </c>
      <c r="BN936" t="s">
        <v>74</v>
      </c>
      <c r="BO936" t="s">
        <v>5147</v>
      </c>
      <c r="BP936" t="s">
        <v>74</v>
      </c>
      <c r="BQ936" t="s">
        <v>74</v>
      </c>
      <c r="BR936" t="s">
        <v>101</v>
      </c>
      <c r="BS936" t="s">
        <v>17317</v>
      </c>
      <c r="BT936" t="str">
        <f>HYPERLINK("https%3A%2F%2Fwww.webofscience.com%2Fwos%2Fwoscc%2Ffull-record%2FWOS:000305839900013","View Full Record in Web of Science")</f>
        <v>View Full Record in Web of Science</v>
      </c>
    </row>
    <row r="937" spans="1:72" x14ac:dyDescent="0.15">
      <c r="A937" t="s">
        <v>72</v>
      </c>
      <c r="B937" t="s">
        <v>17318</v>
      </c>
      <c r="C937" t="s">
        <v>74</v>
      </c>
      <c r="D937" t="s">
        <v>74</v>
      </c>
      <c r="E937" t="s">
        <v>74</v>
      </c>
      <c r="F937" t="s">
        <v>17319</v>
      </c>
      <c r="G937" t="s">
        <v>74</v>
      </c>
      <c r="H937" t="s">
        <v>74</v>
      </c>
      <c r="I937" t="s">
        <v>17320</v>
      </c>
      <c r="J937" t="s">
        <v>17321</v>
      </c>
      <c r="K937" t="s">
        <v>74</v>
      </c>
      <c r="L937" t="s">
        <v>74</v>
      </c>
      <c r="M937" t="s">
        <v>78</v>
      </c>
      <c r="N937" t="s">
        <v>79</v>
      </c>
      <c r="O937" t="s">
        <v>74</v>
      </c>
      <c r="P937" t="s">
        <v>74</v>
      </c>
      <c r="Q937" t="s">
        <v>74</v>
      </c>
      <c r="R937" t="s">
        <v>74</v>
      </c>
      <c r="S937" t="s">
        <v>74</v>
      </c>
      <c r="T937" t="s">
        <v>74</v>
      </c>
      <c r="U937" t="s">
        <v>17322</v>
      </c>
      <c r="V937" t="s">
        <v>17323</v>
      </c>
      <c r="W937" t="s">
        <v>17324</v>
      </c>
      <c r="X937" t="s">
        <v>17325</v>
      </c>
      <c r="Y937" t="s">
        <v>17326</v>
      </c>
      <c r="Z937" t="s">
        <v>17327</v>
      </c>
      <c r="AA937" t="s">
        <v>17328</v>
      </c>
      <c r="AB937" t="s">
        <v>17329</v>
      </c>
      <c r="AC937" t="s">
        <v>17330</v>
      </c>
      <c r="AD937" t="s">
        <v>17331</v>
      </c>
      <c r="AE937" t="s">
        <v>17332</v>
      </c>
      <c r="AF937" t="s">
        <v>74</v>
      </c>
      <c r="AG937">
        <v>22</v>
      </c>
      <c r="AH937">
        <v>0</v>
      </c>
      <c r="AI937">
        <v>2</v>
      </c>
      <c r="AJ937">
        <v>0</v>
      </c>
      <c r="AK937">
        <v>7</v>
      </c>
      <c r="AL937" t="s">
        <v>935</v>
      </c>
      <c r="AM937" t="s">
        <v>371</v>
      </c>
      <c r="AN937" t="s">
        <v>936</v>
      </c>
      <c r="AO937" t="s">
        <v>17333</v>
      </c>
      <c r="AP937" t="s">
        <v>17334</v>
      </c>
      <c r="AQ937" t="s">
        <v>74</v>
      </c>
      <c r="AR937" t="s">
        <v>17335</v>
      </c>
      <c r="AS937" t="s">
        <v>17336</v>
      </c>
      <c r="AT937" t="s">
        <v>15365</v>
      </c>
      <c r="AU937">
        <v>2012</v>
      </c>
      <c r="AV937">
        <v>55</v>
      </c>
      <c r="AW937" t="s">
        <v>13577</v>
      </c>
      <c r="AX937" t="s">
        <v>74</v>
      </c>
      <c r="AY937" t="s">
        <v>74</v>
      </c>
      <c r="AZ937" t="s">
        <v>74</v>
      </c>
      <c r="BA937" t="s">
        <v>74</v>
      </c>
      <c r="BB937">
        <v>126</v>
      </c>
      <c r="BC937">
        <v>141</v>
      </c>
      <c r="BD937" t="s">
        <v>74</v>
      </c>
      <c r="BE937" t="s">
        <v>17337</v>
      </c>
      <c r="BF937" t="str">
        <f>HYPERLINK("http://dx.doi.org/10.1007/s11141-012-9353-5","http://dx.doi.org/10.1007/s11141-012-9353-5")</f>
        <v>http://dx.doi.org/10.1007/s11141-012-9353-5</v>
      </c>
      <c r="BG937" t="s">
        <v>74</v>
      </c>
      <c r="BH937" t="s">
        <v>74</v>
      </c>
      <c r="BI937">
        <v>16</v>
      </c>
      <c r="BJ937" t="s">
        <v>17338</v>
      </c>
      <c r="BK937" t="s">
        <v>98</v>
      </c>
      <c r="BL937" t="s">
        <v>17339</v>
      </c>
      <c r="BM937" t="s">
        <v>17340</v>
      </c>
      <c r="BN937" t="s">
        <v>74</v>
      </c>
      <c r="BO937" t="s">
        <v>74</v>
      </c>
      <c r="BP937" t="s">
        <v>74</v>
      </c>
      <c r="BQ937" t="s">
        <v>74</v>
      </c>
      <c r="BR937" t="s">
        <v>101</v>
      </c>
      <c r="BS937" t="s">
        <v>17341</v>
      </c>
      <c r="BT937" t="str">
        <f>HYPERLINK("https%3A%2F%2Fwww.webofscience.com%2Fwos%2Fwoscc%2Ffull-record%2FWOS:000307279300010","View Full Record in Web of Science")</f>
        <v>View Full Record in Web of Science</v>
      </c>
    </row>
    <row r="938" spans="1:72" x14ac:dyDescent="0.15">
      <c r="A938" t="s">
        <v>72</v>
      </c>
      <c r="B938" t="s">
        <v>17342</v>
      </c>
      <c r="C938" t="s">
        <v>74</v>
      </c>
      <c r="D938" t="s">
        <v>74</v>
      </c>
      <c r="E938" t="s">
        <v>74</v>
      </c>
      <c r="F938" t="s">
        <v>17343</v>
      </c>
      <c r="G938" t="s">
        <v>74</v>
      </c>
      <c r="H938" t="s">
        <v>74</v>
      </c>
      <c r="I938" t="s">
        <v>17344</v>
      </c>
      <c r="J938" t="s">
        <v>3007</v>
      </c>
      <c r="K938" t="s">
        <v>74</v>
      </c>
      <c r="L938" t="s">
        <v>74</v>
      </c>
      <c r="M938" t="s">
        <v>78</v>
      </c>
      <c r="N938" t="s">
        <v>79</v>
      </c>
      <c r="O938" t="s">
        <v>74</v>
      </c>
      <c r="P938" t="s">
        <v>74</v>
      </c>
      <c r="Q938" t="s">
        <v>74</v>
      </c>
      <c r="R938" t="s">
        <v>74</v>
      </c>
      <c r="S938" t="s">
        <v>74</v>
      </c>
      <c r="T938" t="s">
        <v>17345</v>
      </c>
      <c r="U938" t="s">
        <v>17346</v>
      </c>
      <c r="V938" t="s">
        <v>17347</v>
      </c>
      <c r="W938" t="s">
        <v>17348</v>
      </c>
      <c r="X938" t="s">
        <v>3103</v>
      </c>
      <c r="Y938" t="s">
        <v>17349</v>
      </c>
      <c r="Z938" t="s">
        <v>17350</v>
      </c>
      <c r="AA938" t="s">
        <v>17351</v>
      </c>
      <c r="AB938" t="s">
        <v>17352</v>
      </c>
      <c r="AC938" t="s">
        <v>17353</v>
      </c>
      <c r="AD938" t="s">
        <v>17353</v>
      </c>
      <c r="AE938" t="s">
        <v>17354</v>
      </c>
      <c r="AF938" t="s">
        <v>74</v>
      </c>
      <c r="AG938">
        <v>48</v>
      </c>
      <c r="AH938">
        <v>457</v>
      </c>
      <c r="AI938">
        <v>538</v>
      </c>
      <c r="AJ938">
        <v>14</v>
      </c>
      <c r="AK938">
        <v>328</v>
      </c>
      <c r="AL938" t="s">
        <v>3018</v>
      </c>
      <c r="AM938" t="s">
        <v>3019</v>
      </c>
      <c r="AN938" t="s">
        <v>3020</v>
      </c>
      <c r="AO938" t="s">
        <v>74</v>
      </c>
      <c r="AP938" t="s">
        <v>3021</v>
      </c>
      <c r="AQ938" t="s">
        <v>74</v>
      </c>
      <c r="AR938" t="s">
        <v>3022</v>
      </c>
      <c r="AS938" t="s">
        <v>3023</v>
      </c>
      <c r="AT938" t="s">
        <v>15365</v>
      </c>
      <c r="AU938">
        <v>2012</v>
      </c>
      <c r="AV938">
        <v>4</v>
      </c>
      <c r="AW938">
        <v>6</v>
      </c>
      <c r="AX938" t="s">
        <v>74</v>
      </c>
      <c r="AY938" t="s">
        <v>74</v>
      </c>
      <c r="AZ938" t="s">
        <v>74</v>
      </c>
      <c r="BA938" t="s">
        <v>74</v>
      </c>
      <c r="BB938">
        <v>1519</v>
      </c>
      <c r="BC938">
        <v>1543</v>
      </c>
      <c r="BD938" t="s">
        <v>74</v>
      </c>
      <c r="BE938" t="s">
        <v>17355</v>
      </c>
      <c r="BF938" t="str">
        <f>HYPERLINK("http://dx.doi.org/10.3390/rs4061519","http://dx.doi.org/10.3390/rs4061519")</f>
        <v>http://dx.doi.org/10.3390/rs4061519</v>
      </c>
      <c r="BG938" t="s">
        <v>74</v>
      </c>
      <c r="BH938" t="s">
        <v>74</v>
      </c>
      <c r="BI938">
        <v>25</v>
      </c>
      <c r="BJ938" t="s">
        <v>3025</v>
      </c>
      <c r="BK938" t="s">
        <v>98</v>
      </c>
      <c r="BL938" t="s">
        <v>3026</v>
      </c>
      <c r="BM938" t="s">
        <v>17356</v>
      </c>
      <c r="BN938" t="s">
        <v>74</v>
      </c>
      <c r="BO938" t="s">
        <v>17357</v>
      </c>
      <c r="BP938" t="s">
        <v>74</v>
      </c>
      <c r="BQ938" t="s">
        <v>74</v>
      </c>
      <c r="BR938" t="s">
        <v>101</v>
      </c>
      <c r="BS938" t="s">
        <v>17358</v>
      </c>
      <c r="BT938" t="str">
        <f>HYPERLINK("https%3A%2F%2Fwww.webofscience.com%2Fwos%2Fwoscc%2Ffull-record%2FWOS:000306759100002","View Full Record in Web of Science")</f>
        <v>View Full Record in Web of Science</v>
      </c>
    </row>
    <row r="939" spans="1:72" x14ac:dyDescent="0.15">
      <c r="A939" t="s">
        <v>72</v>
      </c>
      <c r="B939" t="s">
        <v>17359</v>
      </c>
      <c r="C939" t="s">
        <v>74</v>
      </c>
      <c r="D939" t="s">
        <v>74</v>
      </c>
      <c r="E939" t="s">
        <v>74</v>
      </c>
      <c r="F939" t="s">
        <v>17360</v>
      </c>
      <c r="G939" t="s">
        <v>74</v>
      </c>
      <c r="H939" t="s">
        <v>74</v>
      </c>
      <c r="I939" t="s">
        <v>17361</v>
      </c>
      <c r="J939" t="s">
        <v>17362</v>
      </c>
      <c r="K939" t="s">
        <v>74</v>
      </c>
      <c r="L939" t="s">
        <v>74</v>
      </c>
      <c r="M939" t="s">
        <v>6082</v>
      </c>
      <c r="N939" t="s">
        <v>79</v>
      </c>
      <c r="O939" t="s">
        <v>74</v>
      </c>
      <c r="P939" t="s">
        <v>74</v>
      </c>
      <c r="Q939" t="s">
        <v>74</v>
      </c>
      <c r="R939" t="s">
        <v>74</v>
      </c>
      <c r="S939" t="s">
        <v>74</v>
      </c>
      <c r="T939" t="s">
        <v>17363</v>
      </c>
      <c r="U939" t="s">
        <v>74</v>
      </c>
      <c r="V939" t="s">
        <v>17364</v>
      </c>
      <c r="W939" t="s">
        <v>17365</v>
      </c>
      <c r="X939" t="s">
        <v>17366</v>
      </c>
      <c r="Y939" t="s">
        <v>17367</v>
      </c>
      <c r="Z939" t="s">
        <v>17368</v>
      </c>
      <c r="AA939" t="s">
        <v>74</v>
      </c>
      <c r="AB939" t="s">
        <v>74</v>
      </c>
      <c r="AC939" t="s">
        <v>74</v>
      </c>
      <c r="AD939" t="s">
        <v>74</v>
      </c>
      <c r="AE939" t="s">
        <v>74</v>
      </c>
      <c r="AF939" t="s">
        <v>74</v>
      </c>
      <c r="AG939">
        <v>46</v>
      </c>
      <c r="AH939">
        <v>0</v>
      </c>
      <c r="AI939">
        <v>0</v>
      </c>
      <c r="AJ939">
        <v>0</v>
      </c>
      <c r="AK939">
        <v>0</v>
      </c>
      <c r="AL939" t="s">
        <v>17369</v>
      </c>
      <c r="AM939" t="s">
        <v>9201</v>
      </c>
      <c r="AN939" t="s">
        <v>17370</v>
      </c>
      <c r="AO939" t="s">
        <v>17371</v>
      </c>
      <c r="AP939" t="s">
        <v>74</v>
      </c>
      <c r="AQ939" t="s">
        <v>74</v>
      </c>
      <c r="AR939" t="s">
        <v>17372</v>
      </c>
      <c r="AS939" t="s">
        <v>17373</v>
      </c>
      <c r="AT939" t="s">
        <v>15365</v>
      </c>
      <c r="AU939">
        <v>2012</v>
      </c>
      <c r="AV939" t="s">
        <v>74</v>
      </c>
      <c r="AW939">
        <v>23</v>
      </c>
      <c r="AX939" t="s">
        <v>74</v>
      </c>
      <c r="AY939" t="s">
        <v>74</v>
      </c>
      <c r="AZ939" t="s">
        <v>74</v>
      </c>
      <c r="BA939" t="s">
        <v>74</v>
      </c>
      <c r="BB939" t="s">
        <v>74</v>
      </c>
      <c r="BC939" t="s">
        <v>74</v>
      </c>
      <c r="BD939" t="s">
        <v>74</v>
      </c>
      <c r="BE939" t="s">
        <v>74</v>
      </c>
      <c r="BF939" t="s">
        <v>74</v>
      </c>
      <c r="BG939" t="s">
        <v>74</v>
      </c>
      <c r="BH939" t="s">
        <v>74</v>
      </c>
      <c r="BI939">
        <v>25</v>
      </c>
      <c r="BJ939" t="s">
        <v>17374</v>
      </c>
      <c r="BK939" t="s">
        <v>2920</v>
      </c>
      <c r="BL939" t="s">
        <v>17375</v>
      </c>
      <c r="BM939" t="s">
        <v>17376</v>
      </c>
      <c r="BN939" t="s">
        <v>74</v>
      </c>
      <c r="BO939" t="s">
        <v>74</v>
      </c>
      <c r="BP939" t="s">
        <v>74</v>
      </c>
      <c r="BQ939" t="s">
        <v>74</v>
      </c>
      <c r="BR939" t="s">
        <v>101</v>
      </c>
      <c r="BS939" t="s">
        <v>17377</v>
      </c>
      <c r="BT939" t="str">
        <f>HYPERLINK("https%3A%2F%2Fwww.webofscience.com%2Fwos%2Fwoscc%2Ffull-record%2FWOS:000219802300003","View Full Record in Web of Science")</f>
        <v>View Full Record in Web of Science</v>
      </c>
    </row>
    <row r="940" spans="1:72" x14ac:dyDescent="0.15">
      <c r="A940" t="s">
        <v>72</v>
      </c>
      <c r="B940" t="s">
        <v>17378</v>
      </c>
      <c r="C940" t="s">
        <v>74</v>
      </c>
      <c r="D940" t="s">
        <v>74</v>
      </c>
      <c r="E940" t="s">
        <v>74</v>
      </c>
      <c r="F940" t="s">
        <v>17379</v>
      </c>
      <c r="G940" t="s">
        <v>74</v>
      </c>
      <c r="H940" t="s">
        <v>74</v>
      </c>
      <c r="I940" t="s">
        <v>17380</v>
      </c>
      <c r="J940" t="s">
        <v>9187</v>
      </c>
      <c r="K940" t="s">
        <v>74</v>
      </c>
      <c r="L940" t="s">
        <v>74</v>
      </c>
      <c r="M940" t="s">
        <v>78</v>
      </c>
      <c r="N940" t="s">
        <v>79</v>
      </c>
      <c r="O940" t="s">
        <v>74</v>
      </c>
      <c r="P940" t="s">
        <v>74</v>
      </c>
      <c r="Q940" t="s">
        <v>74</v>
      </c>
      <c r="R940" t="s">
        <v>74</v>
      </c>
      <c r="S940" t="s">
        <v>74</v>
      </c>
      <c r="T940" t="s">
        <v>17381</v>
      </c>
      <c r="U940" t="s">
        <v>17382</v>
      </c>
      <c r="V940" t="s">
        <v>17383</v>
      </c>
      <c r="W940" t="s">
        <v>17384</v>
      </c>
      <c r="X940" t="s">
        <v>17385</v>
      </c>
      <c r="Y940" t="s">
        <v>17386</v>
      </c>
      <c r="Z940" t="s">
        <v>17387</v>
      </c>
      <c r="AA940" t="s">
        <v>17388</v>
      </c>
      <c r="AB940" t="s">
        <v>17389</v>
      </c>
      <c r="AC940" t="s">
        <v>17390</v>
      </c>
      <c r="AD940" t="s">
        <v>17391</v>
      </c>
      <c r="AE940" t="s">
        <v>17392</v>
      </c>
      <c r="AF940" t="s">
        <v>74</v>
      </c>
      <c r="AG940">
        <v>49</v>
      </c>
      <c r="AH940">
        <v>15</v>
      </c>
      <c r="AI940">
        <v>18</v>
      </c>
      <c r="AJ940">
        <v>1</v>
      </c>
      <c r="AK940">
        <v>56</v>
      </c>
      <c r="AL940" t="s">
        <v>9200</v>
      </c>
      <c r="AM940" t="s">
        <v>9201</v>
      </c>
      <c r="AN940" t="s">
        <v>9202</v>
      </c>
      <c r="AO940" t="s">
        <v>9203</v>
      </c>
      <c r="AP940" t="s">
        <v>9204</v>
      </c>
      <c r="AQ940" t="s">
        <v>74</v>
      </c>
      <c r="AR940" t="s">
        <v>9205</v>
      </c>
      <c r="AS940" t="s">
        <v>9206</v>
      </c>
      <c r="AT940" t="s">
        <v>15365</v>
      </c>
      <c r="AU940">
        <v>2012</v>
      </c>
      <c r="AV940">
        <v>76</v>
      </c>
      <c r="AW940">
        <v>2</v>
      </c>
      <c r="AX940" t="s">
        <v>74</v>
      </c>
      <c r="AY940" t="s">
        <v>74</v>
      </c>
      <c r="AZ940" t="s">
        <v>74</v>
      </c>
      <c r="BA940" t="s">
        <v>74</v>
      </c>
      <c r="BB940">
        <v>301</v>
      </c>
      <c r="BC940">
        <v>310</v>
      </c>
      <c r="BD940" t="s">
        <v>74</v>
      </c>
      <c r="BE940" t="s">
        <v>17393</v>
      </c>
      <c r="BF940" t="str">
        <f>HYPERLINK("http://dx.doi.org/10.3989/scimar.03540.07B","http://dx.doi.org/10.3989/scimar.03540.07B")</f>
        <v>http://dx.doi.org/10.3989/scimar.03540.07B</v>
      </c>
      <c r="BG940" t="s">
        <v>74</v>
      </c>
      <c r="BH940" t="s">
        <v>74</v>
      </c>
      <c r="BI940">
        <v>10</v>
      </c>
      <c r="BJ940" t="s">
        <v>1753</v>
      </c>
      <c r="BK940" t="s">
        <v>98</v>
      </c>
      <c r="BL940" t="s">
        <v>1753</v>
      </c>
      <c r="BM940" t="s">
        <v>17394</v>
      </c>
      <c r="BN940" t="s">
        <v>74</v>
      </c>
      <c r="BO940" t="s">
        <v>998</v>
      </c>
      <c r="BP940" t="s">
        <v>74</v>
      </c>
      <c r="BQ940" t="s">
        <v>74</v>
      </c>
      <c r="BR940" t="s">
        <v>101</v>
      </c>
      <c r="BS940" t="s">
        <v>17395</v>
      </c>
      <c r="BT940" t="str">
        <f>HYPERLINK("https%3A%2F%2Fwww.webofscience.com%2Fwos%2Fwoscc%2Ffull-record%2FWOS:000305344200011","View Full Record in Web of Science")</f>
        <v>View Full Record in Web of Science</v>
      </c>
    </row>
    <row r="941" spans="1:72" x14ac:dyDescent="0.15">
      <c r="A941" t="s">
        <v>72</v>
      </c>
      <c r="B941" t="s">
        <v>17396</v>
      </c>
      <c r="C941" t="s">
        <v>74</v>
      </c>
      <c r="D941" t="s">
        <v>74</v>
      </c>
      <c r="E941" t="s">
        <v>74</v>
      </c>
      <c r="F941" t="s">
        <v>17397</v>
      </c>
      <c r="G941" t="s">
        <v>74</v>
      </c>
      <c r="H941" t="s">
        <v>74</v>
      </c>
      <c r="I941" t="s">
        <v>17398</v>
      </c>
      <c r="J941" t="s">
        <v>17399</v>
      </c>
      <c r="K941" t="s">
        <v>74</v>
      </c>
      <c r="L941" t="s">
        <v>74</v>
      </c>
      <c r="M941" t="s">
        <v>78</v>
      </c>
      <c r="N941" t="s">
        <v>79</v>
      </c>
      <c r="O941" t="s">
        <v>74</v>
      </c>
      <c r="P941" t="s">
        <v>74</v>
      </c>
      <c r="Q941" t="s">
        <v>74</v>
      </c>
      <c r="R941" t="s">
        <v>74</v>
      </c>
      <c r="S941" t="s">
        <v>74</v>
      </c>
      <c r="T941" t="s">
        <v>74</v>
      </c>
      <c r="U941" t="s">
        <v>74</v>
      </c>
      <c r="V941" t="s">
        <v>17400</v>
      </c>
      <c r="W941" t="s">
        <v>17401</v>
      </c>
      <c r="X941" t="s">
        <v>856</v>
      </c>
      <c r="Y941" t="s">
        <v>17402</v>
      </c>
      <c r="Z941" t="s">
        <v>74</v>
      </c>
      <c r="AA941" t="s">
        <v>17403</v>
      </c>
      <c r="AB941" t="s">
        <v>17404</v>
      </c>
      <c r="AC941" t="s">
        <v>74</v>
      </c>
      <c r="AD941" t="s">
        <v>74</v>
      </c>
      <c r="AE941" t="s">
        <v>74</v>
      </c>
      <c r="AF941" t="s">
        <v>74</v>
      </c>
      <c r="AG941">
        <v>7</v>
      </c>
      <c r="AH941">
        <v>0</v>
      </c>
      <c r="AI941">
        <v>0</v>
      </c>
      <c r="AJ941">
        <v>0</v>
      </c>
      <c r="AK941">
        <v>0</v>
      </c>
      <c r="AL941" t="s">
        <v>17405</v>
      </c>
      <c r="AM941" t="s">
        <v>17406</v>
      </c>
      <c r="AN941" t="s">
        <v>17407</v>
      </c>
      <c r="AO941" t="s">
        <v>17408</v>
      </c>
      <c r="AP941" t="s">
        <v>17409</v>
      </c>
      <c r="AQ941" t="s">
        <v>74</v>
      </c>
      <c r="AR941" t="s">
        <v>17410</v>
      </c>
      <c r="AS941" t="s">
        <v>17411</v>
      </c>
      <c r="AT941" t="s">
        <v>15365</v>
      </c>
      <c r="AU941">
        <v>2012</v>
      </c>
      <c r="AV941">
        <v>6</v>
      </c>
      <c r="AW941">
        <v>2</v>
      </c>
      <c r="AX941" t="s">
        <v>74</v>
      </c>
      <c r="AY941" t="s">
        <v>74</v>
      </c>
      <c r="AZ941" t="s">
        <v>74</v>
      </c>
      <c r="BA941" t="s">
        <v>74</v>
      </c>
      <c r="BB941">
        <v>215</v>
      </c>
      <c r="BC941">
        <v>220</v>
      </c>
      <c r="BD941" t="s">
        <v>74</v>
      </c>
      <c r="BE941" t="s">
        <v>74</v>
      </c>
      <c r="BF941" t="s">
        <v>74</v>
      </c>
      <c r="BG941" t="s">
        <v>74</v>
      </c>
      <c r="BH941" t="s">
        <v>74</v>
      </c>
      <c r="BI941">
        <v>6</v>
      </c>
      <c r="BJ941" t="s">
        <v>17412</v>
      </c>
      <c r="BK941" t="s">
        <v>2920</v>
      </c>
      <c r="BL941" t="s">
        <v>17413</v>
      </c>
      <c r="BM941" t="s">
        <v>17414</v>
      </c>
      <c r="BN941" t="s">
        <v>74</v>
      </c>
      <c r="BO941" t="s">
        <v>74</v>
      </c>
      <c r="BP941" t="s">
        <v>74</v>
      </c>
      <c r="BQ941" t="s">
        <v>74</v>
      </c>
      <c r="BR941" t="s">
        <v>101</v>
      </c>
      <c r="BS941" t="s">
        <v>17415</v>
      </c>
      <c r="BT941" t="str">
        <f>HYPERLINK("https%3A%2F%2Fwww.webofscience.com%2Fwos%2Fwoscc%2Ffull-record%2FWOS:000437636000008","View Full Record in Web of Science")</f>
        <v>View Full Record in Web of Science</v>
      </c>
    </row>
    <row r="942" spans="1:72" x14ac:dyDescent="0.15">
      <c r="A942" t="s">
        <v>72</v>
      </c>
      <c r="B942" t="s">
        <v>17416</v>
      </c>
      <c r="C942" t="s">
        <v>74</v>
      </c>
      <c r="D942" t="s">
        <v>74</v>
      </c>
      <c r="E942" t="s">
        <v>74</v>
      </c>
      <c r="F942" t="s">
        <v>17417</v>
      </c>
      <c r="G942" t="s">
        <v>74</v>
      </c>
      <c r="H942" t="s">
        <v>74</v>
      </c>
      <c r="I942" t="s">
        <v>17418</v>
      </c>
      <c r="J942" t="s">
        <v>17419</v>
      </c>
      <c r="K942" t="s">
        <v>74</v>
      </c>
      <c r="L942" t="s">
        <v>74</v>
      </c>
      <c r="M942" t="s">
        <v>78</v>
      </c>
      <c r="N942" t="s">
        <v>79</v>
      </c>
      <c r="O942" t="s">
        <v>74</v>
      </c>
      <c r="P942" t="s">
        <v>74</v>
      </c>
      <c r="Q942" t="s">
        <v>74</v>
      </c>
      <c r="R942" t="s">
        <v>74</v>
      </c>
      <c r="S942" t="s">
        <v>74</v>
      </c>
      <c r="T942" t="s">
        <v>17420</v>
      </c>
      <c r="U942" t="s">
        <v>17421</v>
      </c>
      <c r="V942" t="s">
        <v>17422</v>
      </c>
      <c r="W942" t="s">
        <v>17423</v>
      </c>
      <c r="X942" t="s">
        <v>17424</v>
      </c>
      <c r="Y942" t="s">
        <v>17425</v>
      </c>
      <c r="Z942" t="s">
        <v>17426</v>
      </c>
      <c r="AA942" t="s">
        <v>74</v>
      </c>
      <c r="AB942" t="s">
        <v>74</v>
      </c>
      <c r="AC942" t="s">
        <v>17427</v>
      </c>
      <c r="AD942" t="s">
        <v>17428</v>
      </c>
      <c r="AE942" t="s">
        <v>17429</v>
      </c>
      <c r="AF942" t="s">
        <v>74</v>
      </c>
      <c r="AG942">
        <v>35</v>
      </c>
      <c r="AH942">
        <v>8</v>
      </c>
      <c r="AI942">
        <v>9</v>
      </c>
      <c r="AJ942">
        <v>1</v>
      </c>
      <c r="AK942">
        <v>23</v>
      </c>
      <c r="AL942" t="s">
        <v>17430</v>
      </c>
      <c r="AM942" t="s">
        <v>119</v>
      </c>
      <c r="AN942" t="s">
        <v>17431</v>
      </c>
      <c r="AO942" t="s">
        <v>17432</v>
      </c>
      <c r="AP942" t="s">
        <v>17433</v>
      </c>
      <c r="AQ942" t="s">
        <v>74</v>
      </c>
      <c r="AR942" t="s">
        <v>17419</v>
      </c>
      <c r="AS942" t="s">
        <v>17434</v>
      </c>
      <c r="AT942" t="s">
        <v>15365</v>
      </c>
      <c r="AU942">
        <v>2012</v>
      </c>
      <c r="AV942">
        <v>35</v>
      </c>
      <c r="AW942">
        <v>2</v>
      </c>
      <c r="AX942" t="s">
        <v>74</v>
      </c>
      <c r="AY942" t="s">
        <v>74</v>
      </c>
      <c r="AZ942" t="s">
        <v>74</v>
      </c>
      <c r="BA942" t="s">
        <v>74</v>
      </c>
      <c r="BB942">
        <v>248</v>
      </c>
      <c r="BC942">
        <v>259</v>
      </c>
      <c r="BD942" t="s">
        <v>74</v>
      </c>
      <c r="BE942" t="s">
        <v>17435</v>
      </c>
      <c r="BF942" t="str">
        <f>HYPERLINK("http://dx.doi.org/10.1675/063.035.0207","http://dx.doi.org/10.1675/063.035.0207")</f>
        <v>http://dx.doi.org/10.1675/063.035.0207</v>
      </c>
      <c r="BG942" t="s">
        <v>74</v>
      </c>
      <c r="BH942" t="s">
        <v>74</v>
      </c>
      <c r="BI942">
        <v>12</v>
      </c>
      <c r="BJ942" t="s">
        <v>12988</v>
      </c>
      <c r="BK942" t="s">
        <v>98</v>
      </c>
      <c r="BL942" t="s">
        <v>675</v>
      </c>
      <c r="BM942" t="s">
        <v>17436</v>
      </c>
      <c r="BN942" t="s">
        <v>74</v>
      </c>
      <c r="BO942" t="s">
        <v>607</v>
      </c>
      <c r="BP942" t="s">
        <v>74</v>
      </c>
      <c r="BQ942" t="s">
        <v>74</v>
      </c>
      <c r="BR942" t="s">
        <v>101</v>
      </c>
      <c r="BS942" t="s">
        <v>17437</v>
      </c>
      <c r="BT942" t="str">
        <f>HYPERLINK("https%3A%2F%2Fwww.webofscience.com%2Fwos%2Fwoscc%2Ffull-record%2FWOS:000308785900007","View Full Record in Web of Science")</f>
        <v>View Full Record in Web of Science</v>
      </c>
    </row>
    <row r="943" spans="1:72" x14ac:dyDescent="0.15">
      <c r="A943" t="s">
        <v>72</v>
      </c>
      <c r="B943" t="s">
        <v>17438</v>
      </c>
      <c r="C943" t="s">
        <v>74</v>
      </c>
      <c r="D943" t="s">
        <v>74</v>
      </c>
      <c r="E943" t="s">
        <v>74</v>
      </c>
      <c r="F943" t="s">
        <v>17439</v>
      </c>
      <c r="G943" t="s">
        <v>74</v>
      </c>
      <c r="H943" t="s">
        <v>74</v>
      </c>
      <c r="I943" t="s">
        <v>17440</v>
      </c>
      <c r="J943" t="s">
        <v>17441</v>
      </c>
      <c r="K943" t="s">
        <v>74</v>
      </c>
      <c r="L943" t="s">
        <v>74</v>
      </c>
      <c r="M943" t="s">
        <v>78</v>
      </c>
      <c r="N943" t="s">
        <v>79</v>
      </c>
      <c r="O943" t="s">
        <v>74</v>
      </c>
      <c r="P943" t="s">
        <v>74</v>
      </c>
      <c r="Q943" t="s">
        <v>74</v>
      </c>
      <c r="R943" t="s">
        <v>74</v>
      </c>
      <c r="S943" t="s">
        <v>74</v>
      </c>
      <c r="T943" t="s">
        <v>17442</v>
      </c>
      <c r="U943" t="s">
        <v>17443</v>
      </c>
      <c r="V943" t="s">
        <v>17444</v>
      </c>
      <c r="W943" t="s">
        <v>17445</v>
      </c>
      <c r="X943" t="s">
        <v>17446</v>
      </c>
      <c r="Y943" t="s">
        <v>17447</v>
      </c>
      <c r="Z943" t="s">
        <v>17448</v>
      </c>
      <c r="AA943" t="s">
        <v>74</v>
      </c>
      <c r="AB943" t="s">
        <v>74</v>
      </c>
      <c r="AC943" t="s">
        <v>17446</v>
      </c>
      <c r="AD943" t="s">
        <v>17446</v>
      </c>
      <c r="AE943" t="s">
        <v>17449</v>
      </c>
      <c r="AF943" t="s">
        <v>74</v>
      </c>
      <c r="AG943">
        <v>40</v>
      </c>
      <c r="AH943">
        <v>7</v>
      </c>
      <c r="AI943">
        <v>7</v>
      </c>
      <c r="AJ943">
        <v>0</v>
      </c>
      <c r="AK943">
        <v>7</v>
      </c>
      <c r="AL943" t="s">
        <v>17450</v>
      </c>
      <c r="AM943" t="s">
        <v>6457</v>
      </c>
      <c r="AN943" t="s">
        <v>17451</v>
      </c>
      <c r="AO943" t="s">
        <v>17452</v>
      </c>
      <c r="AP943" t="s">
        <v>17453</v>
      </c>
      <c r="AQ943" t="s">
        <v>74</v>
      </c>
      <c r="AR943" t="s">
        <v>17454</v>
      </c>
      <c r="AS943" t="s">
        <v>17455</v>
      </c>
      <c r="AT943" t="s">
        <v>15365</v>
      </c>
      <c r="AU943">
        <v>2012</v>
      </c>
      <c r="AV943">
        <v>25</v>
      </c>
      <c r="AW943">
        <v>6</v>
      </c>
      <c r="AX943" t="s">
        <v>74</v>
      </c>
      <c r="AY943" t="s">
        <v>74</v>
      </c>
      <c r="AZ943" t="s">
        <v>74</v>
      </c>
      <c r="BA943" t="s">
        <v>74</v>
      </c>
      <c r="BB943">
        <v>852</v>
      </c>
      <c r="BC943">
        <v>860</v>
      </c>
      <c r="BD943" t="s">
        <v>74</v>
      </c>
      <c r="BE943" t="s">
        <v>17456</v>
      </c>
      <c r="BF943" t="str">
        <f>HYPERLINK("http://dx.doi.org/10.5713/ajas.2011.11501","http://dx.doi.org/10.5713/ajas.2011.11501")</f>
        <v>http://dx.doi.org/10.5713/ajas.2011.11501</v>
      </c>
      <c r="BG943" t="s">
        <v>74</v>
      </c>
      <c r="BH943" t="s">
        <v>74</v>
      </c>
      <c r="BI943">
        <v>9</v>
      </c>
      <c r="BJ943" t="s">
        <v>7646</v>
      </c>
      <c r="BK943" t="s">
        <v>98</v>
      </c>
      <c r="BL943" t="s">
        <v>2620</v>
      </c>
      <c r="BM943" t="s">
        <v>17457</v>
      </c>
      <c r="BN943">
        <v>25049637</v>
      </c>
      <c r="BO943" t="s">
        <v>693</v>
      </c>
      <c r="BP943" t="s">
        <v>74</v>
      </c>
      <c r="BQ943" t="s">
        <v>74</v>
      </c>
      <c r="BR943" t="s">
        <v>101</v>
      </c>
      <c r="BS943" t="s">
        <v>17458</v>
      </c>
      <c r="BT943" t="str">
        <f>HYPERLINK("https%3A%2F%2Fwww.webofscience.com%2Fwos%2Fwoscc%2Ffull-record%2FWOS:000303905500016","View Full Record in Web of Science")</f>
        <v>View Full Record in Web of Science</v>
      </c>
    </row>
    <row r="944" spans="1:72" x14ac:dyDescent="0.15">
      <c r="A944" t="s">
        <v>72</v>
      </c>
      <c r="B944" t="s">
        <v>17459</v>
      </c>
      <c r="C944" t="s">
        <v>74</v>
      </c>
      <c r="D944" t="s">
        <v>74</v>
      </c>
      <c r="E944" t="s">
        <v>74</v>
      </c>
      <c r="F944" t="s">
        <v>17460</v>
      </c>
      <c r="G944" t="s">
        <v>74</v>
      </c>
      <c r="H944" t="s">
        <v>74</v>
      </c>
      <c r="I944" t="s">
        <v>17461</v>
      </c>
      <c r="J944" t="s">
        <v>1945</v>
      </c>
      <c r="K944" t="s">
        <v>74</v>
      </c>
      <c r="L944" t="s">
        <v>74</v>
      </c>
      <c r="M944" t="s">
        <v>78</v>
      </c>
      <c r="N944" t="s">
        <v>79</v>
      </c>
      <c r="O944" t="s">
        <v>74</v>
      </c>
      <c r="P944" t="s">
        <v>74</v>
      </c>
      <c r="Q944" t="s">
        <v>74</v>
      </c>
      <c r="R944" t="s">
        <v>74</v>
      </c>
      <c r="S944" t="s">
        <v>74</v>
      </c>
      <c r="T944" t="s">
        <v>17462</v>
      </c>
      <c r="U944" t="s">
        <v>17463</v>
      </c>
      <c r="V944" t="s">
        <v>17464</v>
      </c>
      <c r="W944" t="s">
        <v>17465</v>
      </c>
      <c r="X944" t="s">
        <v>17466</v>
      </c>
      <c r="Y944" t="s">
        <v>17467</v>
      </c>
      <c r="Z944" t="s">
        <v>17468</v>
      </c>
      <c r="AA944" t="s">
        <v>74</v>
      </c>
      <c r="AB944" t="s">
        <v>74</v>
      </c>
      <c r="AC944" t="s">
        <v>17469</v>
      </c>
      <c r="AD944" t="s">
        <v>5263</v>
      </c>
      <c r="AE944" t="s">
        <v>17470</v>
      </c>
      <c r="AF944" t="s">
        <v>74</v>
      </c>
      <c r="AG944">
        <v>68</v>
      </c>
      <c r="AH944">
        <v>30</v>
      </c>
      <c r="AI944">
        <v>35</v>
      </c>
      <c r="AJ944">
        <v>1</v>
      </c>
      <c r="AK944">
        <v>53</v>
      </c>
      <c r="AL944" t="s">
        <v>17471</v>
      </c>
      <c r="AM944" t="s">
        <v>1959</v>
      </c>
      <c r="AN944" t="s">
        <v>17472</v>
      </c>
      <c r="AO944" t="s">
        <v>1961</v>
      </c>
      <c r="AP944" t="s">
        <v>1962</v>
      </c>
      <c r="AQ944" t="s">
        <v>74</v>
      </c>
      <c r="AR944" t="s">
        <v>1963</v>
      </c>
      <c r="AS944" t="s">
        <v>1964</v>
      </c>
      <c r="AT944" t="s">
        <v>15365</v>
      </c>
      <c r="AU944">
        <v>2012</v>
      </c>
      <c r="AV944">
        <v>215</v>
      </c>
      <c r="AW944">
        <v>11</v>
      </c>
      <c r="AX944" t="s">
        <v>74</v>
      </c>
      <c r="AY944" t="s">
        <v>74</v>
      </c>
      <c r="AZ944" t="s">
        <v>74</v>
      </c>
      <c r="BA944" t="s">
        <v>74</v>
      </c>
      <c r="BB944">
        <v>1905</v>
      </c>
      <c r="BC944">
        <v>1914</v>
      </c>
      <c r="BD944" t="s">
        <v>74</v>
      </c>
      <c r="BE944" t="s">
        <v>17473</v>
      </c>
      <c r="BF944" t="str">
        <f>HYPERLINK("http://dx.doi.org/10.1242/jeb.060236","http://dx.doi.org/10.1242/jeb.060236")</f>
        <v>http://dx.doi.org/10.1242/jeb.060236</v>
      </c>
      <c r="BG944" t="s">
        <v>74</v>
      </c>
      <c r="BH944" t="s">
        <v>74</v>
      </c>
      <c r="BI944">
        <v>10</v>
      </c>
      <c r="BJ944" t="s">
        <v>1966</v>
      </c>
      <c r="BK944" t="s">
        <v>98</v>
      </c>
      <c r="BL944" t="s">
        <v>1967</v>
      </c>
      <c r="BM944" t="s">
        <v>17474</v>
      </c>
      <c r="BN944">
        <v>22573769</v>
      </c>
      <c r="BO944" t="s">
        <v>607</v>
      </c>
      <c r="BP944" t="s">
        <v>74</v>
      </c>
      <c r="BQ944" t="s">
        <v>74</v>
      </c>
      <c r="BR944" t="s">
        <v>101</v>
      </c>
      <c r="BS944" t="s">
        <v>17475</v>
      </c>
      <c r="BT944" t="str">
        <f>HYPERLINK("https%3A%2F%2Fwww.webofscience.com%2Fwos%2Fwoscc%2Ffull-record%2FWOS:000303831800021","View Full Record in Web of Science")</f>
        <v>View Full Record in Web of Science</v>
      </c>
    </row>
    <row r="945" spans="1:72" x14ac:dyDescent="0.15">
      <c r="A945" t="s">
        <v>72</v>
      </c>
      <c r="B945" t="s">
        <v>17476</v>
      </c>
      <c r="C945" t="s">
        <v>74</v>
      </c>
      <c r="D945" t="s">
        <v>74</v>
      </c>
      <c r="E945" t="s">
        <v>74</v>
      </c>
      <c r="F945" t="s">
        <v>17477</v>
      </c>
      <c r="G945" t="s">
        <v>74</v>
      </c>
      <c r="H945" t="s">
        <v>74</v>
      </c>
      <c r="I945" t="s">
        <v>17478</v>
      </c>
      <c r="J945" t="s">
        <v>17479</v>
      </c>
      <c r="K945" t="s">
        <v>74</v>
      </c>
      <c r="L945" t="s">
        <v>74</v>
      </c>
      <c r="M945" t="s">
        <v>78</v>
      </c>
      <c r="N945" t="s">
        <v>79</v>
      </c>
      <c r="O945" t="s">
        <v>74</v>
      </c>
      <c r="P945" t="s">
        <v>74</v>
      </c>
      <c r="Q945" t="s">
        <v>74</v>
      </c>
      <c r="R945" t="s">
        <v>74</v>
      </c>
      <c r="S945" t="s">
        <v>74</v>
      </c>
      <c r="T945" t="s">
        <v>17480</v>
      </c>
      <c r="U945" t="s">
        <v>17481</v>
      </c>
      <c r="V945" t="s">
        <v>17482</v>
      </c>
      <c r="W945" t="s">
        <v>17483</v>
      </c>
      <c r="X945" t="s">
        <v>17484</v>
      </c>
      <c r="Y945" t="s">
        <v>17485</v>
      </c>
      <c r="Z945" t="s">
        <v>17486</v>
      </c>
      <c r="AA945" t="s">
        <v>74</v>
      </c>
      <c r="AB945" t="s">
        <v>74</v>
      </c>
      <c r="AC945" t="s">
        <v>17487</v>
      </c>
      <c r="AD945" t="s">
        <v>17488</v>
      </c>
      <c r="AE945" t="s">
        <v>17489</v>
      </c>
      <c r="AF945" t="s">
        <v>74</v>
      </c>
      <c r="AG945">
        <v>19</v>
      </c>
      <c r="AH945">
        <v>7</v>
      </c>
      <c r="AI945">
        <v>9</v>
      </c>
      <c r="AJ945">
        <v>2</v>
      </c>
      <c r="AK945">
        <v>63</v>
      </c>
      <c r="AL945" t="s">
        <v>935</v>
      </c>
      <c r="AM945" t="s">
        <v>2382</v>
      </c>
      <c r="AN945" t="s">
        <v>2383</v>
      </c>
      <c r="AO945" t="s">
        <v>17490</v>
      </c>
      <c r="AP945" t="s">
        <v>17491</v>
      </c>
      <c r="AQ945" t="s">
        <v>74</v>
      </c>
      <c r="AR945" t="s">
        <v>17479</v>
      </c>
      <c r="AS945" t="s">
        <v>17492</v>
      </c>
      <c r="AT945" t="s">
        <v>15365</v>
      </c>
      <c r="AU945">
        <v>2012</v>
      </c>
      <c r="AV945">
        <v>91</v>
      </c>
      <c r="AW945">
        <v>3</v>
      </c>
      <c r="AX945" t="s">
        <v>74</v>
      </c>
      <c r="AY945" t="s">
        <v>74</v>
      </c>
      <c r="AZ945" t="s">
        <v>74</v>
      </c>
      <c r="BA945" t="s">
        <v>74</v>
      </c>
      <c r="BB945">
        <v>703</v>
      </c>
      <c r="BC945">
        <v>718</v>
      </c>
      <c r="BD945" t="s">
        <v>74</v>
      </c>
      <c r="BE945" t="s">
        <v>17493</v>
      </c>
      <c r="BF945" t="str">
        <f>HYPERLINK("http://dx.doi.org/10.1007/s11192-012-0690-0","http://dx.doi.org/10.1007/s11192-012-0690-0")</f>
        <v>http://dx.doi.org/10.1007/s11192-012-0690-0</v>
      </c>
      <c r="BG945" t="s">
        <v>74</v>
      </c>
      <c r="BH945" t="s">
        <v>74</v>
      </c>
      <c r="BI945">
        <v>16</v>
      </c>
      <c r="BJ945" t="s">
        <v>17494</v>
      </c>
      <c r="BK945" t="s">
        <v>5025</v>
      </c>
      <c r="BL945" t="s">
        <v>17495</v>
      </c>
      <c r="BM945" t="s">
        <v>17496</v>
      </c>
      <c r="BN945" t="s">
        <v>74</v>
      </c>
      <c r="BO945" t="s">
        <v>74</v>
      </c>
      <c r="BP945" t="s">
        <v>74</v>
      </c>
      <c r="BQ945" t="s">
        <v>74</v>
      </c>
      <c r="BR945" t="s">
        <v>101</v>
      </c>
      <c r="BS945" t="s">
        <v>17497</v>
      </c>
      <c r="BT945" t="str">
        <f>HYPERLINK("https%3A%2F%2Fwww.webofscience.com%2Fwos%2Fwoscc%2Ffull-record%2FWOS:000303533600004","View Full Record in Web of Science")</f>
        <v>View Full Record in Web of Science</v>
      </c>
    </row>
    <row r="946" spans="1:72" x14ac:dyDescent="0.15">
      <c r="A946" t="s">
        <v>72</v>
      </c>
      <c r="B946" t="s">
        <v>17498</v>
      </c>
      <c r="C946" t="s">
        <v>74</v>
      </c>
      <c r="D946" t="s">
        <v>74</v>
      </c>
      <c r="E946" t="s">
        <v>74</v>
      </c>
      <c r="F946" t="s">
        <v>17499</v>
      </c>
      <c r="G946" t="s">
        <v>74</v>
      </c>
      <c r="H946" t="s">
        <v>74</v>
      </c>
      <c r="I946" t="s">
        <v>17500</v>
      </c>
      <c r="J946" t="s">
        <v>17501</v>
      </c>
      <c r="K946" t="s">
        <v>74</v>
      </c>
      <c r="L946" t="s">
        <v>74</v>
      </c>
      <c r="M946" t="s">
        <v>78</v>
      </c>
      <c r="N946" t="s">
        <v>79</v>
      </c>
      <c r="O946" t="s">
        <v>74</v>
      </c>
      <c r="P946" t="s">
        <v>74</v>
      </c>
      <c r="Q946" t="s">
        <v>74</v>
      </c>
      <c r="R946" t="s">
        <v>74</v>
      </c>
      <c r="S946" t="s">
        <v>74</v>
      </c>
      <c r="T946" t="s">
        <v>17502</v>
      </c>
      <c r="U946" t="s">
        <v>17503</v>
      </c>
      <c r="V946" t="s">
        <v>17504</v>
      </c>
      <c r="W946" t="s">
        <v>17505</v>
      </c>
      <c r="X946" t="s">
        <v>17506</v>
      </c>
      <c r="Y946" t="s">
        <v>17507</v>
      </c>
      <c r="Z946" t="s">
        <v>17508</v>
      </c>
      <c r="AA946" t="s">
        <v>17509</v>
      </c>
      <c r="AB946" t="s">
        <v>74</v>
      </c>
      <c r="AC946" t="s">
        <v>74</v>
      </c>
      <c r="AD946" t="s">
        <v>74</v>
      </c>
      <c r="AE946" t="s">
        <v>74</v>
      </c>
      <c r="AF946" t="s">
        <v>74</v>
      </c>
      <c r="AG946">
        <v>41</v>
      </c>
      <c r="AH946">
        <v>1</v>
      </c>
      <c r="AI946">
        <v>1</v>
      </c>
      <c r="AJ946">
        <v>0</v>
      </c>
      <c r="AK946">
        <v>4</v>
      </c>
      <c r="AL946" t="s">
        <v>17510</v>
      </c>
      <c r="AM946" t="s">
        <v>17511</v>
      </c>
      <c r="AN946" t="s">
        <v>17512</v>
      </c>
      <c r="AO946" t="s">
        <v>17513</v>
      </c>
      <c r="AP946" t="s">
        <v>17514</v>
      </c>
      <c r="AQ946" t="s">
        <v>74</v>
      </c>
      <c r="AR946" t="s">
        <v>17515</v>
      </c>
      <c r="AS946" t="s">
        <v>17516</v>
      </c>
      <c r="AT946" t="s">
        <v>15365</v>
      </c>
      <c r="AU946">
        <v>2012</v>
      </c>
      <c r="AV946">
        <v>60</v>
      </c>
      <c r="AW946">
        <v>3</v>
      </c>
      <c r="AX946" t="s">
        <v>74</v>
      </c>
      <c r="AY946" t="s">
        <v>74</v>
      </c>
      <c r="AZ946" t="s">
        <v>74</v>
      </c>
      <c r="BA946" t="s">
        <v>74</v>
      </c>
      <c r="BB946">
        <v>719</v>
      </c>
      <c r="BC946">
        <v>739</v>
      </c>
      <c r="BD946" t="s">
        <v>74</v>
      </c>
      <c r="BE946" t="s">
        <v>17517</v>
      </c>
      <c r="BF946" t="str">
        <f>HYPERLINK("http://dx.doi.org/10.2478/s11600-012-0029-5","http://dx.doi.org/10.2478/s11600-012-0029-5")</f>
        <v>http://dx.doi.org/10.2478/s11600-012-0029-5</v>
      </c>
      <c r="BG946" t="s">
        <v>74</v>
      </c>
      <c r="BH946" t="s">
        <v>74</v>
      </c>
      <c r="BI946">
        <v>21</v>
      </c>
      <c r="BJ946" t="s">
        <v>241</v>
      </c>
      <c r="BK946" t="s">
        <v>98</v>
      </c>
      <c r="BL946" t="s">
        <v>241</v>
      </c>
      <c r="BM946" t="s">
        <v>17518</v>
      </c>
      <c r="BN946" t="s">
        <v>74</v>
      </c>
      <c r="BO946" t="s">
        <v>74</v>
      </c>
      <c r="BP946" t="s">
        <v>74</v>
      </c>
      <c r="BQ946" t="s">
        <v>74</v>
      </c>
      <c r="BR946" t="s">
        <v>101</v>
      </c>
      <c r="BS946" t="s">
        <v>17519</v>
      </c>
      <c r="BT946" t="str">
        <f>HYPERLINK("https%3A%2F%2Fwww.webofscience.com%2Fwos%2Fwoscc%2Ffull-record%2FWOS:000303469900013","View Full Record in Web of Science")</f>
        <v>View Full Record in Web of Science</v>
      </c>
    </row>
    <row r="947" spans="1:72" x14ac:dyDescent="0.15">
      <c r="A947" t="s">
        <v>72</v>
      </c>
      <c r="B947" t="s">
        <v>17520</v>
      </c>
      <c r="C947" t="s">
        <v>74</v>
      </c>
      <c r="D947" t="s">
        <v>74</v>
      </c>
      <c r="E947" t="s">
        <v>74</v>
      </c>
      <c r="F947" t="s">
        <v>17521</v>
      </c>
      <c r="G947" t="s">
        <v>74</v>
      </c>
      <c r="H947" t="s">
        <v>74</v>
      </c>
      <c r="I947" t="s">
        <v>17522</v>
      </c>
      <c r="J947" t="s">
        <v>17523</v>
      </c>
      <c r="K947" t="s">
        <v>74</v>
      </c>
      <c r="L947" t="s">
        <v>74</v>
      </c>
      <c r="M947" t="s">
        <v>78</v>
      </c>
      <c r="N947" t="s">
        <v>79</v>
      </c>
      <c r="O947" t="s">
        <v>74</v>
      </c>
      <c r="P947" t="s">
        <v>74</v>
      </c>
      <c r="Q947" t="s">
        <v>74</v>
      </c>
      <c r="R947" t="s">
        <v>74</v>
      </c>
      <c r="S947" t="s">
        <v>74</v>
      </c>
      <c r="T947" t="s">
        <v>17524</v>
      </c>
      <c r="U947" t="s">
        <v>17525</v>
      </c>
      <c r="V947" t="s">
        <v>17526</v>
      </c>
      <c r="W947" t="s">
        <v>17527</v>
      </c>
      <c r="X947" t="s">
        <v>17528</v>
      </c>
      <c r="Y947" t="s">
        <v>17529</v>
      </c>
      <c r="Z947" t="s">
        <v>17530</v>
      </c>
      <c r="AA947" t="s">
        <v>74</v>
      </c>
      <c r="AB947" t="s">
        <v>74</v>
      </c>
      <c r="AC947" t="s">
        <v>17531</v>
      </c>
      <c r="AD947" t="s">
        <v>5263</v>
      </c>
      <c r="AE947" t="s">
        <v>17532</v>
      </c>
      <c r="AF947" t="s">
        <v>74</v>
      </c>
      <c r="AG947">
        <v>35</v>
      </c>
      <c r="AH947">
        <v>3</v>
      </c>
      <c r="AI947">
        <v>3</v>
      </c>
      <c r="AJ947">
        <v>0</v>
      </c>
      <c r="AK947">
        <v>9</v>
      </c>
      <c r="AL947" t="s">
        <v>89</v>
      </c>
      <c r="AM947" t="s">
        <v>90</v>
      </c>
      <c r="AN947" t="s">
        <v>91</v>
      </c>
      <c r="AO947" t="s">
        <v>17533</v>
      </c>
      <c r="AP947" t="s">
        <v>17534</v>
      </c>
      <c r="AQ947" t="s">
        <v>74</v>
      </c>
      <c r="AR947" t="s">
        <v>17535</v>
      </c>
      <c r="AS947" t="s">
        <v>17536</v>
      </c>
      <c r="AT947" t="s">
        <v>15365</v>
      </c>
      <c r="AU947">
        <v>2012</v>
      </c>
      <c r="AV947">
        <v>25</v>
      </c>
      <c r="AW947">
        <v>4</v>
      </c>
      <c r="AX947" t="s">
        <v>74</v>
      </c>
      <c r="AY947" t="s">
        <v>74</v>
      </c>
      <c r="AZ947" t="s">
        <v>74</v>
      </c>
      <c r="BA947" t="s">
        <v>74</v>
      </c>
      <c r="BB947">
        <v>853</v>
      </c>
      <c r="BC947">
        <v>868</v>
      </c>
      <c r="BD947" t="s">
        <v>74</v>
      </c>
      <c r="BE947" t="s">
        <v>17537</v>
      </c>
      <c r="BF947" t="str">
        <f>HYPERLINK("http://dx.doi.org/10.1016/j.engappai.2011.12.002","http://dx.doi.org/10.1016/j.engappai.2011.12.002")</f>
        <v>http://dx.doi.org/10.1016/j.engappai.2011.12.002</v>
      </c>
      <c r="BG947" t="s">
        <v>74</v>
      </c>
      <c r="BH947" t="s">
        <v>74</v>
      </c>
      <c r="BI947">
        <v>16</v>
      </c>
      <c r="BJ947" t="s">
        <v>17538</v>
      </c>
      <c r="BK947" t="s">
        <v>98</v>
      </c>
      <c r="BL947" t="s">
        <v>17539</v>
      </c>
      <c r="BM947" t="s">
        <v>17540</v>
      </c>
      <c r="BN947" t="s">
        <v>74</v>
      </c>
      <c r="BO947" t="s">
        <v>74</v>
      </c>
      <c r="BP947" t="s">
        <v>74</v>
      </c>
      <c r="BQ947" t="s">
        <v>74</v>
      </c>
      <c r="BR947" t="s">
        <v>101</v>
      </c>
      <c r="BS947" t="s">
        <v>17541</v>
      </c>
      <c r="BT947" t="str">
        <f>HYPERLINK("https%3A%2F%2Fwww.webofscience.com%2Fwos%2Fwoscc%2Ffull-record%2FWOS:000303552100020","View Full Record in Web of Science")</f>
        <v>View Full Record in Web of Science</v>
      </c>
    </row>
    <row r="948" spans="1:72" x14ac:dyDescent="0.15">
      <c r="A948" t="s">
        <v>72</v>
      </c>
      <c r="B948" t="s">
        <v>17542</v>
      </c>
      <c r="C948" t="s">
        <v>74</v>
      </c>
      <c r="D948" t="s">
        <v>74</v>
      </c>
      <c r="E948" t="s">
        <v>74</v>
      </c>
      <c r="F948" t="s">
        <v>17543</v>
      </c>
      <c r="G948" t="s">
        <v>74</v>
      </c>
      <c r="H948" t="s">
        <v>74</v>
      </c>
      <c r="I948" t="s">
        <v>17544</v>
      </c>
      <c r="J948" t="s">
        <v>17545</v>
      </c>
      <c r="K948" t="s">
        <v>74</v>
      </c>
      <c r="L948" t="s">
        <v>74</v>
      </c>
      <c r="M948" t="s">
        <v>78</v>
      </c>
      <c r="N948" t="s">
        <v>974</v>
      </c>
      <c r="O948" t="s">
        <v>74</v>
      </c>
      <c r="P948" t="s">
        <v>74</v>
      </c>
      <c r="Q948" t="s">
        <v>74</v>
      </c>
      <c r="R948" t="s">
        <v>74</v>
      </c>
      <c r="S948" t="s">
        <v>74</v>
      </c>
      <c r="T948" t="s">
        <v>17546</v>
      </c>
      <c r="U948" t="s">
        <v>17547</v>
      </c>
      <c r="V948" t="s">
        <v>17548</v>
      </c>
      <c r="W948" t="s">
        <v>17549</v>
      </c>
      <c r="X948" t="s">
        <v>17550</v>
      </c>
      <c r="Y948" t="s">
        <v>17551</v>
      </c>
      <c r="Z948" t="s">
        <v>17552</v>
      </c>
      <c r="AA948" t="s">
        <v>74</v>
      </c>
      <c r="AB948" t="s">
        <v>17553</v>
      </c>
      <c r="AC948" t="s">
        <v>17554</v>
      </c>
      <c r="AD948" t="s">
        <v>17554</v>
      </c>
      <c r="AE948" t="s">
        <v>17555</v>
      </c>
      <c r="AF948" t="s">
        <v>74</v>
      </c>
      <c r="AG948">
        <v>72</v>
      </c>
      <c r="AH948">
        <v>33</v>
      </c>
      <c r="AI948">
        <v>34</v>
      </c>
      <c r="AJ948">
        <v>3</v>
      </c>
      <c r="AK948">
        <v>38</v>
      </c>
      <c r="AL948" t="s">
        <v>1771</v>
      </c>
      <c r="AM948" t="s">
        <v>90</v>
      </c>
      <c r="AN948" t="s">
        <v>1772</v>
      </c>
      <c r="AO948" t="s">
        <v>17556</v>
      </c>
      <c r="AP948" t="s">
        <v>17557</v>
      </c>
      <c r="AQ948" t="s">
        <v>74</v>
      </c>
      <c r="AR948" t="s">
        <v>17558</v>
      </c>
      <c r="AS948" t="s">
        <v>17559</v>
      </c>
      <c r="AT948" t="s">
        <v>15365</v>
      </c>
      <c r="AU948">
        <v>2012</v>
      </c>
      <c r="AV948">
        <v>331</v>
      </c>
      <c r="AW948">
        <v>1</v>
      </c>
      <c r="AX948" t="s">
        <v>74</v>
      </c>
      <c r="AY948" t="s">
        <v>74</v>
      </c>
      <c r="AZ948" t="s">
        <v>74</v>
      </c>
      <c r="BA948" t="s">
        <v>74</v>
      </c>
      <c r="BB948">
        <v>1</v>
      </c>
      <c r="BC948">
        <v>9</v>
      </c>
      <c r="BD948" t="s">
        <v>74</v>
      </c>
      <c r="BE948" t="s">
        <v>17560</v>
      </c>
      <c r="BF948" t="str">
        <f>HYPERLINK("http://dx.doi.org/10.1111/j.1574-6968.2012.02531.x","http://dx.doi.org/10.1111/j.1574-6968.2012.02531.x")</f>
        <v>http://dx.doi.org/10.1111/j.1574-6968.2012.02531.x</v>
      </c>
      <c r="BG948" t="s">
        <v>74</v>
      </c>
      <c r="BH948" t="s">
        <v>74</v>
      </c>
      <c r="BI948">
        <v>9</v>
      </c>
      <c r="BJ948" t="s">
        <v>775</v>
      </c>
      <c r="BK948" t="s">
        <v>98</v>
      </c>
      <c r="BL948" t="s">
        <v>775</v>
      </c>
      <c r="BM948" t="s">
        <v>17561</v>
      </c>
      <c r="BN948">
        <v>22360528</v>
      </c>
      <c r="BO948" t="s">
        <v>74</v>
      </c>
      <c r="BP948" t="s">
        <v>74</v>
      </c>
      <c r="BQ948" t="s">
        <v>74</v>
      </c>
      <c r="BR948" t="s">
        <v>101</v>
      </c>
      <c r="BS948" t="s">
        <v>17562</v>
      </c>
      <c r="BT948" t="str">
        <f>HYPERLINK("https%3A%2F%2Fwww.webofscience.com%2Fwos%2Fwoscc%2Ffull-record%2FWOS:000303438800001","View Full Record in Web of Science")</f>
        <v>View Full Record in Web of Science</v>
      </c>
    </row>
    <row r="949" spans="1:72" x14ac:dyDescent="0.15">
      <c r="A949" t="s">
        <v>72</v>
      </c>
      <c r="B949" t="s">
        <v>17563</v>
      </c>
      <c r="C949" t="s">
        <v>74</v>
      </c>
      <c r="D949" t="s">
        <v>74</v>
      </c>
      <c r="E949" t="s">
        <v>74</v>
      </c>
      <c r="F949" t="s">
        <v>17564</v>
      </c>
      <c r="G949" t="s">
        <v>74</v>
      </c>
      <c r="H949" t="s">
        <v>74</v>
      </c>
      <c r="I949" t="s">
        <v>17565</v>
      </c>
      <c r="J949" t="s">
        <v>2580</v>
      </c>
      <c r="K949" t="s">
        <v>74</v>
      </c>
      <c r="L949" t="s">
        <v>74</v>
      </c>
      <c r="M949" t="s">
        <v>78</v>
      </c>
      <c r="N949" t="s">
        <v>79</v>
      </c>
      <c r="O949" t="s">
        <v>74</v>
      </c>
      <c r="P949" t="s">
        <v>74</v>
      </c>
      <c r="Q949" t="s">
        <v>74</v>
      </c>
      <c r="R949" t="s">
        <v>74</v>
      </c>
      <c r="S949" t="s">
        <v>74</v>
      </c>
      <c r="T949" t="s">
        <v>74</v>
      </c>
      <c r="U949" t="s">
        <v>17566</v>
      </c>
      <c r="V949" t="s">
        <v>17567</v>
      </c>
      <c r="W949" t="s">
        <v>17568</v>
      </c>
      <c r="X949" t="s">
        <v>17569</v>
      </c>
      <c r="Y949" t="s">
        <v>17570</v>
      </c>
      <c r="Z949" t="s">
        <v>17571</v>
      </c>
      <c r="AA949" t="s">
        <v>17572</v>
      </c>
      <c r="AB949" t="s">
        <v>17573</v>
      </c>
      <c r="AC949" t="s">
        <v>17574</v>
      </c>
      <c r="AD949" t="s">
        <v>17575</v>
      </c>
      <c r="AE949" t="s">
        <v>17576</v>
      </c>
      <c r="AF949" t="s">
        <v>74</v>
      </c>
      <c r="AG949">
        <v>76</v>
      </c>
      <c r="AH949">
        <v>48</v>
      </c>
      <c r="AI949">
        <v>55</v>
      </c>
      <c r="AJ949">
        <v>3</v>
      </c>
      <c r="AK949">
        <v>24</v>
      </c>
      <c r="AL949" t="s">
        <v>89</v>
      </c>
      <c r="AM949" t="s">
        <v>90</v>
      </c>
      <c r="AN949" t="s">
        <v>91</v>
      </c>
      <c r="AO949" t="s">
        <v>2592</v>
      </c>
      <c r="AP949" t="s">
        <v>2593</v>
      </c>
      <c r="AQ949" t="s">
        <v>74</v>
      </c>
      <c r="AR949" t="s">
        <v>2594</v>
      </c>
      <c r="AS949" t="s">
        <v>2595</v>
      </c>
      <c r="AT949" t="s">
        <v>15605</v>
      </c>
      <c r="AU949">
        <v>2012</v>
      </c>
      <c r="AV949">
        <v>86</v>
      </c>
      <c r="AW949" t="s">
        <v>74</v>
      </c>
      <c r="AX949" t="s">
        <v>74</v>
      </c>
      <c r="AY949" t="s">
        <v>74</v>
      </c>
      <c r="AZ949" t="s">
        <v>74</v>
      </c>
      <c r="BA949" t="s">
        <v>74</v>
      </c>
      <c r="BB949">
        <v>76</v>
      </c>
      <c r="BC949">
        <v>87</v>
      </c>
      <c r="BD949" t="s">
        <v>74</v>
      </c>
      <c r="BE949" t="s">
        <v>17577</v>
      </c>
      <c r="BF949" t="str">
        <f>HYPERLINK("http://dx.doi.org/10.1016/j.gca.2012.01.045","http://dx.doi.org/10.1016/j.gca.2012.01.045")</f>
        <v>http://dx.doi.org/10.1016/j.gca.2012.01.045</v>
      </c>
      <c r="BG949" t="s">
        <v>74</v>
      </c>
      <c r="BH949" t="s">
        <v>74</v>
      </c>
      <c r="BI949">
        <v>12</v>
      </c>
      <c r="BJ949" t="s">
        <v>241</v>
      </c>
      <c r="BK949" t="s">
        <v>98</v>
      </c>
      <c r="BL949" t="s">
        <v>241</v>
      </c>
      <c r="BM949" t="s">
        <v>17578</v>
      </c>
      <c r="BN949" t="s">
        <v>74</v>
      </c>
      <c r="BO949" t="s">
        <v>1499</v>
      </c>
      <c r="BP949" t="s">
        <v>74</v>
      </c>
      <c r="BQ949" t="s">
        <v>74</v>
      </c>
      <c r="BR949" t="s">
        <v>101</v>
      </c>
      <c r="BS949" t="s">
        <v>17579</v>
      </c>
      <c r="BT949" t="str">
        <f>HYPERLINK("https%3A%2F%2Fwww.webofscience.com%2Fwos%2Fwoscc%2Ffull-record%2FWOS:000303677400005","View Full Record in Web of Science")</f>
        <v>View Full Record in Web of Science</v>
      </c>
    </row>
    <row r="950" spans="1:72" x14ac:dyDescent="0.15">
      <c r="A950" t="s">
        <v>72</v>
      </c>
      <c r="B950" t="s">
        <v>17580</v>
      </c>
      <c r="C950" t="s">
        <v>74</v>
      </c>
      <c r="D950" t="s">
        <v>74</v>
      </c>
      <c r="E950" t="s">
        <v>74</v>
      </c>
      <c r="F950" t="s">
        <v>17581</v>
      </c>
      <c r="G950" t="s">
        <v>74</v>
      </c>
      <c r="H950" t="s">
        <v>74</v>
      </c>
      <c r="I950" t="s">
        <v>17582</v>
      </c>
      <c r="J950" t="s">
        <v>17583</v>
      </c>
      <c r="K950" t="s">
        <v>74</v>
      </c>
      <c r="L950" t="s">
        <v>74</v>
      </c>
      <c r="M950" t="s">
        <v>78</v>
      </c>
      <c r="N950" t="s">
        <v>79</v>
      </c>
      <c r="O950" t="s">
        <v>74</v>
      </c>
      <c r="P950" t="s">
        <v>74</v>
      </c>
      <c r="Q950" t="s">
        <v>74</v>
      </c>
      <c r="R950" t="s">
        <v>74</v>
      </c>
      <c r="S950" t="s">
        <v>74</v>
      </c>
      <c r="T950" t="s">
        <v>17584</v>
      </c>
      <c r="U950" t="s">
        <v>17585</v>
      </c>
      <c r="V950" t="s">
        <v>17586</v>
      </c>
      <c r="W950" t="s">
        <v>17587</v>
      </c>
      <c r="X950" t="s">
        <v>17588</v>
      </c>
      <c r="Y950" t="s">
        <v>17589</v>
      </c>
      <c r="Z950" t="s">
        <v>17590</v>
      </c>
      <c r="AA950" t="s">
        <v>74</v>
      </c>
      <c r="AB950" t="s">
        <v>74</v>
      </c>
      <c r="AC950" t="s">
        <v>17591</v>
      </c>
      <c r="AD950" t="s">
        <v>17592</v>
      </c>
      <c r="AE950" t="s">
        <v>17593</v>
      </c>
      <c r="AF950" t="s">
        <v>74</v>
      </c>
      <c r="AG950">
        <v>19</v>
      </c>
      <c r="AH950">
        <v>1</v>
      </c>
      <c r="AI950">
        <v>1</v>
      </c>
      <c r="AJ950">
        <v>0</v>
      </c>
      <c r="AK950">
        <v>3</v>
      </c>
      <c r="AL950" t="s">
        <v>17594</v>
      </c>
      <c r="AM950" t="s">
        <v>17595</v>
      </c>
      <c r="AN950" t="s">
        <v>17596</v>
      </c>
      <c r="AO950" t="s">
        <v>17597</v>
      </c>
      <c r="AP950" t="s">
        <v>74</v>
      </c>
      <c r="AQ950" t="s">
        <v>74</v>
      </c>
      <c r="AR950" t="s">
        <v>17598</v>
      </c>
      <c r="AS950" t="s">
        <v>17599</v>
      </c>
      <c r="AT950" t="s">
        <v>15365</v>
      </c>
      <c r="AU950">
        <v>2012</v>
      </c>
      <c r="AV950">
        <v>11</v>
      </c>
      <c r="AW950">
        <v>2</v>
      </c>
      <c r="AX950" t="s">
        <v>74</v>
      </c>
      <c r="AY950" t="s">
        <v>74</v>
      </c>
      <c r="AZ950" t="s">
        <v>74</v>
      </c>
      <c r="BA950" t="s">
        <v>74</v>
      </c>
      <c r="BB950">
        <v>118</v>
      </c>
      <c r="BC950">
        <v>128</v>
      </c>
      <c r="BD950" t="s">
        <v>74</v>
      </c>
      <c r="BE950" t="s">
        <v>17600</v>
      </c>
      <c r="BF950" t="str">
        <f>HYPERLINK("http://dx.doi.org/10.1007/s11802-012-1828-7","http://dx.doi.org/10.1007/s11802-012-1828-7")</f>
        <v>http://dx.doi.org/10.1007/s11802-012-1828-7</v>
      </c>
      <c r="BG950" t="s">
        <v>74</v>
      </c>
      <c r="BH950" t="s">
        <v>74</v>
      </c>
      <c r="BI950">
        <v>11</v>
      </c>
      <c r="BJ950" t="s">
        <v>941</v>
      </c>
      <c r="BK950" t="s">
        <v>98</v>
      </c>
      <c r="BL950" t="s">
        <v>941</v>
      </c>
      <c r="BM950" t="s">
        <v>17601</v>
      </c>
      <c r="BN950" t="s">
        <v>74</v>
      </c>
      <c r="BO950" t="s">
        <v>74</v>
      </c>
      <c r="BP950" t="s">
        <v>74</v>
      </c>
      <c r="BQ950" t="s">
        <v>74</v>
      </c>
      <c r="BR950" t="s">
        <v>101</v>
      </c>
      <c r="BS950" t="s">
        <v>17602</v>
      </c>
      <c r="BT950" t="str">
        <f>HYPERLINK("https%3A%2F%2Fwww.webofscience.com%2Fwos%2Fwoscc%2Ffull-record%2FWOS:000303526400002","View Full Record in Web of Science")</f>
        <v>View Full Record in Web of Science</v>
      </c>
    </row>
    <row r="951" spans="1:72" x14ac:dyDescent="0.15">
      <c r="A951" t="s">
        <v>72</v>
      </c>
      <c r="B951" t="s">
        <v>17603</v>
      </c>
      <c r="C951" t="s">
        <v>74</v>
      </c>
      <c r="D951" t="s">
        <v>74</v>
      </c>
      <c r="E951" t="s">
        <v>74</v>
      </c>
      <c r="F951" t="s">
        <v>17604</v>
      </c>
      <c r="G951" t="s">
        <v>74</v>
      </c>
      <c r="H951" t="s">
        <v>74</v>
      </c>
      <c r="I951" t="s">
        <v>17605</v>
      </c>
      <c r="J951" t="s">
        <v>8231</v>
      </c>
      <c r="K951" t="s">
        <v>74</v>
      </c>
      <c r="L951" t="s">
        <v>74</v>
      </c>
      <c r="M951" t="s">
        <v>78</v>
      </c>
      <c r="N951" t="s">
        <v>79</v>
      </c>
      <c r="O951" t="s">
        <v>74</v>
      </c>
      <c r="P951" t="s">
        <v>74</v>
      </c>
      <c r="Q951" t="s">
        <v>74</v>
      </c>
      <c r="R951" t="s">
        <v>74</v>
      </c>
      <c r="S951" t="s">
        <v>74</v>
      </c>
      <c r="T951" t="s">
        <v>17606</v>
      </c>
      <c r="U951" t="s">
        <v>17607</v>
      </c>
      <c r="V951" t="s">
        <v>17608</v>
      </c>
      <c r="W951" t="s">
        <v>17609</v>
      </c>
      <c r="X951" t="s">
        <v>17610</v>
      </c>
      <c r="Y951" t="s">
        <v>17611</v>
      </c>
      <c r="Z951" t="s">
        <v>17612</v>
      </c>
      <c r="AA951" t="s">
        <v>74</v>
      </c>
      <c r="AB951" t="s">
        <v>17613</v>
      </c>
      <c r="AC951" t="s">
        <v>17614</v>
      </c>
      <c r="AD951" t="s">
        <v>17615</v>
      </c>
      <c r="AE951" t="s">
        <v>17616</v>
      </c>
      <c r="AF951" t="s">
        <v>74</v>
      </c>
      <c r="AG951">
        <v>86</v>
      </c>
      <c r="AH951">
        <v>5</v>
      </c>
      <c r="AI951">
        <v>5</v>
      </c>
      <c r="AJ951">
        <v>1</v>
      </c>
      <c r="AK951">
        <v>7</v>
      </c>
      <c r="AL951" t="s">
        <v>1771</v>
      </c>
      <c r="AM951" t="s">
        <v>90</v>
      </c>
      <c r="AN951" t="s">
        <v>1772</v>
      </c>
      <c r="AO951" t="s">
        <v>8243</v>
      </c>
      <c r="AP951" t="s">
        <v>8244</v>
      </c>
      <c r="AQ951" t="s">
        <v>74</v>
      </c>
      <c r="AR951" t="s">
        <v>8245</v>
      </c>
      <c r="AS951" t="s">
        <v>8246</v>
      </c>
      <c r="AT951" t="s">
        <v>15365</v>
      </c>
      <c r="AU951">
        <v>2012</v>
      </c>
      <c r="AV951">
        <v>34</v>
      </c>
      <c r="AW951">
        <v>6</v>
      </c>
      <c r="AX951" t="s">
        <v>74</v>
      </c>
      <c r="AY951" t="s">
        <v>74</v>
      </c>
      <c r="AZ951" t="s">
        <v>74</v>
      </c>
      <c r="BA951" t="s">
        <v>74</v>
      </c>
      <c r="BB951">
        <v>531</v>
      </c>
      <c r="BC951">
        <v>547</v>
      </c>
      <c r="BD951" t="s">
        <v>74</v>
      </c>
      <c r="BE951" t="s">
        <v>17617</v>
      </c>
      <c r="BF951" t="str">
        <f>HYPERLINK("http://dx.doi.org/10.1093/plankt/fbs026","http://dx.doi.org/10.1093/plankt/fbs026")</f>
        <v>http://dx.doi.org/10.1093/plankt/fbs026</v>
      </c>
      <c r="BG951" t="s">
        <v>74</v>
      </c>
      <c r="BH951" t="s">
        <v>74</v>
      </c>
      <c r="BI951">
        <v>17</v>
      </c>
      <c r="BJ951" t="s">
        <v>1161</v>
      </c>
      <c r="BK951" t="s">
        <v>98</v>
      </c>
      <c r="BL951" t="s">
        <v>1161</v>
      </c>
      <c r="BM951" t="s">
        <v>16913</v>
      </c>
      <c r="BN951" t="s">
        <v>74</v>
      </c>
      <c r="BO951" t="s">
        <v>607</v>
      </c>
      <c r="BP951" t="s">
        <v>74</v>
      </c>
      <c r="BQ951" t="s">
        <v>74</v>
      </c>
      <c r="BR951" t="s">
        <v>101</v>
      </c>
      <c r="BS951" t="s">
        <v>17618</v>
      </c>
      <c r="BT951" t="str">
        <f>HYPERLINK("https%3A%2F%2Fwww.webofscience.com%2Fwos%2Fwoscc%2Ffull-record%2FWOS:000303340700007","View Full Record in Web of Science")</f>
        <v>View Full Record in Web of Science</v>
      </c>
    </row>
    <row r="952" spans="1:72" x14ac:dyDescent="0.15">
      <c r="A952" t="s">
        <v>72</v>
      </c>
      <c r="B952" t="s">
        <v>17619</v>
      </c>
      <c r="C952" t="s">
        <v>74</v>
      </c>
      <c r="D952" t="s">
        <v>74</v>
      </c>
      <c r="E952" t="s">
        <v>74</v>
      </c>
      <c r="F952" t="s">
        <v>17620</v>
      </c>
      <c r="G952" t="s">
        <v>74</v>
      </c>
      <c r="H952" t="s">
        <v>74</v>
      </c>
      <c r="I952" t="s">
        <v>17621</v>
      </c>
      <c r="J952" t="s">
        <v>5922</v>
      </c>
      <c r="K952" t="s">
        <v>74</v>
      </c>
      <c r="L952" t="s">
        <v>74</v>
      </c>
      <c r="M952" t="s">
        <v>78</v>
      </c>
      <c r="N952" t="s">
        <v>79</v>
      </c>
      <c r="O952" t="s">
        <v>74</v>
      </c>
      <c r="P952" t="s">
        <v>74</v>
      </c>
      <c r="Q952" t="s">
        <v>74</v>
      </c>
      <c r="R952" t="s">
        <v>74</v>
      </c>
      <c r="S952" t="s">
        <v>74</v>
      </c>
      <c r="T952" t="s">
        <v>74</v>
      </c>
      <c r="U952" t="s">
        <v>17622</v>
      </c>
      <c r="V952" t="s">
        <v>17623</v>
      </c>
      <c r="W952" t="s">
        <v>17624</v>
      </c>
      <c r="X952" t="s">
        <v>3103</v>
      </c>
      <c r="Y952" t="s">
        <v>17625</v>
      </c>
      <c r="Z952" t="s">
        <v>17626</v>
      </c>
      <c r="AA952" t="s">
        <v>17627</v>
      </c>
      <c r="AB952" t="s">
        <v>17628</v>
      </c>
      <c r="AC952" t="s">
        <v>17139</v>
      </c>
      <c r="AD952" t="s">
        <v>17139</v>
      </c>
      <c r="AE952" t="s">
        <v>17629</v>
      </c>
      <c r="AF952" t="s">
        <v>74</v>
      </c>
      <c r="AG952">
        <v>59</v>
      </c>
      <c r="AH952">
        <v>10</v>
      </c>
      <c r="AI952">
        <v>11</v>
      </c>
      <c r="AJ952">
        <v>0</v>
      </c>
      <c r="AK952">
        <v>36</v>
      </c>
      <c r="AL952" t="s">
        <v>4767</v>
      </c>
      <c r="AM952" t="s">
        <v>4768</v>
      </c>
      <c r="AN952" t="s">
        <v>4769</v>
      </c>
      <c r="AO952" t="s">
        <v>5933</v>
      </c>
      <c r="AP952" t="s">
        <v>5934</v>
      </c>
      <c r="AQ952" t="s">
        <v>74</v>
      </c>
      <c r="AR952" t="s">
        <v>5935</v>
      </c>
      <c r="AS952" t="s">
        <v>5936</v>
      </c>
      <c r="AT952" t="s">
        <v>15365</v>
      </c>
      <c r="AU952">
        <v>2012</v>
      </c>
      <c r="AV952">
        <v>159</v>
      </c>
      <c r="AW952">
        <v>6</v>
      </c>
      <c r="AX952" t="s">
        <v>74</v>
      </c>
      <c r="AY952" t="s">
        <v>74</v>
      </c>
      <c r="AZ952" t="s">
        <v>74</v>
      </c>
      <c r="BA952" t="s">
        <v>74</v>
      </c>
      <c r="BB952">
        <v>1183</v>
      </c>
      <c r="BC952">
        <v>1196</v>
      </c>
      <c r="BD952" t="s">
        <v>74</v>
      </c>
      <c r="BE952" t="s">
        <v>17630</v>
      </c>
      <c r="BF952" t="str">
        <f>HYPERLINK("http://dx.doi.org/10.1007/s00227-012-1899-4","http://dx.doi.org/10.1007/s00227-012-1899-4")</f>
        <v>http://dx.doi.org/10.1007/s00227-012-1899-4</v>
      </c>
      <c r="BG952" t="s">
        <v>74</v>
      </c>
      <c r="BH952" t="s">
        <v>74</v>
      </c>
      <c r="BI952">
        <v>14</v>
      </c>
      <c r="BJ952" t="s">
        <v>1753</v>
      </c>
      <c r="BK952" t="s">
        <v>98</v>
      </c>
      <c r="BL952" t="s">
        <v>1753</v>
      </c>
      <c r="BM952" t="s">
        <v>17002</v>
      </c>
      <c r="BN952" t="s">
        <v>74</v>
      </c>
      <c r="BO952" t="s">
        <v>74</v>
      </c>
      <c r="BP952" t="s">
        <v>74</v>
      </c>
      <c r="BQ952" t="s">
        <v>74</v>
      </c>
      <c r="BR952" t="s">
        <v>101</v>
      </c>
      <c r="BS952" t="s">
        <v>17631</v>
      </c>
      <c r="BT952" t="str">
        <f>HYPERLINK("https%3A%2F%2Fwww.webofscience.com%2Fwos%2Fwoscc%2Ffull-record%2FWOS:000303472100002","View Full Record in Web of Science")</f>
        <v>View Full Record in Web of Science</v>
      </c>
    </row>
    <row r="953" spans="1:72" x14ac:dyDescent="0.15">
      <c r="A953" t="s">
        <v>72</v>
      </c>
      <c r="B953" t="s">
        <v>17632</v>
      </c>
      <c r="C953" t="s">
        <v>74</v>
      </c>
      <c r="D953" t="s">
        <v>74</v>
      </c>
      <c r="E953" t="s">
        <v>74</v>
      </c>
      <c r="F953" t="s">
        <v>17633</v>
      </c>
      <c r="G953" t="s">
        <v>74</v>
      </c>
      <c r="H953" t="s">
        <v>74</v>
      </c>
      <c r="I953" t="s">
        <v>17634</v>
      </c>
      <c r="J953" t="s">
        <v>1860</v>
      </c>
      <c r="K953" t="s">
        <v>74</v>
      </c>
      <c r="L953" t="s">
        <v>74</v>
      </c>
      <c r="M953" t="s">
        <v>78</v>
      </c>
      <c r="N953" t="s">
        <v>79</v>
      </c>
      <c r="O953" t="s">
        <v>74</v>
      </c>
      <c r="P953" t="s">
        <v>74</v>
      </c>
      <c r="Q953" t="s">
        <v>74</v>
      </c>
      <c r="R953" t="s">
        <v>74</v>
      </c>
      <c r="S953" t="s">
        <v>74</v>
      </c>
      <c r="T953" t="s">
        <v>17635</v>
      </c>
      <c r="U953" t="s">
        <v>17636</v>
      </c>
      <c r="V953" t="s">
        <v>17637</v>
      </c>
      <c r="W953" t="s">
        <v>17638</v>
      </c>
      <c r="X953" t="s">
        <v>17639</v>
      </c>
      <c r="Y953" t="s">
        <v>17640</v>
      </c>
      <c r="Z953" t="s">
        <v>17641</v>
      </c>
      <c r="AA953" t="s">
        <v>17642</v>
      </c>
      <c r="AB953" t="s">
        <v>17643</v>
      </c>
      <c r="AC953" t="s">
        <v>17644</v>
      </c>
      <c r="AD953" t="s">
        <v>17645</v>
      </c>
      <c r="AE953" t="s">
        <v>17646</v>
      </c>
      <c r="AF953" t="s">
        <v>74</v>
      </c>
      <c r="AG953">
        <v>59</v>
      </c>
      <c r="AH953">
        <v>16</v>
      </c>
      <c r="AI953">
        <v>18</v>
      </c>
      <c r="AJ953">
        <v>0</v>
      </c>
      <c r="AK953">
        <v>39</v>
      </c>
      <c r="AL953" t="s">
        <v>935</v>
      </c>
      <c r="AM953" t="s">
        <v>371</v>
      </c>
      <c r="AN953" t="s">
        <v>936</v>
      </c>
      <c r="AO953" t="s">
        <v>1874</v>
      </c>
      <c r="AP953" t="s">
        <v>74</v>
      </c>
      <c r="AQ953" t="s">
        <v>74</v>
      </c>
      <c r="AR953" t="s">
        <v>1876</v>
      </c>
      <c r="AS953" t="s">
        <v>1877</v>
      </c>
      <c r="AT953" t="s">
        <v>15365</v>
      </c>
      <c r="AU953">
        <v>2012</v>
      </c>
      <c r="AV953">
        <v>35</v>
      </c>
      <c r="AW953">
        <v>6</v>
      </c>
      <c r="AX953" t="s">
        <v>74</v>
      </c>
      <c r="AY953" t="s">
        <v>74</v>
      </c>
      <c r="AZ953" t="s">
        <v>74</v>
      </c>
      <c r="BA953" t="s">
        <v>74</v>
      </c>
      <c r="BB953">
        <v>813</v>
      </c>
      <c r="BC953">
        <v>827</v>
      </c>
      <c r="BD953" t="s">
        <v>74</v>
      </c>
      <c r="BE953" t="s">
        <v>17647</v>
      </c>
      <c r="BF953" t="str">
        <f>HYPERLINK("http://dx.doi.org/10.1007/s00300-011-1126-7","http://dx.doi.org/10.1007/s00300-011-1126-7")</f>
        <v>http://dx.doi.org/10.1007/s00300-011-1126-7</v>
      </c>
      <c r="BG953" t="s">
        <v>74</v>
      </c>
      <c r="BH953" t="s">
        <v>74</v>
      </c>
      <c r="BI953">
        <v>15</v>
      </c>
      <c r="BJ953" t="s">
        <v>1879</v>
      </c>
      <c r="BK953" t="s">
        <v>98</v>
      </c>
      <c r="BL953" t="s">
        <v>1880</v>
      </c>
      <c r="BM953" t="s">
        <v>17261</v>
      </c>
      <c r="BN953" t="s">
        <v>74</v>
      </c>
      <c r="BO953" t="s">
        <v>74</v>
      </c>
      <c r="BP953" t="s">
        <v>74</v>
      </c>
      <c r="BQ953" t="s">
        <v>74</v>
      </c>
      <c r="BR953" t="s">
        <v>101</v>
      </c>
      <c r="BS953" t="s">
        <v>17648</v>
      </c>
      <c r="BT953" t="str">
        <f>HYPERLINK("https%3A%2F%2Fwww.webofscience.com%2Fwos%2Fwoscc%2Ffull-record%2FWOS:000303356600001","View Full Record in Web of Science")</f>
        <v>View Full Record in Web of Science</v>
      </c>
    </row>
    <row r="954" spans="1:72" x14ac:dyDescent="0.15">
      <c r="A954" t="s">
        <v>72</v>
      </c>
      <c r="B954" t="s">
        <v>17649</v>
      </c>
      <c r="C954" t="s">
        <v>74</v>
      </c>
      <c r="D954" t="s">
        <v>74</v>
      </c>
      <c r="E954" t="s">
        <v>74</v>
      </c>
      <c r="F954" t="s">
        <v>17650</v>
      </c>
      <c r="G954" t="s">
        <v>74</v>
      </c>
      <c r="H954" t="s">
        <v>74</v>
      </c>
      <c r="I954" t="s">
        <v>17651</v>
      </c>
      <c r="J954" t="s">
        <v>1860</v>
      </c>
      <c r="K954" t="s">
        <v>74</v>
      </c>
      <c r="L954" t="s">
        <v>74</v>
      </c>
      <c r="M954" t="s">
        <v>78</v>
      </c>
      <c r="N954" t="s">
        <v>79</v>
      </c>
      <c r="O954" t="s">
        <v>74</v>
      </c>
      <c r="P954" t="s">
        <v>74</v>
      </c>
      <c r="Q954" t="s">
        <v>74</v>
      </c>
      <c r="R954" t="s">
        <v>74</v>
      </c>
      <c r="S954" t="s">
        <v>74</v>
      </c>
      <c r="T954" t="s">
        <v>17652</v>
      </c>
      <c r="U954" t="s">
        <v>17653</v>
      </c>
      <c r="V954" t="s">
        <v>17654</v>
      </c>
      <c r="W954" t="s">
        <v>17655</v>
      </c>
      <c r="X954" t="s">
        <v>17656</v>
      </c>
      <c r="Y954" t="s">
        <v>17657</v>
      </c>
      <c r="Z954" t="s">
        <v>17658</v>
      </c>
      <c r="AA954" t="s">
        <v>17659</v>
      </c>
      <c r="AB954" t="s">
        <v>74</v>
      </c>
      <c r="AC954" t="s">
        <v>17660</v>
      </c>
      <c r="AD954" t="s">
        <v>17660</v>
      </c>
      <c r="AE954" t="s">
        <v>17661</v>
      </c>
      <c r="AF954" t="s">
        <v>74</v>
      </c>
      <c r="AG954">
        <v>52</v>
      </c>
      <c r="AH954">
        <v>5</v>
      </c>
      <c r="AI954">
        <v>5</v>
      </c>
      <c r="AJ954">
        <v>1</v>
      </c>
      <c r="AK954">
        <v>23</v>
      </c>
      <c r="AL954" t="s">
        <v>935</v>
      </c>
      <c r="AM954" t="s">
        <v>371</v>
      </c>
      <c r="AN954" t="s">
        <v>936</v>
      </c>
      <c r="AO954" t="s">
        <v>1874</v>
      </c>
      <c r="AP954" t="s">
        <v>74</v>
      </c>
      <c r="AQ954" t="s">
        <v>74</v>
      </c>
      <c r="AR954" t="s">
        <v>1876</v>
      </c>
      <c r="AS954" t="s">
        <v>1877</v>
      </c>
      <c r="AT954" t="s">
        <v>15365</v>
      </c>
      <c r="AU954">
        <v>2012</v>
      </c>
      <c r="AV954">
        <v>35</v>
      </c>
      <c r="AW954">
        <v>6</v>
      </c>
      <c r="AX954" t="s">
        <v>74</v>
      </c>
      <c r="AY954" t="s">
        <v>74</v>
      </c>
      <c r="AZ954" t="s">
        <v>74</v>
      </c>
      <c r="BA954" t="s">
        <v>74</v>
      </c>
      <c r="BB954">
        <v>829</v>
      </c>
      <c r="BC954">
        <v>840</v>
      </c>
      <c r="BD954" t="s">
        <v>74</v>
      </c>
      <c r="BE954" t="s">
        <v>17662</v>
      </c>
      <c r="BF954" t="str">
        <f>HYPERLINK("http://dx.doi.org/10.1007/s00300-011-1127-6","http://dx.doi.org/10.1007/s00300-011-1127-6")</f>
        <v>http://dx.doi.org/10.1007/s00300-011-1127-6</v>
      </c>
      <c r="BG954" t="s">
        <v>74</v>
      </c>
      <c r="BH954" t="s">
        <v>74</v>
      </c>
      <c r="BI954">
        <v>12</v>
      </c>
      <c r="BJ954" t="s">
        <v>1879</v>
      </c>
      <c r="BK954" t="s">
        <v>98</v>
      </c>
      <c r="BL954" t="s">
        <v>1880</v>
      </c>
      <c r="BM954" t="s">
        <v>17261</v>
      </c>
      <c r="BN954" t="s">
        <v>74</v>
      </c>
      <c r="BO954" t="s">
        <v>74</v>
      </c>
      <c r="BP954" t="s">
        <v>74</v>
      </c>
      <c r="BQ954" t="s">
        <v>74</v>
      </c>
      <c r="BR954" t="s">
        <v>101</v>
      </c>
      <c r="BS954" t="s">
        <v>17663</v>
      </c>
      <c r="BT954" t="str">
        <f>HYPERLINK("https%3A%2F%2Fwww.webofscience.com%2Fwos%2Fwoscc%2Ffull-record%2FWOS:000303356600002","View Full Record in Web of Science")</f>
        <v>View Full Record in Web of Science</v>
      </c>
    </row>
    <row r="955" spans="1:72" x14ac:dyDescent="0.15">
      <c r="A955" t="s">
        <v>72</v>
      </c>
      <c r="B955" t="s">
        <v>17664</v>
      </c>
      <c r="C955" t="s">
        <v>74</v>
      </c>
      <c r="D955" t="s">
        <v>74</v>
      </c>
      <c r="E955" t="s">
        <v>74</v>
      </c>
      <c r="F955" t="s">
        <v>17665</v>
      </c>
      <c r="G955" t="s">
        <v>74</v>
      </c>
      <c r="H955" t="s">
        <v>74</v>
      </c>
      <c r="I955" t="s">
        <v>17666</v>
      </c>
      <c r="J955" t="s">
        <v>1860</v>
      </c>
      <c r="K955" t="s">
        <v>74</v>
      </c>
      <c r="L955" t="s">
        <v>74</v>
      </c>
      <c r="M955" t="s">
        <v>78</v>
      </c>
      <c r="N955" t="s">
        <v>79</v>
      </c>
      <c r="O955" t="s">
        <v>74</v>
      </c>
      <c r="P955" t="s">
        <v>74</v>
      </c>
      <c r="Q955" t="s">
        <v>74</v>
      </c>
      <c r="R955" t="s">
        <v>74</v>
      </c>
      <c r="S955" t="s">
        <v>74</v>
      </c>
      <c r="T955" t="s">
        <v>17667</v>
      </c>
      <c r="U955" t="s">
        <v>17668</v>
      </c>
      <c r="V955" t="s">
        <v>17669</v>
      </c>
      <c r="W955" t="s">
        <v>17670</v>
      </c>
      <c r="X955" t="s">
        <v>17671</v>
      </c>
      <c r="Y955" t="s">
        <v>17672</v>
      </c>
      <c r="Z955" t="s">
        <v>17673</v>
      </c>
      <c r="AA955" t="s">
        <v>11631</v>
      </c>
      <c r="AB955" t="s">
        <v>17674</v>
      </c>
      <c r="AC955" t="s">
        <v>17675</v>
      </c>
      <c r="AD955" t="s">
        <v>17675</v>
      </c>
      <c r="AE955" t="s">
        <v>17676</v>
      </c>
      <c r="AF955" t="s">
        <v>74</v>
      </c>
      <c r="AG955">
        <v>49</v>
      </c>
      <c r="AH955">
        <v>3</v>
      </c>
      <c r="AI955">
        <v>3</v>
      </c>
      <c r="AJ955">
        <v>0</v>
      </c>
      <c r="AK955">
        <v>12</v>
      </c>
      <c r="AL955" t="s">
        <v>935</v>
      </c>
      <c r="AM955" t="s">
        <v>371</v>
      </c>
      <c r="AN955" t="s">
        <v>1873</v>
      </c>
      <c r="AO955" t="s">
        <v>1874</v>
      </c>
      <c r="AP955" t="s">
        <v>1875</v>
      </c>
      <c r="AQ955" t="s">
        <v>74</v>
      </c>
      <c r="AR955" t="s">
        <v>1876</v>
      </c>
      <c r="AS955" t="s">
        <v>1877</v>
      </c>
      <c r="AT955" t="s">
        <v>15365</v>
      </c>
      <c r="AU955">
        <v>2012</v>
      </c>
      <c r="AV955">
        <v>35</v>
      </c>
      <c r="AW955">
        <v>6</v>
      </c>
      <c r="AX955" t="s">
        <v>74</v>
      </c>
      <c r="AY955" t="s">
        <v>74</v>
      </c>
      <c r="AZ955" t="s">
        <v>74</v>
      </c>
      <c r="BA955" t="s">
        <v>74</v>
      </c>
      <c r="BB955">
        <v>841</v>
      </c>
      <c r="BC955">
        <v>850</v>
      </c>
      <c r="BD955" t="s">
        <v>74</v>
      </c>
      <c r="BE955" t="s">
        <v>17677</v>
      </c>
      <c r="BF955" t="str">
        <f>HYPERLINK("http://dx.doi.org/10.1007/s00300-011-1128-5","http://dx.doi.org/10.1007/s00300-011-1128-5")</f>
        <v>http://dx.doi.org/10.1007/s00300-011-1128-5</v>
      </c>
      <c r="BG955" t="s">
        <v>74</v>
      </c>
      <c r="BH955" t="s">
        <v>74</v>
      </c>
      <c r="BI955">
        <v>10</v>
      </c>
      <c r="BJ955" t="s">
        <v>1879</v>
      </c>
      <c r="BK955" t="s">
        <v>98</v>
      </c>
      <c r="BL955" t="s">
        <v>1880</v>
      </c>
      <c r="BM955" t="s">
        <v>17261</v>
      </c>
      <c r="BN955" t="s">
        <v>74</v>
      </c>
      <c r="BO955" t="s">
        <v>74</v>
      </c>
      <c r="BP955" t="s">
        <v>74</v>
      </c>
      <c r="BQ955" t="s">
        <v>74</v>
      </c>
      <c r="BR955" t="s">
        <v>101</v>
      </c>
      <c r="BS955" t="s">
        <v>17678</v>
      </c>
      <c r="BT955" t="str">
        <f>HYPERLINK("https%3A%2F%2Fwww.webofscience.com%2Fwos%2Fwoscc%2Ffull-record%2FWOS:000303356600003","View Full Record in Web of Science")</f>
        <v>View Full Record in Web of Science</v>
      </c>
    </row>
    <row r="956" spans="1:72" x14ac:dyDescent="0.15">
      <c r="A956" t="s">
        <v>72</v>
      </c>
      <c r="B956" t="s">
        <v>17679</v>
      </c>
      <c r="C956" t="s">
        <v>74</v>
      </c>
      <c r="D956" t="s">
        <v>74</v>
      </c>
      <c r="E956" t="s">
        <v>74</v>
      </c>
      <c r="F956" t="s">
        <v>17680</v>
      </c>
      <c r="G956" t="s">
        <v>74</v>
      </c>
      <c r="H956" t="s">
        <v>74</v>
      </c>
      <c r="I956" t="s">
        <v>17681</v>
      </c>
      <c r="J956" t="s">
        <v>1860</v>
      </c>
      <c r="K956" t="s">
        <v>74</v>
      </c>
      <c r="L956" t="s">
        <v>74</v>
      </c>
      <c r="M956" t="s">
        <v>78</v>
      </c>
      <c r="N956" t="s">
        <v>79</v>
      </c>
      <c r="O956" t="s">
        <v>74</v>
      </c>
      <c r="P956" t="s">
        <v>74</v>
      </c>
      <c r="Q956" t="s">
        <v>74</v>
      </c>
      <c r="R956" t="s">
        <v>74</v>
      </c>
      <c r="S956" t="s">
        <v>74</v>
      </c>
      <c r="T956" t="s">
        <v>17682</v>
      </c>
      <c r="U956" t="s">
        <v>17683</v>
      </c>
      <c r="V956" t="s">
        <v>17684</v>
      </c>
      <c r="W956" t="s">
        <v>17685</v>
      </c>
      <c r="X956" t="s">
        <v>17686</v>
      </c>
      <c r="Y956" t="s">
        <v>16326</v>
      </c>
      <c r="Z956" t="s">
        <v>16327</v>
      </c>
      <c r="AA956" t="s">
        <v>17687</v>
      </c>
      <c r="AB956" t="s">
        <v>17688</v>
      </c>
      <c r="AC956" t="s">
        <v>17689</v>
      </c>
      <c r="AD956" t="s">
        <v>17690</v>
      </c>
      <c r="AE956" t="s">
        <v>17691</v>
      </c>
      <c r="AF956" t="s">
        <v>74</v>
      </c>
      <c r="AG956">
        <v>29</v>
      </c>
      <c r="AH956">
        <v>18</v>
      </c>
      <c r="AI956">
        <v>20</v>
      </c>
      <c r="AJ956">
        <v>3</v>
      </c>
      <c r="AK956">
        <v>35</v>
      </c>
      <c r="AL956" t="s">
        <v>935</v>
      </c>
      <c r="AM956" t="s">
        <v>371</v>
      </c>
      <c r="AN956" t="s">
        <v>936</v>
      </c>
      <c r="AO956" t="s">
        <v>1874</v>
      </c>
      <c r="AP956" t="s">
        <v>1875</v>
      </c>
      <c r="AQ956" t="s">
        <v>74</v>
      </c>
      <c r="AR956" t="s">
        <v>1876</v>
      </c>
      <c r="AS956" t="s">
        <v>1877</v>
      </c>
      <c r="AT956" t="s">
        <v>15365</v>
      </c>
      <c r="AU956">
        <v>2012</v>
      </c>
      <c r="AV956">
        <v>35</v>
      </c>
      <c r="AW956">
        <v>6</v>
      </c>
      <c r="AX956" t="s">
        <v>74</v>
      </c>
      <c r="AY956" t="s">
        <v>74</v>
      </c>
      <c r="AZ956" t="s">
        <v>74</v>
      </c>
      <c r="BA956" t="s">
        <v>74</v>
      </c>
      <c r="BB956">
        <v>891</v>
      </c>
      <c r="BC956">
        <v>898</v>
      </c>
      <c r="BD956" t="s">
        <v>74</v>
      </c>
      <c r="BE956" t="s">
        <v>17692</v>
      </c>
      <c r="BF956" t="str">
        <f>HYPERLINK("http://dx.doi.org/10.1007/s00300-011-1134-7","http://dx.doi.org/10.1007/s00300-011-1134-7")</f>
        <v>http://dx.doi.org/10.1007/s00300-011-1134-7</v>
      </c>
      <c r="BG956" t="s">
        <v>74</v>
      </c>
      <c r="BH956" t="s">
        <v>74</v>
      </c>
      <c r="BI956">
        <v>8</v>
      </c>
      <c r="BJ956" t="s">
        <v>1879</v>
      </c>
      <c r="BK956" t="s">
        <v>98</v>
      </c>
      <c r="BL956" t="s">
        <v>1880</v>
      </c>
      <c r="BM956" t="s">
        <v>17261</v>
      </c>
      <c r="BN956" t="s">
        <v>74</v>
      </c>
      <c r="BO956" t="s">
        <v>74</v>
      </c>
      <c r="BP956" t="s">
        <v>74</v>
      </c>
      <c r="BQ956" t="s">
        <v>74</v>
      </c>
      <c r="BR956" t="s">
        <v>101</v>
      </c>
      <c r="BS956" t="s">
        <v>17693</v>
      </c>
      <c r="BT956" t="str">
        <f>HYPERLINK("https%3A%2F%2Fwww.webofscience.com%2Fwos%2Fwoscc%2Ffull-record%2FWOS:000303356600007","View Full Record in Web of Science")</f>
        <v>View Full Record in Web of Science</v>
      </c>
    </row>
    <row r="957" spans="1:72" x14ac:dyDescent="0.15">
      <c r="A957" t="s">
        <v>72</v>
      </c>
      <c r="B957" t="s">
        <v>17694</v>
      </c>
      <c r="C957" t="s">
        <v>74</v>
      </c>
      <c r="D957" t="s">
        <v>74</v>
      </c>
      <c r="E957" t="s">
        <v>74</v>
      </c>
      <c r="F957" t="s">
        <v>17695</v>
      </c>
      <c r="G957" t="s">
        <v>74</v>
      </c>
      <c r="H957" t="s">
        <v>74</v>
      </c>
      <c r="I957" t="s">
        <v>17696</v>
      </c>
      <c r="J957" t="s">
        <v>1860</v>
      </c>
      <c r="K957" t="s">
        <v>74</v>
      </c>
      <c r="L957" t="s">
        <v>74</v>
      </c>
      <c r="M957" t="s">
        <v>78</v>
      </c>
      <c r="N957" t="s">
        <v>79</v>
      </c>
      <c r="O957" t="s">
        <v>74</v>
      </c>
      <c r="P957" t="s">
        <v>74</v>
      </c>
      <c r="Q957" t="s">
        <v>74</v>
      </c>
      <c r="R957" t="s">
        <v>74</v>
      </c>
      <c r="S957" t="s">
        <v>74</v>
      </c>
      <c r="T957" t="s">
        <v>17697</v>
      </c>
      <c r="U957" t="s">
        <v>17698</v>
      </c>
      <c r="V957" t="s">
        <v>17699</v>
      </c>
      <c r="W957" t="s">
        <v>17700</v>
      </c>
      <c r="X957" t="s">
        <v>17701</v>
      </c>
      <c r="Y957" t="s">
        <v>17702</v>
      </c>
      <c r="Z957" t="s">
        <v>17703</v>
      </c>
      <c r="AA957" t="s">
        <v>74</v>
      </c>
      <c r="AB957" t="s">
        <v>74</v>
      </c>
      <c r="AC957" t="s">
        <v>17704</v>
      </c>
      <c r="AD957" t="s">
        <v>17705</v>
      </c>
      <c r="AE957" t="s">
        <v>17706</v>
      </c>
      <c r="AF957" t="s">
        <v>74</v>
      </c>
      <c r="AG957">
        <v>56</v>
      </c>
      <c r="AH957">
        <v>11</v>
      </c>
      <c r="AI957">
        <v>11</v>
      </c>
      <c r="AJ957">
        <v>1</v>
      </c>
      <c r="AK957">
        <v>63</v>
      </c>
      <c r="AL957" t="s">
        <v>935</v>
      </c>
      <c r="AM957" t="s">
        <v>371</v>
      </c>
      <c r="AN957" t="s">
        <v>1873</v>
      </c>
      <c r="AO957" t="s">
        <v>1874</v>
      </c>
      <c r="AP957" t="s">
        <v>1875</v>
      </c>
      <c r="AQ957" t="s">
        <v>74</v>
      </c>
      <c r="AR957" t="s">
        <v>1876</v>
      </c>
      <c r="AS957" t="s">
        <v>1877</v>
      </c>
      <c r="AT957" t="s">
        <v>15365</v>
      </c>
      <c r="AU957">
        <v>2012</v>
      </c>
      <c r="AV957">
        <v>35</v>
      </c>
      <c r="AW957">
        <v>6</v>
      </c>
      <c r="AX957" t="s">
        <v>74</v>
      </c>
      <c r="AY957" t="s">
        <v>74</v>
      </c>
      <c r="AZ957" t="s">
        <v>74</v>
      </c>
      <c r="BA957" t="s">
        <v>74</v>
      </c>
      <c r="BB957">
        <v>941</v>
      </c>
      <c r="BC957">
        <v>957</v>
      </c>
      <c r="BD957" t="s">
        <v>74</v>
      </c>
      <c r="BE957" t="s">
        <v>17707</v>
      </c>
      <c r="BF957" t="str">
        <f>HYPERLINK("http://dx.doi.org/10.1007/s00300-011-1142-7","http://dx.doi.org/10.1007/s00300-011-1142-7")</f>
        <v>http://dx.doi.org/10.1007/s00300-011-1142-7</v>
      </c>
      <c r="BG957" t="s">
        <v>74</v>
      </c>
      <c r="BH957" t="s">
        <v>74</v>
      </c>
      <c r="BI957">
        <v>17</v>
      </c>
      <c r="BJ957" t="s">
        <v>1879</v>
      </c>
      <c r="BK957" t="s">
        <v>98</v>
      </c>
      <c r="BL957" t="s">
        <v>1880</v>
      </c>
      <c r="BM957" t="s">
        <v>17261</v>
      </c>
      <c r="BN957" t="s">
        <v>74</v>
      </c>
      <c r="BO957" t="s">
        <v>74</v>
      </c>
      <c r="BP957" t="s">
        <v>74</v>
      </c>
      <c r="BQ957" t="s">
        <v>74</v>
      </c>
      <c r="BR957" t="s">
        <v>101</v>
      </c>
      <c r="BS957" t="s">
        <v>17708</v>
      </c>
      <c r="BT957" t="str">
        <f>HYPERLINK("https%3A%2F%2Fwww.webofscience.com%2Fwos%2Fwoscc%2Ffull-record%2FWOS:000303356600012","View Full Record in Web of Science")</f>
        <v>View Full Record in Web of Science</v>
      </c>
    </row>
    <row r="958" spans="1:72" x14ac:dyDescent="0.15">
      <c r="A958" t="s">
        <v>72</v>
      </c>
      <c r="B958" t="s">
        <v>17709</v>
      </c>
      <c r="C958" t="s">
        <v>74</v>
      </c>
      <c r="D958" t="s">
        <v>74</v>
      </c>
      <c r="E958" t="s">
        <v>74</v>
      </c>
      <c r="F958" t="s">
        <v>17710</v>
      </c>
      <c r="G958" t="s">
        <v>74</v>
      </c>
      <c r="H958" t="s">
        <v>74</v>
      </c>
      <c r="I958" t="s">
        <v>17711</v>
      </c>
      <c r="J958" t="s">
        <v>1860</v>
      </c>
      <c r="K958" t="s">
        <v>74</v>
      </c>
      <c r="L958" t="s">
        <v>74</v>
      </c>
      <c r="M958" t="s">
        <v>78</v>
      </c>
      <c r="N958" t="s">
        <v>79</v>
      </c>
      <c r="O958" t="s">
        <v>74</v>
      </c>
      <c r="P958" t="s">
        <v>74</v>
      </c>
      <c r="Q958" t="s">
        <v>74</v>
      </c>
      <c r="R958" t="s">
        <v>74</v>
      </c>
      <c r="S958" t="s">
        <v>74</v>
      </c>
      <c r="T958" t="s">
        <v>17712</v>
      </c>
      <c r="U958" t="s">
        <v>17713</v>
      </c>
      <c r="V958" t="s">
        <v>17714</v>
      </c>
      <c r="W958" t="s">
        <v>17715</v>
      </c>
      <c r="X958" t="s">
        <v>17716</v>
      </c>
      <c r="Y958" t="s">
        <v>17717</v>
      </c>
      <c r="Z958" t="s">
        <v>17718</v>
      </c>
      <c r="AA958" t="s">
        <v>17719</v>
      </c>
      <c r="AB958" t="s">
        <v>17720</v>
      </c>
      <c r="AC958" t="s">
        <v>17721</v>
      </c>
      <c r="AD958" t="s">
        <v>17722</v>
      </c>
      <c r="AE958" t="s">
        <v>17723</v>
      </c>
      <c r="AF958" t="s">
        <v>74</v>
      </c>
      <c r="AG958">
        <v>18</v>
      </c>
      <c r="AH958">
        <v>29</v>
      </c>
      <c r="AI958">
        <v>29</v>
      </c>
      <c r="AJ958">
        <v>0</v>
      </c>
      <c r="AK958">
        <v>18</v>
      </c>
      <c r="AL958" t="s">
        <v>935</v>
      </c>
      <c r="AM958" t="s">
        <v>371</v>
      </c>
      <c r="AN958" t="s">
        <v>936</v>
      </c>
      <c r="AO958" t="s">
        <v>1874</v>
      </c>
      <c r="AP958" t="s">
        <v>1875</v>
      </c>
      <c r="AQ958" t="s">
        <v>74</v>
      </c>
      <c r="AR958" t="s">
        <v>1876</v>
      </c>
      <c r="AS958" t="s">
        <v>1877</v>
      </c>
      <c r="AT958" t="s">
        <v>15365</v>
      </c>
      <c r="AU958">
        <v>2012</v>
      </c>
      <c r="AV958">
        <v>35</v>
      </c>
      <c r="AW958">
        <v>6</v>
      </c>
      <c r="AX958" t="s">
        <v>74</v>
      </c>
      <c r="AY958" t="s">
        <v>74</v>
      </c>
      <c r="AZ958" t="s">
        <v>74</v>
      </c>
      <c r="BA958" t="s">
        <v>74</v>
      </c>
      <c r="BB958">
        <v>959</v>
      </c>
      <c r="BC958">
        <v>962</v>
      </c>
      <c r="BD958" t="s">
        <v>74</v>
      </c>
      <c r="BE958" t="s">
        <v>17724</v>
      </c>
      <c r="BF958" t="str">
        <f>HYPERLINK("http://dx.doi.org/10.1007/s00300-011-1137-4","http://dx.doi.org/10.1007/s00300-011-1137-4")</f>
        <v>http://dx.doi.org/10.1007/s00300-011-1137-4</v>
      </c>
      <c r="BG958" t="s">
        <v>74</v>
      </c>
      <c r="BH958" t="s">
        <v>74</v>
      </c>
      <c r="BI958">
        <v>4</v>
      </c>
      <c r="BJ958" t="s">
        <v>1879</v>
      </c>
      <c r="BK958" t="s">
        <v>98</v>
      </c>
      <c r="BL958" t="s">
        <v>1880</v>
      </c>
      <c r="BM958" t="s">
        <v>17261</v>
      </c>
      <c r="BN958" t="s">
        <v>74</v>
      </c>
      <c r="BO958" t="s">
        <v>74</v>
      </c>
      <c r="BP958" t="s">
        <v>74</v>
      </c>
      <c r="BQ958" t="s">
        <v>74</v>
      </c>
      <c r="BR958" t="s">
        <v>101</v>
      </c>
      <c r="BS958" t="s">
        <v>17725</v>
      </c>
      <c r="BT958" t="str">
        <f>HYPERLINK("https%3A%2F%2Fwww.webofscience.com%2Fwos%2Fwoscc%2Ffull-record%2FWOS:000303356600013","View Full Record in Web of Science")</f>
        <v>View Full Record in Web of Science</v>
      </c>
    </row>
    <row r="959" spans="1:72" x14ac:dyDescent="0.15">
      <c r="A959" t="s">
        <v>72</v>
      </c>
      <c r="B959" t="s">
        <v>17726</v>
      </c>
      <c r="C959" t="s">
        <v>74</v>
      </c>
      <c r="D959" t="s">
        <v>74</v>
      </c>
      <c r="E959" t="s">
        <v>74</v>
      </c>
      <c r="F959" t="s">
        <v>17727</v>
      </c>
      <c r="G959" t="s">
        <v>74</v>
      </c>
      <c r="H959" t="s">
        <v>74</v>
      </c>
      <c r="I959" t="s">
        <v>17728</v>
      </c>
      <c r="J959" t="s">
        <v>1860</v>
      </c>
      <c r="K959" t="s">
        <v>74</v>
      </c>
      <c r="L959" t="s">
        <v>74</v>
      </c>
      <c r="M959" t="s">
        <v>78</v>
      </c>
      <c r="N959" t="s">
        <v>79</v>
      </c>
      <c r="O959" t="s">
        <v>74</v>
      </c>
      <c r="P959" t="s">
        <v>74</v>
      </c>
      <c r="Q959" t="s">
        <v>74</v>
      </c>
      <c r="R959" t="s">
        <v>74</v>
      </c>
      <c r="S959" t="s">
        <v>74</v>
      </c>
      <c r="T959" t="s">
        <v>17729</v>
      </c>
      <c r="U959" t="s">
        <v>17730</v>
      </c>
      <c r="V959" t="s">
        <v>17731</v>
      </c>
      <c r="W959" t="s">
        <v>17732</v>
      </c>
      <c r="X959" t="s">
        <v>17733</v>
      </c>
      <c r="Y959" t="s">
        <v>17734</v>
      </c>
      <c r="Z959" t="s">
        <v>16693</v>
      </c>
      <c r="AA959" t="s">
        <v>17735</v>
      </c>
      <c r="AB959" t="s">
        <v>74</v>
      </c>
      <c r="AC959" t="s">
        <v>17736</v>
      </c>
      <c r="AD959" t="s">
        <v>17737</v>
      </c>
      <c r="AE959" t="s">
        <v>17738</v>
      </c>
      <c r="AF959" t="s">
        <v>74</v>
      </c>
      <c r="AG959">
        <v>11</v>
      </c>
      <c r="AH959">
        <v>40</v>
      </c>
      <c r="AI959">
        <v>50</v>
      </c>
      <c r="AJ959">
        <v>6</v>
      </c>
      <c r="AK959">
        <v>62</v>
      </c>
      <c r="AL959" t="s">
        <v>935</v>
      </c>
      <c r="AM959" t="s">
        <v>371</v>
      </c>
      <c r="AN959" t="s">
        <v>936</v>
      </c>
      <c r="AO959" t="s">
        <v>1874</v>
      </c>
      <c r="AP959" t="s">
        <v>74</v>
      </c>
      <c r="AQ959" t="s">
        <v>74</v>
      </c>
      <c r="AR959" t="s">
        <v>1876</v>
      </c>
      <c r="AS959" t="s">
        <v>1877</v>
      </c>
      <c r="AT959" t="s">
        <v>15365</v>
      </c>
      <c r="AU959">
        <v>2012</v>
      </c>
      <c r="AV959">
        <v>35</v>
      </c>
      <c r="AW959">
        <v>6</v>
      </c>
      <c r="AX959" t="s">
        <v>74</v>
      </c>
      <c r="AY959" t="s">
        <v>74</v>
      </c>
      <c r="AZ959" t="s">
        <v>74</v>
      </c>
      <c r="BA959" t="s">
        <v>74</v>
      </c>
      <c r="BB959">
        <v>963</v>
      </c>
      <c r="BC959">
        <v>968</v>
      </c>
      <c r="BD959" t="s">
        <v>74</v>
      </c>
      <c r="BE959" t="s">
        <v>17739</v>
      </c>
      <c r="BF959" t="str">
        <f>HYPERLINK("http://dx.doi.org/10.1007/s00300-011-1138-3","http://dx.doi.org/10.1007/s00300-011-1138-3")</f>
        <v>http://dx.doi.org/10.1007/s00300-011-1138-3</v>
      </c>
      <c r="BG959" t="s">
        <v>74</v>
      </c>
      <c r="BH959" t="s">
        <v>74</v>
      </c>
      <c r="BI959">
        <v>6</v>
      </c>
      <c r="BJ959" t="s">
        <v>1879</v>
      </c>
      <c r="BK959" t="s">
        <v>98</v>
      </c>
      <c r="BL959" t="s">
        <v>1880</v>
      </c>
      <c r="BM959" t="s">
        <v>17261</v>
      </c>
      <c r="BN959" t="s">
        <v>74</v>
      </c>
      <c r="BO959" t="s">
        <v>74</v>
      </c>
      <c r="BP959" t="s">
        <v>74</v>
      </c>
      <c r="BQ959" t="s">
        <v>74</v>
      </c>
      <c r="BR959" t="s">
        <v>101</v>
      </c>
      <c r="BS959" t="s">
        <v>17740</v>
      </c>
      <c r="BT959" t="str">
        <f>HYPERLINK("https%3A%2F%2Fwww.webofscience.com%2Fwos%2Fwoscc%2Ffull-record%2FWOS:000303356600014","View Full Record in Web of Science")</f>
        <v>View Full Record in Web of Science</v>
      </c>
    </row>
    <row r="960" spans="1:72" x14ac:dyDescent="0.15">
      <c r="A960" t="s">
        <v>72</v>
      </c>
      <c r="B960" t="s">
        <v>17741</v>
      </c>
      <c r="C960" t="s">
        <v>74</v>
      </c>
      <c r="D960" t="s">
        <v>74</v>
      </c>
      <c r="E960" t="s">
        <v>74</v>
      </c>
      <c r="F960" t="s">
        <v>17742</v>
      </c>
      <c r="G960" t="s">
        <v>74</v>
      </c>
      <c r="H960" t="s">
        <v>74</v>
      </c>
      <c r="I960" t="s">
        <v>17743</v>
      </c>
      <c r="J960" t="s">
        <v>1860</v>
      </c>
      <c r="K960" t="s">
        <v>74</v>
      </c>
      <c r="L960" t="s">
        <v>74</v>
      </c>
      <c r="M960" t="s">
        <v>78</v>
      </c>
      <c r="N960" t="s">
        <v>79</v>
      </c>
      <c r="O960" t="s">
        <v>74</v>
      </c>
      <c r="P960" t="s">
        <v>74</v>
      </c>
      <c r="Q960" t="s">
        <v>74</v>
      </c>
      <c r="R960" t="s">
        <v>74</v>
      </c>
      <c r="S960" t="s">
        <v>74</v>
      </c>
      <c r="T960" t="s">
        <v>17744</v>
      </c>
      <c r="U960" t="s">
        <v>17745</v>
      </c>
      <c r="V960" t="s">
        <v>17746</v>
      </c>
      <c r="W960" t="s">
        <v>17747</v>
      </c>
      <c r="X960" t="s">
        <v>17748</v>
      </c>
      <c r="Y960" t="s">
        <v>17749</v>
      </c>
      <c r="Z960" t="s">
        <v>17750</v>
      </c>
      <c r="AA960" t="s">
        <v>17751</v>
      </c>
      <c r="AB960" t="s">
        <v>17752</v>
      </c>
      <c r="AC960" t="s">
        <v>17753</v>
      </c>
      <c r="AD960" t="s">
        <v>17754</v>
      </c>
      <c r="AE960" t="s">
        <v>17755</v>
      </c>
      <c r="AF960" t="s">
        <v>74</v>
      </c>
      <c r="AG960">
        <v>13</v>
      </c>
      <c r="AH960">
        <v>1</v>
      </c>
      <c r="AI960">
        <v>1</v>
      </c>
      <c r="AJ960">
        <v>0</v>
      </c>
      <c r="AK960">
        <v>6</v>
      </c>
      <c r="AL960" t="s">
        <v>935</v>
      </c>
      <c r="AM960" t="s">
        <v>371</v>
      </c>
      <c r="AN960" t="s">
        <v>936</v>
      </c>
      <c r="AO960" t="s">
        <v>1874</v>
      </c>
      <c r="AP960" t="s">
        <v>74</v>
      </c>
      <c r="AQ960" t="s">
        <v>74</v>
      </c>
      <c r="AR960" t="s">
        <v>1876</v>
      </c>
      <c r="AS960" t="s">
        <v>1877</v>
      </c>
      <c r="AT960" t="s">
        <v>15365</v>
      </c>
      <c r="AU960">
        <v>2012</v>
      </c>
      <c r="AV960">
        <v>35</v>
      </c>
      <c r="AW960">
        <v>6</v>
      </c>
      <c r="AX960" t="s">
        <v>74</v>
      </c>
      <c r="AY960" t="s">
        <v>74</v>
      </c>
      <c r="AZ960" t="s">
        <v>74</v>
      </c>
      <c r="BA960" t="s">
        <v>74</v>
      </c>
      <c r="BB960">
        <v>969</v>
      </c>
      <c r="BC960">
        <v>972</v>
      </c>
      <c r="BD960" t="s">
        <v>74</v>
      </c>
      <c r="BE960" t="s">
        <v>17756</v>
      </c>
      <c r="BF960" t="str">
        <f>HYPERLINK("http://dx.doi.org/10.1007/s00300-011-1140-9","http://dx.doi.org/10.1007/s00300-011-1140-9")</f>
        <v>http://dx.doi.org/10.1007/s00300-011-1140-9</v>
      </c>
      <c r="BG960" t="s">
        <v>74</v>
      </c>
      <c r="BH960" t="s">
        <v>74</v>
      </c>
      <c r="BI960">
        <v>4</v>
      </c>
      <c r="BJ960" t="s">
        <v>1879</v>
      </c>
      <c r="BK960" t="s">
        <v>98</v>
      </c>
      <c r="BL960" t="s">
        <v>1880</v>
      </c>
      <c r="BM960" t="s">
        <v>17261</v>
      </c>
      <c r="BN960" t="s">
        <v>74</v>
      </c>
      <c r="BO960" t="s">
        <v>74</v>
      </c>
      <c r="BP960" t="s">
        <v>74</v>
      </c>
      <c r="BQ960" t="s">
        <v>74</v>
      </c>
      <c r="BR960" t="s">
        <v>101</v>
      </c>
      <c r="BS960" t="s">
        <v>17757</v>
      </c>
      <c r="BT960" t="str">
        <f>HYPERLINK("https%3A%2F%2Fwww.webofscience.com%2Fwos%2Fwoscc%2Ffull-record%2FWOS:000303356600015","View Full Record in Web of Science")</f>
        <v>View Full Record in Web of Science</v>
      </c>
    </row>
    <row r="961" spans="1:72" x14ac:dyDescent="0.15">
      <c r="A961" t="s">
        <v>72</v>
      </c>
      <c r="B961" t="s">
        <v>17758</v>
      </c>
      <c r="C961" t="s">
        <v>74</v>
      </c>
      <c r="D961" t="s">
        <v>74</v>
      </c>
      <c r="E961" t="s">
        <v>74</v>
      </c>
      <c r="F961" t="s">
        <v>17759</v>
      </c>
      <c r="G961" t="s">
        <v>74</v>
      </c>
      <c r="H961" t="s">
        <v>74</v>
      </c>
      <c r="I961" t="s">
        <v>17760</v>
      </c>
      <c r="J961" t="s">
        <v>8272</v>
      </c>
      <c r="K961" t="s">
        <v>74</v>
      </c>
      <c r="L961" t="s">
        <v>74</v>
      </c>
      <c r="M961" t="s">
        <v>78</v>
      </c>
      <c r="N961" t="s">
        <v>79</v>
      </c>
      <c r="O961" t="s">
        <v>74</v>
      </c>
      <c r="P961" t="s">
        <v>74</v>
      </c>
      <c r="Q961" t="s">
        <v>74</v>
      </c>
      <c r="R961" t="s">
        <v>74</v>
      </c>
      <c r="S961" t="s">
        <v>74</v>
      </c>
      <c r="T961" t="s">
        <v>17761</v>
      </c>
      <c r="U961" t="s">
        <v>17762</v>
      </c>
      <c r="V961" t="s">
        <v>17763</v>
      </c>
      <c r="W961" t="s">
        <v>17764</v>
      </c>
      <c r="X961" t="s">
        <v>17765</v>
      </c>
      <c r="Y961" t="s">
        <v>17766</v>
      </c>
      <c r="Z961" t="s">
        <v>17767</v>
      </c>
      <c r="AA961" t="s">
        <v>17768</v>
      </c>
      <c r="AB961" t="s">
        <v>17769</v>
      </c>
      <c r="AC961" t="s">
        <v>17770</v>
      </c>
      <c r="AD961" t="s">
        <v>17771</v>
      </c>
      <c r="AE961" t="s">
        <v>17772</v>
      </c>
      <c r="AF961" t="s">
        <v>74</v>
      </c>
      <c r="AG961">
        <v>93</v>
      </c>
      <c r="AH961">
        <v>57</v>
      </c>
      <c r="AI961">
        <v>65</v>
      </c>
      <c r="AJ961">
        <v>3</v>
      </c>
      <c r="AK961">
        <v>30</v>
      </c>
      <c r="AL961" t="s">
        <v>89</v>
      </c>
      <c r="AM961" t="s">
        <v>90</v>
      </c>
      <c r="AN961" t="s">
        <v>91</v>
      </c>
      <c r="AO961" t="s">
        <v>8280</v>
      </c>
      <c r="AP961" t="s">
        <v>8281</v>
      </c>
      <c r="AQ961" t="s">
        <v>74</v>
      </c>
      <c r="AR961" t="s">
        <v>8282</v>
      </c>
      <c r="AS961" t="s">
        <v>8283</v>
      </c>
      <c r="AT961" t="s">
        <v>15365</v>
      </c>
      <c r="AU961">
        <v>2012</v>
      </c>
      <c r="AV961">
        <v>52</v>
      </c>
      <c r="AW961" t="s">
        <v>74</v>
      </c>
      <c r="AX961" t="s">
        <v>74</v>
      </c>
      <c r="AY961" t="s">
        <v>74</v>
      </c>
      <c r="AZ961" t="s">
        <v>1019</v>
      </c>
      <c r="BA961" t="s">
        <v>74</v>
      </c>
      <c r="BB961">
        <v>29</v>
      </c>
      <c r="BC961">
        <v>47</v>
      </c>
      <c r="BD961" t="s">
        <v>74</v>
      </c>
      <c r="BE961" t="s">
        <v>17773</v>
      </c>
      <c r="BF961" t="str">
        <f>HYPERLINK("http://dx.doi.org/10.1016/j.atmosenv.2012.02.055","http://dx.doi.org/10.1016/j.atmosenv.2012.02.055")</f>
        <v>http://dx.doi.org/10.1016/j.atmosenv.2012.02.055</v>
      </c>
      <c r="BG961" t="s">
        <v>74</v>
      </c>
      <c r="BH961" t="s">
        <v>74</v>
      </c>
      <c r="BI961">
        <v>19</v>
      </c>
      <c r="BJ961" t="s">
        <v>4129</v>
      </c>
      <c r="BK961" t="s">
        <v>98</v>
      </c>
      <c r="BL961" t="s">
        <v>2844</v>
      </c>
      <c r="BM961" t="s">
        <v>16402</v>
      </c>
      <c r="BN961" t="s">
        <v>74</v>
      </c>
      <c r="BO961" t="s">
        <v>74</v>
      </c>
      <c r="BP961" t="s">
        <v>74</v>
      </c>
      <c r="BQ961" t="s">
        <v>74</v>
      </c>
      <c r="BR961" t="s">
        <v>101</v>
      </c>
      <c r="BS961" t="s">
        <v>17774</v>
      </c>
      <c r="BT961" t="str">
        <f>HYPERLINK("https%3A%2F%2Fwww.webofscience.com%2Fwos%2Fwoscc%2Ffull-record%2FWOS:000303098500004","View Full Record in Web of Science")</f>
        <v>View Full Record in Web of Science</v>
      </c>
    </row>
    <row r="962" spans="1:72" x14ac:dyDescent="0.15">
      <c r="A962" t="s">
        <v>72</v>
      </c>
      <c r="B962" t="s">
        <v>17775</v>
      </c>
      <c r="C962" t="s">
        <v>74</v>
      </c>
      <c r="D962" t="s">
        <v>74</v>
      </c>
      <c r="E962" t="s">
        <v>74</v>
      </c>
      <c r="F962" t="s">
        <v>17776</v>
      </c>
      <c r="G962" t="s">
        <v>74</v>
      </c>
      <c r="H962" t="s">
        <v>74</v>
      </c>
      <c r="I962" t="s">
        <v>17777</v>
      </c>
      <c r="J962" t="s">
        <v>17778</v>
      </c>
      <c r="K962" t="s">
        <v>74</v>
      </c>
      <c r="L962" t="s">
        <v>74</v>
      </c>
      <c r="M962" t="s">
        <v>78</v>
      </c>
      <c r="N962" t="s">
        <v>79</v>
      </c>
      <c r="O962" t="s">
        <v>74</v>
      </c>
      <c r="P962" t="s">
        <v>74</v>
      </c>
      <c r="Q962" t="s">
        <v>74</v>
      </c>
      <c r="R962" t="s">
        <v>74</v>
      </c>
      <c r="S962" t="s">
        <v>74</v>
      </c>
      <c r="T962" t="s">
        <v>74</v>
      </c>
      <c r="U962" t="s">
        <v>17779</v>
      </c>
      <c r="V962" t="s">
        <v>17780</v>
      </c>
      <c r="W962" t="s">
        <v>17781</v>
      </c>
      <c r="X962" t="s">
        <v>17782</v>
      </c>
      <c r="Y962" t="s">
        <v>17783</v>
      </c>
      <c r="Z962" t="s">
        <v>17784</v>
      </c>
      <c r="AA962" t="s">
        <v>17785</v>
      </c>
      <c r="AB962" t="s">
        <v>17786</v>
      </c>
      <c r="AC962" t="s">
        <v>74</v>
      </c>
      <c r="AD962" t="s">
        <v>74</v>
      </c>
      <c r="AE962" t="s">
        <v>74</v>
      </c>
      <c r="AF962" t="s">
        <v>74</v>
      </c>
      <c r="AG962">
        <v>26</v>
      </c>
      <c r="AH962">
        <v>4</v>
      </c>
      <c r="AI962">
        <v>4</v>
      </c>
      <c r="AJ962">
        <v>0</v>
      </c>
      <c r="AK962">
        <v>15</v>
      </c>
      <c r="AL962" t="s">
        <v>916</v>
      </c>
      <c r="AM962" t="s">
        <v>899</v>
      </c>
      <c r="AN962" t="s">
        <v>900</v>
      </c>
      <c r="AO962" t="s">
        <v>17787</v>
      </c>
      <c r="AP962" t="s">
        <v>74</v>
      </c>
      <c r="AQ962" t="s">
        <v>74</v>
      </c>
      <c r="AR962" t="s">
        <v>17788</v>
      </c>
      <c r="AS962" t="s">
        <v>17789</v>
      </c>
      <c r="AT962" t="s">
        <v>15365</v>
      </c>
      <c r="AU962">
        <v>2012</v>
      </c>
      <c r="AV962">
        <v>44</v>
      </c>
      <c r="AW962">
        <v>6</v>
      </c>
      <c r="AX962" t="s">
        <v>74</v>
      </c>
      <c r="AY962" t="s">
        <v>74</v>
      </c>
      <c r="AZ962" t="s">
        <v>74</v>
      </c>
      <c r="BA962" t="s">
        <v>74</v>
      </c>
      <c r="BB962">
        <v>386</v>
      </c>
      <c r="BC962">
        <v>397</v>
      </c>
      <c r="BD962" t="s">
        <v>74</v>
      </c>
      <c r="BE962" t="s">
        <v>17790</v>
      </c>
      <c r="BF962" t="str">
        <f>HYPERLINK("http://dx.doi.org/10.1002/kin.20573","http://dx.doi.org/10.1002/kin.20573")</f>
        <v>http://dx.doi.org/10.1002/kin.20573</v>
      </c>
      <c r="BG962" t="s">
        <v>74</v>
      </c>
      <c r="BH962" t="s">
        <v>74</v>
      </c>
      <c r="BI962">
        <v>12</v>
      </c>
      <c r="BJ962" t="s">
        <v>17791</v>
      </c>
      <c r="BK962" t="s">
        <v>98</v>
      </c>
      <c r="BL962" t="s">
        <v>801</v>
      </c>
      <c r="BM962" t="s">
        <v>17792</v>
      </c>
      <c r="BN962" t="s">
        <v>74</v>
      </c>
      <c r="BO962" t="s">
        <v>607</v>
      </c>
      <c r="BP962" t="s">
        <v>74</v>
      </c>
      <c r="BQ962" t="s">
        <v>74</v>
      </c>
      <c r="BR962" t="s">
        <v>101</v>
      </c>
      <c r="BS962" t="s">
        <v>17793</v>
      </c>
      <c r="BT962" t="str">
        <f>HYPERLINK("https%3A%2F%2Fwww.webofscience.com%2Fwos%2Fwoscc%2Ffull-record%2FWOS:000303042600003","View Full Record in Web of Science")</f>
        <v>View Full Record in Web of Science</v>
      </c>
    </row>
    <row r="963" spans="1:72" x14ac:dyDescent="0.15">
      <c r="A963" t="s">
        <v>72</v>
      </c>
      <c r="B963" t="s">
        <v>17794</v>
      </c>
      <c r="C963" t="s">
        <v>74</v>
      </c>
      <c r="D963" t="s">
        <v>74</v>
      </c>
      <c r="E963" t="s">
        <v>74</v>
      </c>
      <c r="F963" t="s">
        <v>17795</v>
      </c>
      <c r="G963" t="s">
        <v>74</v>
      </c>
      <c r="H963" t="s">
        <v>74</v>
      </c>
      <c r="I963" t="s">
        <v>17796</v>
      </c>
      <c r="J963" t="s">
        <v>17797</v>
      </c>
      <c r="K963" t="s">
        <v>74</v>
      </c>
      <c r="L963" t="s">
        <v>74</v>
      </c>
      <c r="M963" t="s">
        <v>78</v>
      </c>
      <c r="N963" t="s">
        <v>79</v>
      </c>
      <c r="O963" t="s">
        <v>74</v>
      </c>
      <c r="P963" t="s">
        <v>74</v>
      </c>
      <c r="Q963" t="s">
        <v>74</v>
      </c>
      <c r="R963" t="s">
        <v>74</v>
      </c>
      <c r="S963" t="s">
        <v>74</v>
      </c>
      <c r="T963" t="s">
        <v>17798</v>
      </c>
      <c r="U963" t="s">
        <v>17799</v>
      </c>
      <c r="V963" t="s">
        <v>17800</v>
      </c>
      <c r="W963" t="s">
        <v>17801</v>
      </c>
      <c r="X963" t="s">
        <v>17802</v>
      </c>
      <c r="Y963" t="s">
        <v>17803</v>
      </c>
      <c r="Z963" t="s">
        <v>17804</v>
      </c>
      <c r="AA963" t="s">
        <v>17805</v>
      </c>
      <c r="AB963" t="s">
        <v>74</v>
      </c>
      <c r="AC963" t="s">
        <v>17806</v>
      </c>
      <c r="AD963" t="s">
        <v>17806</v>
      </c>
      <c r="AE963" t="s">
        <v>17807</v>
      </c>
      <c r="AF963" t="s">
        <v>74</v>
      </c>
      <c r="AG963">
        <v>41</v>
      </c>
      <c r="AH963">
        <v>3</v>
      </c>
      <c r="AI963">
        <v>3</v>
      </c>
      <c r="AJ963">
        <v>0</v>
      </c>
      <c r="AK963">
        <v>36</v>
      </c>
      <c r="AL963" t="s">
        <v>916</v>
      </c>
      <c r="AM963" t="s">
        <v>17808</v>
      </c>
      <c r="AN963" t="s">
        <v>17809</v>
      </c>
      <c r="AO963" t="s">
        <v>17810</v>
      </c>
      <c r="AP963" t="s">
        <v>74</v>
      </c>
      <c r="AQ963" t="s">
        <v>74</v>
      </c>
      <c r="AR963" t="s">
        <v>17811</v>
      </c>
      <c r="AS963" t="s">
        <v>17812</v>
      </c>
      <c r="AT963" t="s">
        <v>15365</v>
      </c>
      <c r="AU963">
        <v>2012</v>
      </c>
      <c r="AV963">
        <v>18</v>
      </c>
      <c r="AW963">
        <v>3</v>
      </c>
      <c r="AX963" t="s">
        <v>74</v>
      </c>
      <c r="AY963" t="s">
        <v>74</v>
      </c>
      <c r="AZ963" t="s">
        <v>74</v>
      </c>
      <c r="BA963" t="s">
        <v>74</v>
      </c>
      <c r="BB963">
        <v>304</v>
      </c>
      <c r="BC963">
        <v>312</v>
      </c>
      <c r="BD963" t="s">
        <v>74</v>
      </c>
      <c r="BE963" t="s">
        <v>17813</v>
      </c>
      <c r="BF963" t="str">
        <f>HYPERLINK("http://dx.doi.org/10.1111/j.1365-2095.2011.00897.x","http://dx.doi.org/10.1111/j.1365-2095.2011.00897.x")</f>
        <v>http://dx.doi.org/10.1111/j.1365-2095.2011.00897.x</v>
      </c>
      <c r="BG963" t="s">
        <v>74</v>
      </c>
      <c r="BH963" t="s">
        <v>74</v>
      </c>
      <c r="BI963">
        <v>9</v>
      </c>
      <c r="BJ963" t="s">
        <v>5292</v>
      </c>
      <c r="BK963" t="s">
        <v>98</v>
      </c>
      <c r="BL963" t="s">
        <v>5292</v>
      </c>
      <c r="BM963" t="s">
        <v>17814</v>
      </c>
      <c r="BN963" t="s">
        <v>74</v>
      </c>
      <c r="BO963" t="s">
        <v>7420</v>
      </c>
      <c r="BP963" t="s">
        <v>74</v>
      </c>
      <c r="BQ963" t="s">
        <v>74</v>
      </c>
      <c r="BR963" t="s">
        <v>101</v>
      </c>
      <c r="BS963" t="s">
        <v>17815</v>
      </c>
      <c r="BT963" t="str">
        <f>HYPERLINK("https%3A%2F%2Fwww.webofscience.com%2Fwos%2Fwoscc%2Ffull-record%2FWOS:000302699500008","View Full Record in Web of Science")</f>
        <v>View Full Record in Web of Science</v>
      </c>
    </row>
    <row r="964" spans="1:72" x14ac:dyDescent="0.15">
      <c r="A964" t="s">
        <v>72</v>
      </c>
      <c r="B964" t="s">
        <v>17816</v>
      </c>
      <c r="C964" t="s">
        <v>74</v>
      </c>
      <c r="D964" t="s">
        <v>74</v>
      </c>
      <c r="E964" t="s">
        <v>74</v>
      </c>
      <c r="F964" t="s">
        <v>17817</v>
      </c>
      <c r="G964" t="s">
        <v>74</v>
      </c>
      <c r="H964" t="s">
        <v>74</v>
      </c>
      <c r="I964" t="s">
        <v>17818</v>
      </c>
      <c r="J964" t="s">
        <v>6204</v>
      </c>
      <c r="K964" t="s">
        <v>74</v>
      </c>
      <c r="L964" t="s">
        <v>74</v>
      </c>
      <c r="M964" t="s">
        <v>78</v>
      </c>
      <c r="N964" t="s">
        <v>79</v>
      </c>
      <c r="O964" t="s">
        <v>74</v>
      </c>
      <c r="P964" t="s">
        <v>74</v>
      </c>
      <c r="Q964" t="s">
        <v>74</v>
      </c>
      <c r="R964" t="s">
        <v>74</v>
      </c>
      <c r="S964" t="s">
        <v>74</v>
      </c>
      <c r="T964" t="s">
        <v>17819</v>
      </c>
      <c r="U964" t="s">
        <v>74</v>
      </c>
      <c r="V964" t="s">
        <v>17820</v>
      </c>
      <c r="W964" t="s">
        <v>17821</v>
      </c>
      <c r="X964" t="s">
        <v>17822</v>
      </c>
      <c r="Y964" t="s">
        <v>17823</v>
      </c>
      <c r="Z964" t="s">
        <v>17824</v>
      </c>
      <c r="AA964" t="s">
        <v>74</v>
      </c>
      <c r="AB964" t="s">
        <v>17825</v>
      </c>
      <c r="AC964" t="s">
        <v>17826</v>
      </c>
      <c r="AD964" t="s">
        <v>17827</v>
      </c>
      <c r="AE964" t="s">
        <v>17828</v>
      </c>
      <c r="AF964" t="s">
        <v>74</v>
      </c>
      <c r="AG964">
        <v>7</v>
      </c>
      <c r="AH964">
        <v>13</v>
      </c>
      <c r="AI964">
        <v>14</v>
      </c>
      <c r="AJ964">
        <v>1</v>
      </c>
      <c r="AK964">
        <v>9</v>
      </c>
      <c r="AL964" t="s">
        <v>259</v>
      </c>
      <c r="AM964" t="s">
        <v>189</v>
      </c>
      <c r="AN964" t="s">
        <v>260</v>
      </c>
      <c r="AO964" t="s">
        <v>6216</v>
      </c>
      <c r="AP964" t="s">
        <v>74</v>
      </c>
      <c r="AQ964" t="s">
        <v>74</v>
      </c>
      <c r="AR964" t="s">
        <v>6218</v>
      </c>
      <c r="AS964" t="s">
        <v>6219</v>
      </c>
      <c r="AT964" t="s">
        <v>15365</v>
      </c>
      <c r="AU964">
        <v>2012</v>
      </c>
      <c r="AV964" t="s">
        <v>16522</v>
      </c>
      <c r="AW964" t="s">
        <v>74</v>
      </c>
      <c r="AX964" t="s">
        <v>74</v>
      </c>
      <c r="AY964" t="s">
        <v>74</v>
      </c>
      <c r="AZ964" t="s">
        <v>1019</v>
      </c>
      <c r="BA964" t="s">
        <v>74</v>
      </c>
      <c r="BB964">
        <v>63</v>
      </c>
      <c r="BC964">
        <v>68</v>
      </c>
      <c r="BD964" t="s">
        <v>74</v>
      </c>
      <c r="BE964" t="s">
        <v>17829</v>
      </c>
      <c r="BF964" t="str">
        <f>HYPERLINK("http://dx.doi.org/10.1016/j.coldregions.2011.09.012","http://dx.doi.org/10.1016/j.coldregions.2011.09.012")</f>
        <v>http://dx.doi.org/10.1016/j.coldregions.2011.09.012</v>
      </c>
      <c r="BG964" t="s">
        <v>74</v>
      </c>
      <c r="BH964" t="s">
        <v>74</v>
      </c>
      <c r="BI964">
        <v>6</v>
      </c>
      <c r="BJ964" t="s">
        <v>6221</v>
      </c>
      <c r="BK964" t="s">
        <v>98</v>
      </c>
      <c r="BL964" t="s">
        <v>6222</v>
      </c>
      <c r="BM964" t="s">
        <v>16524</v>
      </c>
      <c r="BN964" t="s">
        <v>74</v>
      </c>
      <c r="BO964" t="s">
        <v>74</v>
      </c>
      <c r="BP964" t="s">
        <v>74</v>
      </c>
      <c r="BQ964" t="s">
        <v>74</v>
      </c>
      <c r="BR964" t="s">
        <v>101</v>
      </c>
      <c r="BS964" t="s">
        <v>17830</v>
      </c>
      <c r="BT964" t="str">
        <f>HYPERLINK("https%3A%2F%2Fwww.webofscience.com%2Fwos%2Fwoscc%2Ffull-record%2FWOS:000302970700009","View Full Record in Web of Science")</f>
        <v>View Full Record in Web of Science</v>
      </c>
    </row>
    <row r="965" spans="1:72" x14ac:dyDescent="0.15">
      <c r="A965" t="s">
        <v>72</v>
      </c>
      <c r="B965" t="s">
        <v>17831</v>
      </c>
      <c r="C965" t="s">
        <v>74</v>
      </c>
      <c r="D965" t="s">
        <v>74</v>
      </c>
      <c r="E965" t="s">
        <v>74</v>
      </c>
      <c r="F965" t="s">
        <v>17832</v>
      </c>
      <c r="G965" t="s">
        <v>74</v>
      </c>
      <c r="H965" t="s">
        <v>74</v>
      </c>
      <c r="I965" t="s">
        <v>17833</v>
      </c>
      <c r="J965" t="s">
        <v>6272</v>
      </c>
      <c r="K965" t="s">
        <v>74</v>
      </c>
      <c r="L965" t="s">
        <v>74</v>
      </c>
      <c r="M965" t="s">
        <v>78</v>
      </c>
      <c r="N965" t="s">
        <v>79</v>
      </c>
      <c r="O965" t="s">
        <v>74</v>
      </c>
      <c r="P965" t="s">
        <v>74</v>
      </c>
      <c r="Q965" t="s">
        <v>74</v>
      </c>
      <c r="R965" t="s">
        <v>74</v>
      </c>
      <c r="S965" t="s">
        <v>74</v>
      </c>
      <c r="T965" t="s">
        <v>17834</v>
      </c>
      <c r="U965" t="s">
        <v>17835</v>
      </c>
      <c r="V965" t="s">
        <v>17836</v>
      </c>
      <c r="W965" t="s">
        <v>17837</v>
      </c>
      <c r="X965" t="s">
        <v>17838</v>
      </c>
      <c r="Y965" t="s">
        <v>17839</v>
      </c>
      <c r="Z965" t="s">
        <v>6278</v>
      </c>
      <c r="AA965" t="s">
        <v>74</v>
      </c>
      <c r="AB965" t="s">
        <v>17840</v>
      </c>
      <c r="AC965" t="s">
        <v>17841</v>
      </c>
      <c r="AD965" t="s">
        <v>17842</v>
      </c>
      <c r="AE965" t="s">
        <v>17843</v>
      </c>
      <c r="AF965" t="s">
        <v>74</v>
      </c>
      <c r="AG965">
        <v>64</v>
      </c>
      <c r="AH965">
        <v>13</v>
      </c>
      <c r="AI965">
        <v>16</v>
      </c>
      <c r="AJ965">
        <v>0</v>
      </c>
      <c r="AK965">
        <v>7</v>
      </c>
      <c r="AL965" t="s">
        <v>1517</v>
      </c>
      <c r="AM965" t="s">
        <v>434</v>
      </c>
      <c r="AN965" t="s">
        <v>1518</v>
      </c>
      <c r="AO965" t="s">
        <v>6283</v>
      </c>
      <c r="AP965" t="s">
        <v>6284</v>
      </c>
      <c r="AQ965" t="s">
        <v>74</v>
      </c>
      <c r="AR965" t="s">
        <v>6285</v>
      </c>
      <c r="AS965" t="s">
        <v>6286</v>
      </c>
      <c r="AT965" t="s">
        <v>15365</v>
      </c>
      <c r="AU965">
        <v>2012</v>
      </c>
      <c r="AV965">
        <v>35</v>
      </c>
      <c r="AW965" t="s">
        <v>74</v>
      </c>
      <c r="AX965" t="s">
        <v>74</v>
      </c>
      <c r="AY965" t="s">
        <v>74</v>
      </c>
      <c r="AZ965" t="s">
        <v>74</v>
      </c>
      <c r="BA965" t="s">
        <v>74</v>
      </c>
      <c r="BB965">
        <v>124</v>
      </c>
      <c r="BC965">
        <v>132</v>
      </c>
      <c r="BD965" t="s">
        <v>74</v>
      </c>
      <c r="BE965" t="s">
        <v>17844</v>
      </c>
      <c r="BF965" t="str">
        <f>HYPERLINK("http://dx.doi.org/10.1016/j.cretres.2011.12.003","http://dx.doi.org/10.1016/j.cretres.2011.12.003")</f>
        <v>http://dx.doi.org/10.1016/j.cretres.2011.12.003</v>
      </c>
      <c r="BG965" t="s">
        <v>74</v>
      </c>
      <c r="BH965" t="s">
        <v>74</v>
      </c>
      <c r="BI965">
        <v>9</v>
      </c>
      <c r="BJ965" t="s">
        <v>1227</v>
      </c>
      <c r="BK965" t="s">
        <v>98</v>
      </c>
      <c r="BL965" t="s">
        <v>1227</v>
      </c>
      <c r="BM965" t="s">
        <v>17845</v>
      </c>
      <c r="BN965" t="s">
        <v>74</v>
      </c>
      <c r="BO965" t="s">
        <v>74</v>
      </c>
      <c r="BP965" t="s">
        <v>74</v>
      </c>
      <c r="BQ965" t="s">
        <v>74</v>
      </c>
      <c r="BR965" t="s">
        <v>101</v>
      </c>
      <c r="BS965" t="s">
        <v>17846</v>
      </c>
      <c r="BT965" t="str">
        <f>HYPERLINK("https%3A%2F%2Fwww.webofscience.com%2Fwos%2Fwoscc%2Ffull-record%2FWOS:000301761000010","View Full Record in Web of Science")</f>
        <v>View Full Record in Web of Science</v>
      </c>
    </row>
    <row r="966" spans="1:72" x14ac:dyDescent="0.15">
      <c r="A966" t="s">
        <v>72</v>
      </c>
      <c r="B966" t="s">
        <v>17847</v>
      </c>
      <c r="C966" t="s">
        <v>74</v>
      </c>
      <c r="D966" t="s">
        <v>74</v>
      </c>
      <c r="E966" t="s">
        <v>74</v>
      </c>
      <c r="F966" t="s">
        <v>17848</v>
      </c>
      <c r="G966" t="s">
        <v>74</v>
      </c>
      <c r="H966" t="s">
        <v>74</v>
      </c>
      <c r="I966" t="s">
        <v>17849</v>
      </c>
      <c r="J966" t="s">
        <v>17850</v>
      </c>
      <c r="K966" t="s">
        <v>74</v>
      </c>
      <c r="L966" t="s">
        <v>74</v>
      </c>
      <c r="M966" t="s">
        <v>78</v>
      </c>
      <c r="N966" t="s">
        <v>79</v>
      </c>
      <c r="O966" t="s">
        <v>74</v>
      </c>
      <c r="P966" t="s">
        <v>74</v>
      </c>
      <c r="Q966" t="s">
        <v>74</v>
      </c>
      <c r="R966" t="s">
        <v>74</v>
      </c>
      <c r="S966" t="s">
        <v>74</v>
      </c>
      <c r="T966" t="s">
        <v>17851</v>
      </c>
      <c r="U966" t="s">
        <v>17852</v>
      </c>
      <c r="V966" t="s">
        <v>17853</v>
      </c>
      <c r="W966" t="s">
        <v>17854</v>
      </c>
      <c r="X966" t="s">
        <v>74</v>
      </c>
      <c r="Y966" t="s">
        <v>17855</v>
      </c>
      <c r="Z966" t="s">
        <v>17856</v>
      </c>
      <c r="AA966" t="s">
        <v>17857</v>
      </c>
      <c r="AB966" t="s">
        <v>17858</v>
      </c>
      <c r="AC966" t="s">
        <v>74</v>
      </c>
      <c r="AD966" t="s">
        <v>74</v>
      </c>
      <c r="AE966" t="s">
        <v>74</v>
      </c>
      <c r="AF966" t="s">
        <v>74</v>
      </c>
      <c r="AG966">
        <v>34</v>
      </c>
      <c r="AH966">
        <v>7</v>
      </c>
      <c r="AI966">
        <v>7</v>
      </c>
      <c r="AJ966">
        <v>0</v>
      </c>
      <c r="AK966">
        <v>10</v>
      </c>
      <c r="AL966" t="s">
        <v>89</v>
      </c>
      <c r="AM966" t="s">
        <v>90</v>
      </c>
      <c r="AN966" t="s">
        <v>91</v>
      </c>
      <c r="AO966" t="s">
        <v>17859</v>
      </c>
      <c r="AP966" t="s">
        <v>74</v>
      </c>
      <c r="AQ966" t="s">
        <v>74</v>
      </c>
      <c r="AR966" t="s">
        <v>17860</v>
      </c>
      <c r="AS966" t="s">
        <v>17861</v>
      </c>
      <c r="AT966" t="s">
        <v>15365</v>
      </c>
      <c r="AU966">
        <v>2012</v>
      </c>
      <c r="AV966">
        <v>52</v>
      </c>
      <c r="AW966" t="s">
        <v>74</v>
      </c>
      <c r="AX966" t="s">
        <v>74</v>
      </c>
      <c r="AY966" t="s">
        <v>74</v>
      </c>
      <c r="AZ966" t="s">
        <v>74</v>
      </c>
      <c r="BA966" t="s">
        <v>74</v>
      </c>
      <c r="BB966">
        <v>1</v>
      </c>
      <c r="BC966">
        <v>18</v>
      </c>
      <c r="BD966" t="s">
        <v>74</v>
      </c>
      <c r="BE966" t="s">
        <v>17862</v>
      </c>
      <c r="BF966" t="str">
        <f>HYPERLINK("http://dx.doi.org/10.1016/j.buildenv.2011.12.023","http://dx.doi.org/10.1016/j.buildenv.2011.12.023")</f>
        <v>http://dx.doi.org/10.1016/j.buildenv.2011.12.023</v>
      </c>
      <c r="BG966" t="s">
        <v>74</v>
      </c>
      <c r="BH966" t="s">
        <v>74</v>
      </c>
      <c r="BI966">
        <v>18</v>
      </c>
      <c r="BJ966" t="s">
        <v>17863</v>
      </c>
      <c r="BK966" t="s">
        <v>98</v>
      </c>
      <c r="BL966" t="s">
        <v>17864</v>
      </c>
      <c r="BM966" t="s">
        <v>17865</v>
      </c>
      <c r="BN966" t="s">
        <v>74</v>
      </c>
      <c r="BO966" t="s">
        <v>74</v>
      </c>
      <c r="BP966" t="s">
        <v>74</v>
      </c>
      <c r="BQ966" t="s">
        <v>74</v>
      </c>
      <c r="BR966" t="s">
        <v>101</v>
      </c>
      <c r="BS966" t="s">
        <v>17866</v>
      </c>
      <c r="BT966" t="str">
        <f>HYPERLINK("https%3A%2F%2Fwww.webofscience.com%2Fwos%2Fwoscc%2Ffull-record%2FWOS:000301319200001","View Full Record in Web of Science")</f>
        <v>View Full Record in Web of Science</v>
      </c>
    </row>
    <row r="967" spans="1:72" x14ac:dyDescent="0.15">
      <c r="A967" t="s">
        <v>72</v>
      </c>
      <c r="B967" t="s">
        <v>17867</v>
      </c>
      <c r="C967" t="s">
        <v>74</v>
      </c>
      <c r="D967" t="s">
        <v>74</v>
      </c>
      <c r="E967" t="s">
        <v>74</v>
      </c>
      <c r="F967" t="s">
        <v>17868</v>
      </c>
      <c r="G967" t="s">
        <v>74</v>
      </c>
      <c r="H967" t="s">
        <v>74</v>
      </c>
      <c r="I967" t="s">
        <v>17869</v>
      </c>
      <c r="J967" t="s">
        <v>8722</v>
      </c>
      <c r="K967" t="s">
        <v>74</v>
      </c>
      <c r="L967" t="s">
        <v>74</v>
      </c>
      <c r="M967" t="s">
        <v>78</v>
      </c>
      <c r="N967" t="s">
        <v>79</v>
      </c>
      <c r="O967" t="s">
        <v>74</v>
      </c>
      <c r="P967" t="s">
        <v>74</v>
      </c>
      <c r="Q967" t="s">
        <v>74</v>
      </c>
      <c r="R967" t="s">
        <v>74</v>
      </c>
      <c r="S967" t="s">
        <v>74</v>
      </c>
      <c r="T967" t="s">
        <v>17870</v>
      </c>
      <c r="U967" t="s">
        <v>17871</v>
      </c>
      <c r="V967" t="s">
        <v>17872</v>
      </c>
      <c r="W967" t="s">
        <v>17873</v>
      </c>
      <c r="X967" t="s">
        <v>17874</v>
      </c>
      <c r="Y967" t="s">
        <v>17875</v>
      </c>
      <c r="Z967" t="s">
        <v>17876</v>
      </c>
      <c r="AA967" t="s">
        <v>17877</v>
      </c>
      <c r="AB967" t="s">
        <v>17878</v>
      </c>
      <c r="AC967" t="s">
        <v>17879</v>
      </c>
      <c r="AD967" t="s">
        <v>17880</v>
      </c>
      <c r="AE967" t="s">
        <v>17881</v>
      </c>
      <c r="AF967" t="s">
        <v>74</v>
      </c>
      <c r="AG967">
        <v>40</v>
      </c>
      <c r="AH967">
        <v>34</v>
      </c>
      <c r="AI967">
        <v>35</v>
      </c>
      <c r="AJ967">
        <v>0</v>
      </c>
      <c r="AK967">
        <v>17</v>
      </c>
      <c r="AL967" t="s">
        <v>259</v>
      </c>
      <c r="AM967" t="s">
        <v>189</v>
      </c>
      <c r="AN967" t="s">
        <v>260</v>
      </c>
      <c r="AO967" t="s">
        <v>8735</v>
      </c>
      <c r="AP967" t="s">
        <v>8736</v>
      </c>
      <c r="AQ967" t="s">
        <v>74</v>
      </c>
      <c r="AR967" t="s">
        <v>8737</v>
      </c>
      <c r="AS967" t="s">
        <v>8738</v>
      </c>
      <c r="AT967" t="s">
        <v>15365</v>
      </c>
      <c r="AU967">
        <v>2012</v>
      </c>
      <c r="AV967">
        <v>94</v>
      </c>
      <c r="AW967" t="s">
        <v>74</v>
      </c>
      <c r="AX967" t="s">
        <v>74</v>
      </c>
      <c r="AY967" t="s">
        <v>74</v>
      </c>
      <c r="AZ967" t="s">
        <v>74</v>
      </c>
      <c r="BA967" t="s">
        <v>74</v>
      </c>
      <c r="BB967">
        <v>197</v>
      </c>
      <c r="BC967">
        <v>203</v>
      </c>
      <c r="BD967" t="s">
        <v>74</v>
      </c>
      <c r="BE967" t="s">
        <v>17882</v>
      </c>
      <c r="BF967" t="str">
        <f>HYPERLINK("http://dx.doi.org/10.1016/j.jmarsys.2011.11.023","http://dx.doi.org/10.1016/j.jmarsys.2011.11.023")</f>
        <v>http://dx.doi.org/10.1016/j.jmarsys.2011.11.023</v>
      </c>
      <c r="BG967" t="s">
        <v>74</v>
      </c>
      <c r="BH967" t="s">
        <v>74</v>
      </c>
      <c r="BI967">
        <v>7</v>
      </c>
      <c r="BJ967" t="s">
        <v>8741</v>
      </c>
      <c r="BK967" t="s">
        <v>98</v>
      </c>
      <c r="BL967" t="s">
        <v>8742</v>
      </c>
      <c r="BM967" t="s">
        <v>16865</v>
      </c>
      <c r="BN967" t="s">
        <v>74</v>
      </c>
      <c r="BO967" t="s">
        <v>1254</v>
      </c>
      <c r="BP967" t="s">
        <v>74</v>
      </c>
      <c r="BQ967" t="s">
        <v>74</v>
      </c>
      <c r="BR967" t="s">
        <v>101</v>
      </c>
      <c r="BS967" t="s">
        <v>17883</v>
      </c>
      <c r="BT967" t="str">
        <f>HYPERLINK("https%3A%2F%2Fwww.webofscience.com%2Fwos%2Fwoscc%2Ffull-record%2FWOS:000300748500017","View Full Record in Web of Science")</f>
        <v>View Full Record in Web of Science</v>
      </c>
    </row>
    <row r="968" spans="1:72" x14ac:dyDescent="0.15">
      <c r="A968" t="s">
        <v>72</v>
      </c>
      <c r="B968" t="s">
        <v>17884</v>
      </c>
      <c r="C968" t="s">
        <v>74</v>
      </c>
      <c r="D968" t="s">
        <v>74</v>
      </c>
      <c r="E968" t="s">
        <v>74</v>
      </c>
      <c r="F968" t="s">
        <v>17885</v>
      </c>
      <c r="G968" t="s">
        <v>74</v>
      </c>
      <c r="H968" t="s">
        <v>74</v>
      </c>
      <c r="I968" t="s">
        <v>17886</v>
      </c>
      <c r="J968" t="s">
        <v>134</v>
      </c>
      <c r="K968" t="s">
        <v>74</v>
      </c>
      <c r="L968" t="s">
        <v>74</v>
      </c>
      <c r="M968" t="s">
        <v>78</v>
      </c>
      <c r="N968" t="s">
        <v>79</v>
      </c>
      <c r="O968" t="s">
        <v>74</v>
      </c>
      <c r="P968" t="s">
        <v>74</v>
      </c>
      <c r="Q968" t="s">
        <v>74</v>
      </c>
      <c r="R968" t="s">
        <v>74</v>
      </c>
      <c r="S968" t="s">
        <v>74</v>
      </c>
      <c r="T968" t="s">
        <v>74</v>
      </c>
      <c r="U968" t="s">
        <v>17887</v>
      </c>
      <c r="V968" t="s">
        <v>17888</v>
      </c>
      <c r="W968" t="s">
        <v>17889</v>
      </c>
      <c r="X968" t="s">
        <v>17890</v>
      </c>
      <c r="Y968" t="s">
        <v>17891</v>
      </c>
      <c r="Z968" t="s">
        <v>13957</v>
      </c>
      <c r="AA968" t="s">
        <v>17892</v>
      </c>
      <c r="AB968" t="s">
        <v>17893</v>
      </c>
      <c r="AC968" t="s">
        <v>17894</v>
      </c>
      <c r="AD968" t="s">
        <v>17895</v>
      </c>
      <c r="AE968" t="s">
        <v>17896</v>
      </c>
      <c r="AF968" t="s">
        <v>74</v>
      </c>
      <c r="AG968">
        <v>59</v>
      </c>
      <c r="AH968">
        <v>24</v>
      </c>
      <c r="AI968">
        <v>29</v>
      </c>
      <c r="AJ968">
        <v>1</v>
      </c>
      <c r="AK968">
        <v>49</v>
      </c>
      <c r="AL968" t="s">
        <v>146</v>
      </c>
      <c r="AM968" t="s">
        <v>147</v>
      </c>
      <c r="AN968" t="s">
        <v>148</v>
      </c>
      <c r="AO968" t="s">
        <v>149</v>
      </c>
      <c r="AP968" t="s">
        <v>74</v>
      </c>
      <c r="AQ968" t="s">
        <v>74</v>
      </c>
      <c r="AR968" t="s">
        <v>134</v>
      </c>
      <c r="AS968" t="s">
        <v>150</v>
      </c>
      <c r="AT968" t="s">
        <v>17897</v>
      </c>
      <c r="AU968">
        <v>2012</v>
      </c>
      <c r="AV968">
        <v>7</v>
      </c>
      <c r="AW968">
        <v>5</v>
      </c>
      <c r="AX968" t="s">
        <v>74</v>
      </c>
      <c r="AY968" t="s">
        <v>74</v>
      </c>
      <c r="AZ968" t="s">
        <v>74</v>
      </c>
      <c r="BA968" t="s">
        <v>74</v>
      </c>
      <c r="BB968" t="s">
        <v>74</v>
      </c>
      <c r="BC968" t="s">
        <v>74</v>
      </c>
      <c r="BD968" t="s">
        <v>17898</v>
      </c>
      <c r="BE968" t="s">
        <v>17899</v>
      </c>
      <c r="BF968" t="str">
        <f>HYPERLINK("http://dx.doi.org/10.1371/journal.pone.0038307","http://dx.doi.org/10.1371/journal.pone.0038307")</f>
        <v>http://dx.doi.org/10.1371/journal.pone.0038307</v>
      </c>
      <c r="BG968" t="s">
        <v>74</v>
      </c>
      <c r="BH968" t="s">
        <v>74</v>
      </c>
      <c r="BI968">
        <v>10</v>
      </c>
      <c r="BJ968" t="s">
        <v>153</v>
      </c>
      <c r="BK968" t="s">
        <v>98</v>
      </c>
      <c r="BL968" t="s">
        <v>154</v>
      </c>
      <c r="BM968" t="s">
        <v>17900</v>
      </c>
      <c r="BN968">
        <v>22693616</v>
      </c>
      <c r="BO968" t="s">
        <v>8954</v>
      </c>
      <c r="BP968" t="s">
        <v>74</v>
      </c>
      <c r="BQ968" t="s">
        <v>74</v>
      </c>
      <c r="BR968" t="s">
        <v>101</v>
      </c>
      <c r="BS968" t="s">
        <v>17901</v>
      </c>
      <c r="BT968" t="str">
        <f>HYPERLINK("https%3A%2F%2Fwww.webofscience.com%2Fwos%2Fwoscc%2Ffull-record%2FWOS:000305338500127","View Full Record in Web of Science")</f>
        <v>View Full Record in Web of Science</v>
      </c>
    </row>
    <row r="969" spans="1:72" x14ac:dyDescent="0.15">
      <c r="A969" t="s">
        <v>72</v>
      </c>
      <c r="B969" t="s">
        <v>17902</v>
      </c>
      <c r="C969" t="s">
        <v>74</v>
      </c>
      <c r="D969" t="s">
        <v>74</v>
      </c>
      <c r="E969" t="s">
        <v>74</v>
      </c>
      <c r="F969" t="s">
        <v>17903</v>
      </c>
      <c r="G969" t="s">
        <v>74</v>
      </c>
      <c r="H969" t="s">
        <v>74</v>
      </c>
      <c r="I969" t="s">
        <v>17904</v>
      </c>
      <c r="J969" t="s">
        <v>3207</v>
      </c>
      <c r="K969" t="s">
        <v>74</v>
      </c>
      <c r="L969" t="s">
        <v>74</v>
      </c>
      <c r="M969" t="s">
        <v>78</v>
      </c>
      <c r="N969" t="s">
        <v>79</v>
      </c>
      <c r="O969" t="s">
        <v>74</v>
      </c>
      <c r="P969" t="s">
        <v>74</v>
      </c>
      <c r="Q969" t="s">
        <v>74</v>
      </c>
      <c r="R969" t="s">
        <v>74</v>
      </c>
      <c r="S969" t="s">
        <v>74</v>
      </c>
      <c r="T969" t="s">
        <v>74</v>
      </c>
      <c r="U969" t="s">
        <v>17905</v>
      </c>
      <c r="V969" t="s">
        <v>17906</v>
      </c>
      <c r="W969" t="s">
        <v>17907</v>
      </c>
      <c r="X969" t="s">
        <v>17908</v>
      </c>
      <c r="Y969" t="s">
        <v>17909</v>
      </c>
      <c r="Z969" t="s">
        <v>17910</v>
      </c>
      <c r="AA969" t="s">
        <v>17911</v>
      </c>
      <c r="AB969" t="s">
        <v>74</v>
      </c>
      <c r="AC969" t="s">
        <v>17912</v>
      </c>
      <c r="AD969" t="s">
        <v>17913</v>
      </c>
      <c r="AE969" t="s">
        <v>17914</v>
      </c>
      <c r="AF969" t="s">
        <v>74</v>
      </c>
      <c r="AG969">
        <v>77</v>
      </c>
      <c r="AH969">
        <v>37</v>
      </c>
      <c r="AI969">
        <v>47</v>
      </c>
      <c r="AJ969">
        <v>1</v>
      </c>
      <c r="AK969">
        <v>83</v>
      </c>
      <c r="AL969" t="s">
        <v>118</v>
      </c>
      <c r="AM969" t="s">
        <v>119</v>
      </c>
      <c r="AN969" t="s">
        <v>120</v>
      </c>
      <c r="AO969" t="s">
        <v>3219</v>
      </c>
      <c r="AP969" t="s">
        <v>3220</v>
      </c>
      <c r="AQ969" t="s">
        <v>74</v>
      </c>
      <c r="AR969" t="s">
        <v>3221</v>
      </c>
      <c r="AS969" t="s">
        <v>3222</v>
      </c>
      <c r="AT969" t="s">
        <v>17915</v>
      </c>
      <c r="AU969">
        <v>2012</v>
      </c>
      <c r="AV969">
        <v>117</v>
      </c>
      <c r="AW969" t="s">
        <v>74</v>
      </c>
      <c r="AX969" t="s">
        <v>74</v>
      </c>
      <c r="AY969" t="s">
        <v>74</v>
      </c>
      <c r="AZ969" t="s">
        <v>74</v>
      </c>
      <c r="BA969" t="s">
        <v>74</v>
      </c>
      <c r="BB969" t="s">
        <v>74</v>
      </c>
      <c r="BC969" t="s">
        <v>74</v>
      </c>
      <c r="BD969" t="s">
        <v>17916</v>
      </c>
      <c r="BE969" t="s">
        <v>17917</v>
      </c>
      <c r="BF969" t="str">
        <f>HYPERLINK("http://dx.doi.org/10.1029/2011JD016559","http://dx.doi.org/10.1029/2011JD016559")</f>
        <v>http://dx.doi.org/10.1029/2011JD016559</v>
      </c>
      <c r="BG969" t="s">
        <v>74</v>
      </c>
      <c r="BH969" t="s">
        <v>74</v>
      </c>
      <c r="BI969">
        <v>10</v>
      </c>
      <c r="BJ969" t="s">
        <v>378</v>
      </c>
      <c r="BK969" t="s">
        <v>98</v>
      </c>
      <c r="BL969" t="s">
        <v>378</v>
      </c>
      <c r="BM969" t="s">
        <v>17918</v>
      </c>
      <c r="BN969" t="s">
        <v>74</v>
      </c>
      <c r="BO969" t="s">
        <v>74</v>
      </c>
      <c r="BP969" t="s">
        <v>74</v>
      </c>
      <c r="BQ969" t="s">
        <v>74</v>
      </c>
      <c r="BR969" t="s">
        <v>101</v>
      </c>
      <c r="BS969" t="s">
        <v>17919</v>
      </c>
      <c r="BT969" t="str">
        <f>HYPERLINK("https%3A%2F%2Fwww.webofscience.com%2Fwos%2Fwoscc%2Ffull-record%2FWOS:000304766900001","View Full Record in Web of Science")</f>
        <v>View Full Record in Web of Science</v>
      </c>
    </row>
    <row r="970" spans="1:72" x14ac:dyDescent="0.15">
      <c r="A970" t="s">
        <v>72</v>
      </c>
      <c r="B970" t="s">
        <v>17920</v>
      </c>
      <c r="C970" t="s">
        <v>74</v>
      </c>
      <c r="D970" t="s">
        <v>74</v>
      </c>
      <c r="E970" t="s">
        <v>74</v>
      </c>
      <c r="F970" t="s">
        <v>17921</v>
      </c>
      <c r="G970" t="s">
        <v>74</v>
      </c>
      <c r="H970" t="s">
        <v>74</v>
      </c>
      <c r="I970" t="s">
        <v>17922</v>
      </c>
      <c r="J970" t="s">
        <v>3666</v>
      </c>
      <c r="K970" t="s">
        <v>74</v>
      </c>
      <c r="L970" t="s">
        <v>74</v>
      </c>
      <c r="M970" t="s">
        <v>78</v>
      </c>
      <c r="N970" t="s">
        <v>79</v>
      </c>
      <c r="O970" t="s">
        <v>74</v>
      </c>
      <c r="P970" t="s">
        <v>74</v>
      </c>
      <c r="Q970" t="s">
        <v>74</v>
      </c>
      <c r="R970" t="s">
        <v>74</v>
      </c>
      <c r="S970" t="s">
        <v>74</v>
      </c>
      <c r="T970" t="s">
        <v>74</v>
      </c>
      <c r="U970" t="s">
        <v>17923</v>
      </c>
      <c r="V970" t="s">
        <v>17924</v>
      </c>
      <c r="W970" t="s">
        <v>17925</v>
      </c>
      <c r="X970" t="s">
        <v>17926</v>
      </c>
      <c r="Y970" t="s">
        <v>17927</v>
      </c>
      <c r="Z970" t="s">
        <v>17928</v>
      </c>
      <c r="AA970" t="s">
        <v>17929</v>
      </c>
      <c r="AB970" t="s">
        <v>17930</v>
      </c>
      <c r="AC970" t="s">
        <v>17931</v>
      </c>
      <c r="AD970" t="s">
        <v>3768</v>
      </c>
      <c r="AE970" t="s">
        <v>17932</v>
      </c>
      <c r="AF970" t="s">
        <v>74</v>
      </c>
      <c r="AG970">
        <v>46</v>
      </c>
      <c r="AH970">
        <v>33</v>
      </c>
      <c r="AI970">
        <v>37</v>
      </c>
      <c r="AJ970">
        <v>1</v>
      </c>
      <c r="AK970">
        <v>26</v>
      </c>
      <c r="AL970" t="s">
        <v>118</v>
      </c>
      <c r="AM970" t="s">
        <v>119</v>
      </c>
      <c r="AN970" t="s">
        <v>120</v>
      </c>
      <c r="AO970" t="s">
        <v>3678</v>
      </c>
      <c r="AP970" t="s">
        <v>3679</v>
      </c>
      <c r="AQ970" t="s">
        <v>74</v>
      </c>
      <c r="AR970" t="s">
        <v>3680</v>
      </c>
      <c r="AS970" t="s">
        <v>3681</v>
      </c>
      <c r="AT970" t="s">
        <v>17915</v>
      </c>
      <c r="AU970">
        <v>2012</v>
      </c>
      <c r="AV970">
        <v>117</v>
      </c>
      <c r="AW970" t="s">
        <v>74</v>
      </c>
      <c r="AX970" t="s">
        <v>74</v>
      </c>
      <c r="AY970" t="s">
        <v>74</v>
      </c>
      <c r="AZ970" t="s">
        <v>74</v>
      </c>
      <c r="BA970" t="s">
        <v>74</v>
      </c>
      <c r="BB970" t="s">
        <v>74</v>
      </c>
      <c r="BC970" t="s">
        <v>74</v>
      </c>
      <c r="BD970" t="s">
        <v>17933</v>
      </c>
      <c r="BE970" t="s">
        <v>17934</v>
      </c>
      <c r="BF970" t="str">
        <f>HYPERLINK("http://dx.doi.org/10.1029/2012JC007872","http://dx.doi.org/10.1029/2012JC007872")</f>
        <v>http://dx.doi.org/10.1029/2012JC007872</v>
      </c>
      <c r="BG970" t="s">
        <v>74</v>
      </c>
      <c r="BH970" t="s">
        <v>74</v>
      </c>
      <c r="BI970">
        <v>12</v>
      </c>
      <c r="BJ970" t="s">
        <v>941</v>
      </c>
      <c r="BK970" t="s">
        <v>98</v>
      </c>
      <c r="BL970" t="s">
        <v>941</v>
      </c>
      <c r="BM970" t="s">
        <v>17935</v>
      </c>
      <c r="BN970" t="s">
        <v>74</v>
      </c>
      <c r="BO970" t="s">
        <v>1458</v>
      </c>
      <c r="BP970" t="s">
        <v>74</v>
      </c>
      <c r="BQ970" t="s">
        <v>74</v>
      </c>
      <c r="BR970" t="s">
        <v>101</v>
      </c>
      <c r="BS970" t="s">
        <v>17936</v>
      </c>
      <c r="BT970" t="str">
        <f>HYPERLINK("https%3A%2F%2Fwww.webofscience.com%2Fwos%2Fwoscc%2Ffull-record%2FWOS:000304774400003","View Full Record in Web of Science")</f>
        <v>View Full Record in Web of Science</v>
      </c>
    </row>
    <row r="971" spans="1:72" x14ac:dyDescent="0.15">
      <c r="A971" t="s">
        <v>72</v>
      </c>
      <c r="B971" t="s">
        <v>17937</v>
      </c>
      <c r="C971" t="s">
        <v>74</v>
      </c>
      <c r="D971" t="s">
        <v>74</v>
      </c>
      <c r="E971" t="s">
        <v>74</v>
      </c>
      <c r="F971" t="s">
        <v>17938</v>
      </c>
      <c r="G971" t="s">
        <v>74</v>
      </c>
      <c r="H971" t="s">
        <v>74</v>
      </c>
      <c r="I971" t="s">
        <v>17939</v>
      </c>
      <c r="J971" t="s">
        <v>3207</v>
      </c>
      <c r="K971" t="s">
        <v>74</v>
      </c>
      <c r="L971" t="s">
        <v>74</v>
      </c>
      <c r="M971" t="s">
        <v>78</v>
      </c>
      <c r="N971" t="s">
        <v>79</v>
      </c>
      <c r="O971" t="s">
        <v>74</v>
      </c>
      <c r="P971" t="s">
        <v>74</v>
      </c>
      <c r="Q971" t="s">
        <v>74</v>
      </c>
      <c r="R971" t="s">
        <v>74</v>
      </c>
      <c r="S971" t="s">
        <v>74</v>
      </c>
      <c r="T971" t="s">
        <v>74</v>
      </c>
      <c r="U971" t="s">
        <v>17940</v>
      </c>
      <c r="V971" t="s">
        <v>17941</v>
      </c>
      <c r="W971" t="s">
        <v>17942</v>
      </c>
      <c r="X971" t="s">
        <v>17943</v>
      </c>
      <c r="Y971" t="s">
        <v>17944</v>
      </c>
      <c r="Z971" t="s">
        <v>17945</v>
      </c>
      <c r="AA971" t="s">
        <v>74</v>
      </c>
      <c r="AB971" t="s">
        <v>74</v>
      </c>
      <c r="AC971" t="s">
        <v>74</v>
      </c>
      <c r="AD971" t="s">
        <v>74</v>
      </c>
      <c r="AE971" t="s">
        <v>74</v>
      </c>
      <c r="AF971" t="s">
        <v>74</v>
      </c>
      <c r="AG971">
        <v>37</v>
      </c>
      <c r="AH971">
        <v>33</v>
      </c>
      <c r="AI971">
        <v>35</v>
      </c>
      <c r="AJ971">
        <v>0</v>
      </c>
      <c r="AK971">
        <v>50</v>
      </c>
      <c r="AL971" t="s">
        <v>118</v>
      </c>
      <c r="AM971" t="s">
        <v>119</v>
      </c>
      <c r="AN971" t="s">
        <v>120</v>
      </c>
      <c r="AO971" t="s">
        <v>3219</v>
      </c>
      <c r="AP971" t="s">
        <v>3220</v>
      </c>
      <c r="AQ971" t="s">
        <v>74</v>
      </c>
      <c r="AR971" t="s">
        <v>3221</v>
      </c>
      <c r="AS971" t="s">
        <v>3222</v>
      </c>
      <c r="AT971" t="s">
        <v>17946</v>
      </c>
      <c r="AU971">
        <v>2012</v>
      </c>
      <c r="AV971">
        <v>117</v>
      </c>
      <c r="AW971" t="s">
        <v>74</v>
      </c>
      <c r="AX971" t="s">
        <v>74</v>
      </c>
      <c r="AY971" t="s">
        <v>74</v>
      </c>
      <c r="AZ971" t="s">
        <v>74</v>
      </c>
      <c r="BA971" t="s">
        <v>74</v>
      </c>
      <c r="BB971" t="s">
        <v>74</v>
      </c>
      <c r="BC971" t="s">
        <v>74</v>
      </c>
      <c r="BD971" t="s">
        <v>17947</v>
      </c>
      <c r="BE971" t="s">
        <v>17948</v>
      </c>
      <c r="BF971" t="str">
        <f>HYPERLINK("http://dx.doi.org/10.1029/2011JD016285","http://dx.doi.org/10.1029/2011JD016285")</f>
        <v>http://dx.doi.org/10.1029/2011JD016285</v>
      </c>
      <c r="BG971" t="s">
        <v>74</v>
      </c>
      <c r="BH971" t="s">
        <v>74</v>
      </c>
      <c r="BI971">
        <v>11</v>
      </c>
      <c r="BJ971" t="s">
        <v>378</v>
      </c>
      <c r="BK971" t="s">
        <v>98</v>
      </c>
      <c r="BL971" t="s">
        <v>378</v>
      </c>
      <c r="BM971" t="s">
        <v>17949</v>
      </c>
      <c r="BN971" t="s">
        <v>74</v>
      </c>
      <c r="BO971" t="s">
        <v>607</v>
      </c>
      <c r="BP971" t="s">
        <v>74</v>
      </c>
      <c r="BQ971" t="s">
        <v>74</v>
      </c>
      <c r="BR971" t="s">
        <v>101</v>
      </c>
      <c r="BS971" t="s">
        <v>17950</v>
      </c>
      <c r="BT971" t="str">
        <f>HYPERLINK("https%3A%2F%2Fwww.webofscience.com%2Fwos%2Fwoscc%2Ffull-record%2FWOS:000304563700001","View Full Record in Web of Science")</f>
        <v>View Full Record in Web of Science</v>
      </c>
    </row>
    <row r="972" spans="1:72" x14ac:dyDescent="0.15">
      <c r="A972" t="s">
        <v>72</v>
      </c>
      <c r="B972" t="s">
        <v>17951</v>
      </c>
      <c r="C972" t="s">
        <v>74</v>
      </c>
      <c r="D972" t="s">
        <v>74</v>
      </c>
      <c r="E972" t="s">
        <v>74</v>
      </c>
      <c r="F972" t="s">
        <v>17952</v>
      </c>
      <c r="G972" t="s">
        <v>74</v>
      </c>
      <c r="H972" t="s">
        <v>74</v>
      </c>
      <c r="I972" t="s">
        <v>17953</v>
      </c>
      <c r="J972" t="s">
        <v>9536</v>
      </c>
      <c r="K972" t="s">
        <v>74</v>
      </c>
      <c r="L972" t="s">
        <v>74</v>
      </c>
      <c r="M972" t="s">
        <v>78</v>
      </c>
      <c r="N972" t="s">
        <v>79</v>
      </c>
      <c r="O972" t="s">
        <v>74</v>
      </c>
      <c r="P972" t="s">
        <v>74</v>
      </c>
      <c r="Q972" t="s">
        <v>74</v>
      </c>
      <c r="R972" t="s">
        <v>74</v>
      </c>
      <c r="S972" t="s">
        <v>74</v>
      </c>
      <c r="T972" t="s">
        <v>74</v>
      </c>
      <c r="U972" t="s">
        <v>17954</v>
      </c>
      <c r="V972" t="s">
        <v>17955</v>
      </c>
      <c r="W972" t="s">
        <v>17956</v>
      </c>
      <c r="X972" t="s">
        <v>17957</v>
      </c>
      <c r="Y972" t="s">
        <v>17958</v>
      </c>
      <c r="Z972" t="s">
        <v>6322</v>
      </c>
      <c r="AA972" t="s">
        <v>17959</v>
      </c>
      <c r="AB972" t="s">
        <v>17960</v>
      </c>
      <c r="AC972" t="s">
        <v>17961</v>
      </c>
      <c r="AD972" t="s">
        <v>17962</v>
      </c>
      <c r="AE972" t="s">
        <v>17963</v>
      </c>
      <c r="AF972" t="s">
        <v>74</v>
      </c>
      <c r="AG972">
        <v>69</v>
      </c>
      <c r="AH972">
        <v>61</v>
      </c>
      <c r="AI972">
        <v>68</v>
      </c>
      <c r="AJ972">
        <v>0</v>
      </c>
      <c r="AK972">
        <v>95</v>
      </c>
      <c r="AL972" t="s">
        <v>118</v>
      </c>
      <c r="AM972" t="s">
        <v>119</v>
      </c>
      <c r="AN972" t="s">
        <v>120</v>
      </c>
      <c r="AO972" t="s">
        <v>9548</v>
      </c>
      <c r="AP972" t="s">
        <v>9549</v>
      </c>
      <c r="AQ972" t="s">
        <v>74</v>
      </c>
      <c r="AR972" t="s">
        <v>9550</v>
      </c>
      <c r="AS972" t="s">
        <v>9551</v>
      </c>
      <c r="AT972" t="s">
        <v>17946</v>
      </c>
      <c r="AU972">
        <v>2012</v>
      </c>
      <c r="AV972">
        <v>26</v>
      </c>
      <c r="AW972" t="s">
        <v>74</v>
      </c>
      <c r="AX972" t="s">
        <v>74</v>
      </c>
      <c r="AY972" t="s">
        <v>74</v>
      </c>
      <c r="AZ972" t="s">
        <v>74</v>
      </c>
      <c r="BA972" t="s">
        <v>74</v>
      </c>
      <c r="BB972" t="s">
        <v>74</v>
      </c>
      <c r="BC972" t="s">
        <v>74</v>
      </c>
      <c r="BD972" t="s">
        <v>17964</v>
      </c>
      <c r="BE972" t="s">
        <v>17965</v>
      </c>
      <c r="BF972" t="str">
        <f>HYPERLINK("http://dx.doi.org/10.1029/2011GB004247","http://dx.doi.org/10.1029/2011GB004247")</f>
        <v>http://dx.doi.org/10.1029/2011GB004247</v>
      </c>
      <c r="BG972" t="s">
        <v>74</v>
      </c>
      <c r="BH972" t="s">
        <v>74</v>
      </c>
      <c r="BI972">
        <v>11</v>
      </c>
      <c r="BJ972" t="s">
        <v>9554</v>
      </c>
      <c r="BK972" t="s">
        <v>98</v>
      </c>
      <c r="BL972" t="s">
        <v>9555</v>
      </c>
      <c r="BM972" t="s">
        <v>17966</v>
      </c>
      <c r="BN972" t="s">
        <v>74</v>
      </c>
      <c r="BO972" t="s">
        <v>74</v>
      </c>
      <c r="BP972" t="s">
        <v>74</v>
      </c>
      <c r="BQ972" t="s">
        <v>74</v>
      </c>
      <c r="BR972" t="s">
        <v>101</v>
      </c>
      <c r="BS972" t="s">
        <v>17967</v>
      </c>
      <c r="BT972" t="str">
        <f>HYPERLINK("https%3A%2F%2Fwww.webofscience.com%2Fwos%2Fwoscc%2Ffull-record%2FWOS:000304551200001","View Full Record in Web of Science")</f>
        <v>View Full Record in Web of Science</v>
      </c>
    </row>
    <row r="973" spans="1:72" x14ac:dyDescent="0.15">
      <c r="A973" t="s">
        <v>72</v>
      </c>
      <c r="B973" t="s">
        <v>17968</v>
      </c>
      <c r="C973" t="s">
        <v>74</v>
      </c>
      <c r="D973" t="s">
        <v>74</v>
      </c>
      <c r="E973" t="s">
        <v>74</v>
      </c>
      <c r="F973" t="s">
        <v>17969</v>
      </c>
      <c r="G973" t="s">
        <v>74</v>
      </c>
      <c r="H973" t="s">
        <v>74</v>
      </c>
      <c r="I973" t="s">
        <v>17970</v>
      </c>
      <c r="J973" t="s">
        <v>444</v>
      </c>
      <c r="K973" t="s">
        <v>74</v>
      </c>
      <c r="L973" t="s">
        <v>74</v>
      </c>
      <c r="M973" t="s">
        <v>78</v>
      </c>
      <c r="N973" t="s">
        <v>79</v>
      </c>
      <c r="O973" t="s">
        <v>74</v>
      </c>
      <c r="P973" t="s">
        <v>74</v>
      </c>
      <c r="Q973" t="s">
        <v>74</v>
      </c>
      <c r="R973" t="s">
        <v>74</v>
      </c>
      <c r="S973" t="s">
        <v>74</v>
      </c>
      <c r="T973" t="s">
        <v>74</v>
      </c>
      <c r="U973" t="s">
        <v>17971</v>
      </c>
      <c r="V973" t="s">
        <v>17972</v>
      </c>
      <c r="W973" t="s">
        <v>17973</v>
      </c>
      <c r="X973" t="s">
        <v>17974</v>
      </c>
      <c r="Y973" t="s">
        <v>17975</v>
      </c>
      <c r="Z973" t="s">
        <v>17976</v>
      </c>
      <c r="AA973" t="s">
        <v>17977</v>
      </c>
      <c r="AB973" t="s">
        <v>17978</v>
      </c>
      <c r="AC973" t="s">
        <v>17979</v>
      </c>
      <c r="AD973" t="s">
        <v>17980</v>
      </c>
      <c r="AE973" t="s">
        <v>17981</v>
      </c>
      <c r="AF973" t="s">
        <v>74</v>
      </c>
      <c r="AG973">
        <v>33</v>
      </c>
      <c r="AH973">
        <v>75</v>
      </c>
      <c r="AI973">
        <v>82</v>
      </c>
      <c r="AJ973">
        <v>0</v>
      </c>
      <c r="AK973">
        <v>34</v>
      </c>
      <c r="AL973" t="s">
        <v>118</v>
      </c>
      <c r="AM973" t="s">
        <v>119</v>
      </c>
      <c r="AN973" t="s">
        <v>120</v>
      </c>
      <c r="AO973" t="s">
        <v>454</v>
      </c>
      <c r="AP973" t="s">
        <v>455</v>
      </c>
      <c r="AQ973" t="s">
        <v>74</v>
      </c>
      <c r="AR973" t="s">
        <v>456</v>
      </c>
      <c r="AS973" t="s">
        <v>457</v>
      </c>
      <c r="AT973" t="s">
        <v>17982</v>
      </c>
      <c r="AU973">
        <v>2012</v>
      </c>
      <c r="AV973">
        <v>39</v>
      </c>
      <c r="AW973" t="s">
        <v>74</v>
      </c>
      <c r="AX973" t="s">
        <v>74</v>
      </c>
      <c r="AY973" t="s">
        <v>74</v>
      </c>
      <c r="AZ973" t="s">
        <v>74</v>
      </c>
      <c r="BA973" t="s">
        <v>74</v>
      </c>
      <c r="BB973" t="s">
        <v>74</v>
      </c>
      <c r="BC973" t="s">
        <v>74</v>
      </c>
      <c r="BD973" t="s">
        <v>17983</v>
      </c>
      <c r="BE973" t="s">
        <v>17984</v>
      </c>
      <c r="BF973" t="str">
        <f>HYPERLINK("http://dx.doi.org/10.1029/2012GL051466","http://dx.doi.org/10.1029/2012GL051466")</f>
        <v>http://dx.doi.org/10.1029/2012GL051466</v>
      </c>
      <c r="BG973" t="s">
        <v>74</v>
      </c>
      <c r="BH973" t="s">
        <v>74</v>
      </c>
      <c r="BI973">
        <v>5</v>
      </c>
      <c r="BJ973" t="s">
        <v>461</v>
      </c>
      <c r="BK973" t="s">
        <v>98</v>
      </c>
      <c r="BL973" t="s">
        <v>462</v>
      </c>
      <c r="BM973" t="s">
        <v>17985</v>
      </c>
      <c r="BN973" t="s">
        <v>74</v>
      </c>
      <c r="BO973" t="s">
        <v>1458</v>
      </c>
      <c r="BP973" t="s">
        <v>74</v>
      </c>
      <c r="BQ973" t="s">
        <v>74</v>
      </c>
      <c r="BR973" t="s">
        <v>101</v>
      </c>
      <c r="BS973" t="s">
        <v>17986</v>
      </c>
      <c r="BT973" t="str">
        <f>HYPERLINK("https%3A%2F%2Fwww.webofscience.com%2Fwos%2Fwoscc%2Ffull-record%2FWOS:000304561100001","View Full Record in Web of Science")</f>
        <v>View Full Record in Web of Science</v>
      </c>
    </row>
    <row r="974" spans="1:72" x14ac:dyDescent="0.15">
      <c r="A974" t="s">
        <v>72</v>
      </c>
      <c r="B974" t="s">
        <v>17987</v>
      </c>
      <c r="C974" t="s">
        <v>74</v>
      </c>
      <c r="D974" t="s">
        <v>74</v>
      </c>
      <c r="E974" t="s">
        <v>74</v>
      </c>
      <c r="F974" t="s">
        <v>17988</v>
      </c>
      <c r="G974" t="s">
        <v>74</v>
      </c>
      <c r="H974" t="s">
        <v>74</v>
      </c>
      <c r="I974" t="s">
        <v>17989</v>
      </c>
      <c r="J974" t="s">
        <v>77</v>
      </c>
      <c r="K974" t="s">
        <v>74</v>
      </c>
      <c r="L974" t="s">
        <v>74</v>
      </c>
      <c r="M974" t="s">
        <v>78</v>
      </c>
      <c r="N974" t="s">
        <v>79</v>
      </c>
      <c r="O974" t="s">
        <v>74</v>
      </c>
      <c r="P974" t="s">
        <v>74</v>
      </c>
      <c r="Q974" t="s">
        <v>74</v>
      </c>
      <c r="R974" t="s">
        <v>74</v>
      </c>
      <c r="S974" t="s">
        <v>74</v>
      </c>
      <c r="T974" t="s">
        <v>17990</v>
      </c>
      <c r="U974" t="s">
        <v>17991</v>
      </c>
      <c r="V974" t="s">
        <v>17992</v>
      </c>
      <c r="W974" t="s">
        <v>17993</v>
      </c>
      <c r="X974" t="s">
        <v>17994</v>
      </c>
      <c r="Y974" t="s">
        <v>17995</v>
      </c>
      <c r="Z974" t="s">
        <v>17996</v>
      </c>
      <c r="AA974" t="s">
        <v>74</v>
      </c>
      <c r="AB974" t="s">
        <v>17997</v>
      </c>
      <c r="AC974" t="s">
        <v>17998</v>
      </c>
      <c r="AD974" t="s">
        <v>17999</v>
      </c>
      <c r="AE974" t="s">
        <v>18000</v>
      </c>
      <c r="AF974" t="s">
        <v>74</v>
      </c>
      <c r="AG974">
        <v>56</v>
      </c>
      <c r="AH974">
        <v>54</v>
      </c>
      <c r="AI974">
        <v>57</v>
      </c>
      <c r="AJ974">
        <v>1</v>
      </c>
      <c r="AK974">
        <v>35</v>
      </c>
      <c r="AL974" t="s">
        <v>89</v>
      </c>
      <c r="AM974" t="s">
        <v>90</v>
      </c>
      <c r="AN974" t="s">
        <v>91</v>
      </c>
      <c r="AO974" t="s">
        <v>92</v>
      </c>
      <c r="AP974" t="s">
        <v>74</v>
      </c>
      <c r="AQ974" t="s">
        <v>74</v>
      </c>
      <c r="AR974" t="s">
        <v>93</v>
      </c>
      <c r="AS974" t="s">
        <v>94</v>
      </c>
      <c r="AT974" t="s">
        <v>18001</v>
      </c>
      <c r="AU974">
        <v>2012</v>
      </c>
      <c r="AV974">
        <v>42</v>
      </c>
      <c r="AW974" t="s">
        <v>74</v>
      </c>
      <c r="AX974" t="s">
        <v>74</v>
      </c>
      <c r="AY974" t="s">
        <v>74</v>
      </c>
      <c r="AZ974" t="s">
        <v>74</v>
      </c>
      <c r="BA974" t="s">
        <v>74</v>
      </c>
      <c r="BB974">
        <v>1</v>
      </c>
      <c r="BC974">
        <v>14</v>
      </c>
      <c r="BD974" t="s">
        <v>74</v>
      </c>
      <c r="BE974" t="s">
        <v>18002</v>
      </c>
      <c r="BF974" t="str">
        <f>HYPERLINK("http://dx.doi.org/10.1016/j.quascirev.2012.03.015","http://dx.doi.org/10.1016/j.quascirev.2012.03.015")</f>
        <v>http://dx.doi.org/10.1016/j.quascirev.2012.03.015</v>
      </c>
      <c r="BG974" t="s">
        <v>74</v>
      </c>
      <c r="BH974" t="s">
        <v>74</v>
      </c>
      <c r="BI974">
        <v>14</v>
      </c>
      <c r="BJ974" t="s">
        <v>97</v>
      </c>
      <c r="BK974" t="s">
        <v>98</v>
      </c>
      <c r="BL974" t="s">
        <v>99</v>
      </c>
      <c r="BM974" t="s">
        <v>18003</v>
      </c>
      <c r="BN974" t="s">
        <v>74</v>
      </c>
      <c r="BO974" t="s">
        <v>74</v>
      </c>
      <c r="BP974" t="s">
        <v>74</v>
      </c>
      <c r="BQ974" t="s">
        <v>74</v>
      </c>
      <c r="BR974" t="s">
        <v>101</v>
      </c>
      <c r="BS974" t="s">
        <v>18004</v>
      </c>
      <c r="BT974" t="str">
        <f>HYPERLINK("https%3A%2F%2Fwww.webofscience.com%2Fwos%2Fwoscc%2Ffull-record%2FWOS:000304851100001","View Full Record in Web of Science")</f>
        <v>View Full Record in Web of Science</v>
      </c>
    </row>
    <row r="975" spans="1:72" x14ac:dyDescent="0.15">
      <c r="A975" t="s">
        <v>72</v>
      </c>
      <c r="B975" t="s">
        <v>18005</v>
      </c>
      <c r="C975" t="s">
        <v>74</v>
      </c>
      <c r="D975" t="s">
        <v>74</v>
      </c>
      <c r="E975" t="s">
        <v>74</v>
      </c>
      <c r="F975" t="s">
        <v>18006</v>
      </c>
      <c r="G975" t="s">
        <v>74</v>
      </c>
      <c r="H975" t="s">
        <v>74</v>
      </c>
      <c r="I975" t="s">
        <v>18007</v>
      </c>
      <c r="J975" t="s">
        <v>3304</v>
      </c>
      <c r="K975" t="s">
        <v>74</v>
      </c>
      <c r="L975" t="s">
        <v>74</v>
      </c>
      <c r="M975" t="s">
        <v>78</v>
      </c>
      <c r="N975" t="s">
        <v>79</v>
      </c>
      <c r="O975" t="s">
        <v>74</v>
      </c>
      <c r="P975" t="s">
        <v>74</v>
      </c>
      <c r="Q975" t="s">
        <v>74</v>
      </c>
      <c r="R975" t="s">
        <v>74</v>
      </c>
      <c r="S975" t="s">
        <v>74</v>
      </c>
      <c r="T975" t="s">
        <v>18008</v>
      </c>
      <c r="U975" t="s">
        <v>18009</v>
      </c>
      <c r="V975" t="s">
        <v>18010</v>
      </c>
      <c r="W975" t="s">
        <v>18011</v>
      </c>
      <c r="X975" t="s">
        <v>12356</v>
      </c>
      <c r="Y975" t="s">
        <v>18012</v>
      </c>
      <c r="Z975" t="s">
        <v>18013</v>
      </c>
      <c r="AA975" t="s">
        <v>74</v>
      </c>
      <c r="AB975" t="s">
        <v>18014</v>
      </c>
      <c r="AC975" t="s">
        <v>18015</v>
      </c>
      <c r="AD975" t="s">
        <v>18016</v>
      </c>
      <c r="AE975" t="s">
        <v>18017</v>
      </c>
      <c r="AF975" t="s">
        <v>74</v>
      </c>
      <c r="AG975">
        <v>41</v>
      </c>
      <c r="AH975">
        <v>81</v>
      </c>
      <c r="AI975">
        <v>86</v>
      </c>
      <c r="AJ975">
        <v>2</v>
      </c>
      <c r="AK975">
        <v>38</v>
      </c>
      <c r="AL975" t="s">
        <v>118</v>
      </c>
      <c r="AM975" t="s">
        <v>119</v>
      </c>
      <c r="AN975" t="s">
        <v>120</v>
      </c>
      <c r="AO975" t="s">
        <v>3317</v>
      </c>
      <c r="AP975" t="s">
        <v>74</v>
      </c>
      <c r="AQ975" t="s">
        <v>74</v>
      </c>
      <c r="AR975" t="s">
        <v>3318</v>
      </c>
      <c r="AS975" t="s">
        <v>3319</v>
      </c>
      <c r="AT975" t="s">
        <v>18001</v>
      </c>
      <c r="AU975">
        <v>2012</v>
      </c>
      <c r="AV975">
        <v>13</v>
      </c>
      <c r="AW975" t="s">
        <v>74</v>
      </c>
      <c r="AX975" t="s">
        <v>74</v>
      </c>
      <c r="AY975" t="s">
        <v>74</v>
      </c>
      <c r="AZ975" t="s">
        <v>74</v>
      </c>
      <c r="BA975" t="s">
        <v>74</v>
      </c>
      <c r="BB975" t="s">
        <v>74</v>
      </c>
      <c r="BC975" t="s">
        <v>74</v>
      </c>
      <c r="BD975" t="s">
        <v>18018</v>
      </c>
      <c r="BE975" t="s">
        <v>18019</v>
      </c>
      <c r="BF975" t="str">
        <f>HYPERLINK("http://dx.doi.org/10.1029/2011GC003996","http://dx.doi.org/10.1029/2011GC003996")</f>
        <v>http://dx.doi.org/10.1029/2011GC003996</v>
      </c>
      <c r="BG975" t="s">
        <v>74</v>
      </c>
      <c r="BH975" t="s">
        <v>74</v>
      </c>
      <c r="BI975">
        <v>8</v>
      </c>
      <c r="BJ975" t="s">
        <v>241</v>
      </c>
      <c r="BK975" t="s">
        <v>98</v>
      </c>
      <c r="BL975" t="s">
        <v>241</v>
      </c>
      <c r="BM975" t="s">
        <v>18020</v>
      </c>
      <c r="BN975" t="s">
        <v>74</v>
      </c>
      <c r="BO975" t="s">
        <v>1458</v>
      </c>
      <c r="BP975" t="s">
        <v>74</v>
      </c>
      <c r="BQ975" t="s">
        <v>74</v>
      </c>
      <c r="BR975" t="s">
        <v>101</v>
      </c>
      <c r="BS975" t="s">
        <v>18021</v>
      </c>
      <c r="BT975" t="str">
        <f>HYPERLINK("https%3A%2F%2Fwww.webofscience.com%2Fwos%2Fwoscc%2Ffull-record%2FWOS:000304550100001","View Full Record in Web of Science")</f>
        <v>View Full Record in Web of Science</v>
      </c>
    </row>
    <row r="976" spans="1:72" x14ac:dyDescent="0.15">
      <c r="A976" t="s">
        <v>72</v>
      </c>
      <c r="B976" t="s">
        <v>18022</v>
      </c>
      <c r="C976" t="s">
        <v>74</v>
      </c>
      <c r="D976" t="s">
        <v>74</v>
      </c>
      <c r="E976" t="s">
        <v>74</v>
      </c>
      <c r="F976" t="s">
        <v>18023</v>
      </c>
      <c r="G976" t="s">
        <v>74</v>
      </c>
      <c r="H976" t="s">
        <v>74</v>
      </c>
      <c r="I976" t="s">
        <v>18024</v>
      </c>
      <c r="J976" t="s">
        <v>551</v>
      </c>
      <c r="K976" t="s">
        <v>74</v>
      </c>
      <c r="L976" t="s">
        <v>74</v>
      </c>
      <c r="M976" t="s">
        <v>78</v>
      </c>
      <c r="N976" t="s">
        <v>79</v>
      </c>
      <c r="O976" t="s">
        <v>74</v>
      </c>
      <c r="P976" t="s">
        <v>74</v>
      </c>
      <c r="Q976" t="s">
        <v>74</v>
      </c>
      <c r="R976" t="s">
        <v>74</v>
      </c>
      <c r="S976" t="s">
        <v>74</v>
      </c>
      <c r="T976" t="s">
        <v>74</v>
      </c>
      <c r="U976" t="s">
        <v>18025</v>
      </c>
      <c r="V976" t="s">
        <v>18026</v>
      </c>
      <c r="W976" t="s">
        <v>18027</v>
      </c>
      <c r="X976" t="s">
        <v>18028</v>
      </c>
      <c r="Y976" t="s">
        <v>18029</v>
      </c>
      <c r="Z976" t="s">
        <v>74</v>
      </c>
      <c r="AA976" t="s">
        <v>18030</v>
      </c>
      <c r="AB976" t="s">
        <v>18031</v>
      </c>
      <c r="AC976" t="s">
        <v>18032</v>
      </c>
      <c r="AD976" t="s">
        <v>18033</v>
      </c>
      <c r="AE976" t="s">
        <v>18034</v>
      </c>
      <c r="AF976" t="s">
        <v>74</v>
      </c>
      <c r="AG976">
        <v>49</v>
      </c>
      <c r="AH976">
        <v>6</v>
      </c>
      <c r="AI976">
        <v>7</v>
      </c>
      <c r="AJ976">
        <v>0</v>
      </c>
      <c r="AK976">
        <v>22</v>
      </c>
      <c r="AL976" t="s">
        <v>118</v>
      </c>
      <c r="AM976" t="s">
        <v>119</v>
      </c>
      <c r="AN976" t="s">
        <v>120</v>
      </c>
      <c r="AO976" t="s">
        <v>563</v>
      </c>
      <c r="AP976" t="s">
        <v>564</v>
      </c>
      <c r="AQ976" t="s">
        <v>74</v>
      </c>
      <c r="AR976" t="s">
        <v>565</v>
      </c>
      <c r="AS976" t="s">
        <v>566</v>
      </c>
      <c r="AT976" t="s">
        <v>18001</v>
      </c>
      <c r="AU976">
        <v>2012</v>
      </c>
      <c r="AV976">
        <v>117</v>
      </c>
      <c r="AW976" t="s">
        <v>74</v>
      </c>
      <c r="AX976" t="s">
        <v>74</v>
      </c>
      <c r="AY976" t="s">
        <v>74</v>
      </c>
      <c r="AZ976" t="s">
        <v>74</v>
      </c>
      <c r="BA976" t="s">
        <v>74</v>
      </c>
      <c r="BB976" t="s">
        <v>74</v>
      </c>
      <c r="BC976" t="s">
        <v>74</v>
      </c>
      <c r="BD976" t="s">
        <v>18035</v>
      </c>
      <c r="BE976" t="s">
        <v>18036</v>
      </c>
      <c r="BF976" t="str">
        <f>HYPERLINK("http://dx.doi.org/10.1029/2011JF002086","http://dx.doi.org/10.1029/2011JF002086")</f>
        <v>http://dx.doi.org/10.1029/2011JF002086</v>
      </c>
      <c r="BG976" t="s">
        <v>74</v>
      </c>
      <c r="BH976" t="s">
        <v>74</v>
      </c>
      <c r="BI976">
        <v>13</v>
      </c>
      <c r="BJ976" t="s">
        <v>461</v>
      </c>
      <c r="BK976" t="s">
        <v>98</v>
      </c>
      <c r="BL976" t="s">
        <v>462</v>
      </c>
      <c r="BM976" t="s">
        <v>18037</v>
      </c>
      <c r="BN976" t="s">
        <v>74</v>
      </c>
      <c r="BO976" t="s">
        <v>607</v>
      </c>
      <c r="BP976" t="s">
        <v>74</v>
      </c>
      <c r="BQ976" t="s">
        <v>74</v>
      </c>
      <c r="BR976" t="s">
        <v>101</v>
      </c>
      <c r="BS976" t="s">
        <v>18038</v>
      </c>
      <c r="BT976" t="str">
        <f>HYPERLINK("https%3A%2F%2Fwww.webofscience.com%2Fwos%2Fwoscc%2Ffull-record%2FWOS:000304552800001","View Full Record in Web of Science")</f>
        <v>View Full Record in Web of Science</v>
      </c>
    </row>
    <row r="977" spans="1:72" x14ac:dyDescent="0.15">
      <c r="A977" t="s">
        <v>72</v>
      </c>
      <c r="B977" t="s">
        <v>18039</v>
      </c>
      <c r="C977" t="s">
        <v>74</v>
      </c>
      <c r="D977" t="s">
        <v>74</v>
      </c>
      <c r="E977" t="s">
        <v>74</v>
      </c>
      <c r="F977" t="s">
        <v>18040</v>
      </c>
      <c r="G977" t="s">
        <v>74</v>
      </c>
      <c r="H977" t="s">
        <v>74</v>
      </c>
      <c r="I977" t="s">
        <v>18041</v>
      </c>
      <c r="J977" t="s">
        <v>3733</v>
      </c>
      <c r="K977" t="s">
        <v>74</v>
      </c>
      <c r="L977" t="s">
        <v>74</v>
      </c>
      <c r="M977" t="s">
        <v>78</v>
      </c>
      <c r="N977" t="s">
        <v>79</v>
      </c>
      <c r="O977" t="s">
        <v>74</v>
      </c>
      <c r="P977" t="s">
        <v>74</v>
      </c>
      <c r="Q977" t="s">
        <v>74</v>
      </c>
      <c r="R977" t="s">
        <v>74</v>
      </c>
      <c r="S977" t="s">
        <v>74</v>
      </c>
      <c r="T977" t="s">
        <v>74</v>
      </c>
      <c r="U977" t="s">
        <v>18042</v>
      </c>
      <c r="V977" t="s">
        <v>18043</v>
      </c>
      <c r="W977" t="s">
        <v>18044</v>
      </c>
      <c r="X977" t="s">
        <v>18045</v>
      </c>
      <c r="Y977" t="s">
        <v>18046</v>
      </c>
      <c r="Z977" t="s">
        <v>18047</v>
      </c>
      <c r="AA977" t="s">
        <v>74</v>
      </c>
      <c r="AB977" t="s">
        <v>74</v>
      </c>
      <c r="AC977" t="s">
        <v>18048</v>
      </c>
      <c r="AD977" t="s">
        <v>18049</v>
      </c>
      <c r="AE977" t="s">
        <v>18050</v>
      </c>
      <c r="AF977" t="s">
        <v>74</v>
      </c>
      <c r="AG977">
        <v>77</v>
      </c>
      <c r="AH977">
        <v>17</v>
      </c>
      <c r="AI977">
        <v>17</v>
      </c>
      <c r="AJ977">
        <v>0</v>
      </c>
      <c r="AK977">
        <v>9</v>
      </c>
      <c r="AL977" t="s">
        <v>118</v>
      </c>
      <c r="AM977" t="s">
        <v>119</v>
      </c>
      <c r="AN977" t="s">
        <v>120</v>
      </c>
      <c r="AO977" t="s">
        <v>3745</v>
      </c>
      <c r="AP977" t="s">
        <v>3746</v>
      </c>
      <c r="AQ977" t="s">
        <v>74</v>
      </c>
      <c r="AR977" t="s">
        <v>3733</v>
      </c>
      <c r="AS977" t="s">
        <v>3747</v>
      </c>
      <c r="AT977" t="s">
        <v>18051</v>
      </c>
      <c r="AU977">
        <v>2012</v>
      </c>
      <c r="AV977">
        <v>27</v>
      </c>
      <c r="AW977" t="s">
        <v>74</v>
      </c>
      <c r="AX977" t="s">
        <v>74</v>
      </c>
      <c r="AY977" t="s">
        <v>74</v>
      </c>
      <c r="AZ977" t="s">
        <v>74</v>
      </c>
      <c r="BA977" t="s">
        <v>74</v>
      </c>
      <c r="BB977" t="s">
        <v>74</v>
      </c>
      <c r="BC977" t="s">
        <v>74</v>
      </c>
      <c r="BD977" t="s">
        <v>18052</v>
      </c>
      <c r="BE977" t="s">
        <v>18053</v>
      </c>
      <c r="BF977" t="str">
        <f>HYPERLINK("http://dx.doi.org/10.1029/2011PA002259","http://dx.doi.org/10.1029/2011PA002259")</f>
        <v>http://dx.doi.org/10.1029/2011PA002259</v>
      </c>
      <c r="BG977" t="s">
        <v>74</v>
      </c>
      <c r="BH977" t="s">
        <v>74</v>
      </c>
      <c r="BI977">
        <v>11</v>
      </c>
      <c r="BJ977" t="s">
        <v>3750</v>
      </c>
      <c r="BK977" t="s">
        <v>98</v>
      </c>
      <c r="BL977" t="s">
        <v>3751</v>
      </c>
      <c r="BM977" t="s">
        <v>18054</v>
      </c>
      <c r="BN977" t="s">
        <v>74</v>
      </c>
      <c r="BO977" t="s">
        <v>74</v>
      </c>
      <c r="BP977" t="s">
        <v>74</v>
      </c>
      <c r="BQ977" t="s">
        <v>74</v>
      </c>
      <c r="BR977" t="s">
        <v>101</v>
      </c>
      <c r="BS977" t="s">
        <v>18055</v>
      </c>
      <c r="BT977" t="str">
        <f>HYPERLINK("https%3A%2F%2Fwww.webofscience.com%2Fwos%2Fwoscc%2Ffull-record%2FWOS:000304587700002","View Full Record in Web of Science")</f>
        <v>View Full Record in Web of Science</v>
      </c>
    </row>
    <row r="978" spans="1:72" x14ac:dyDescent="0.15">
      <c r="A978" t="s">
        <v>72</v>
      </c>
      <c r="B978" t="s">
        <v>18056</v>
      </c>
      <c r="C978" t="s">
        <v>74</v>
      </c>
      <c r="D978" t="s">
        <v>74</v>
      </c>
      <c r="E978" t="s">
        <v>74</v>
      </c>
      <c r="F978" t="s">
        <v>18057</v>
      </c>
      <c r="G978" t="s">
        <v>74</v>
      </c>
      <c r="H978" t="s">
        <v>74</v>
      </c>
      <c r="I978" t="s">
        <v>18058</v>
      </c>
      <c r="J978" t="s">
        <v>3733</v>
      </c>
      <c r="K978" t="s">
        <v>74</v>
      </c>
      <c r="L978" t="s">
        <v>74</v>
      </c>
      <c r="M978" t="s">
        <v>78</v>
      </c>
      <c r="N978" t="s">
        <v>79</v>
      </c>
      <c r="O978" t="s">
        <v>74</v>
      </c>
      <c r="P978" t="s">
        <v>74</v>
      </c>
      <c r="Q978" t="s">
        <v>74</v>
      </c>
      <c r="R978" t="s">
        <v>74</v>
      </c>
      <c r="S978" t="s">
        <v>74</v>
      </c>
      <c r="T978" t="s">
        <v>74</v>
      </c>
      <c r="U978" t="s">
        <v>18059</v>
      </c>
      <c r="V978" t="s">
        <v>18060</v>
      </c>
      <c r="W978" t="s">
        <v>18061</v>
      </c>
      <c r="X978" t="s">
        <v>18062</v>
      </c>
      <c r="Y978" t="s">
        <v>18063</v>
      </c>
      <c r="Z978" t="s">
        <v>18064</v>
      </c>
      <c r="AA978" t="s">
        <v>18065</v>
      </c>
      <c r="AB978" t="s">
        <v>18066</v>
      </c>
      <c r="AC978" t="s">
        <v>18067</v>
      </c>
      <c r="AD978" t="s">
        <v>18068</v>
      </c>
      <c r="AE978" t="s">
        <v>18069</v>
      </c>
      <c r="AF978" t="s">
        <v>74</v>
      </c>
      <c r="AG978">
        <v>88</v>
      </c>
      <c r="AH978">
        <v>31</v>
      </c>
      <c r="AI978">
        <v>35</v>
      </c>
      <c r="AJ978">
        <v>0</v>
      </c>
      <c r="AK978">
        <v>50</v>
      </c>
      <c r="AL978" t="s">
        <v>118</v>
      </c>
      <c r="AM978" t="s">
        <v>119</v>
      </c>
      <c r="AN978" t="s">
        <v>120</v>
      </c>
      <c r="AO978" t="s">
        <v>3745</v>
      </c>
      <c r="AP978" t="s">
        <v>3746</v>
      </c>
      <c r="AQ978" t="s">
        <v>74</v>
      </c>
      <c r="AR978" t="s">
        <v>3733</v>
      </c>
      <c r="AS978" t="s">
        <v>3747</v>
      </c>
      <c r="AT978" t="s">
        <v>18051</v>
      </c>
      <c r="AU978">
        <v>2012</v>
      </c>
      <c r="AV978">
        <v>27</v>
      </c>
      <c r="AW978" t="s">
        <v>74</v>
      </c>
      <c r="AX978" t="s">
        <v>74</v>
      </c>
      <c r="AY978" t="s">
        <v>74</v>
      </c>
      <c r="AZ978" t="s">
        <v>74</v>
      </c>
      <c r="BA978" t="s">
        <v>74</v>
      </c>
      <c r="BB978" t="s">
        <v>74</v>
      </c>
      <c r="BC978" t="s">
        <v>74</v>
      </c>
      <c r="BD978" t="s">
        <v>18070</v>
      </c>
      <c r="BE978" t="s">
        <v>18071</v>
      </c>
      <c r="BF978" t="str">
        <f>HYPERLINK("http://dx.doi.org/10.1029/2011PA002211","http://dx.doi.org/10.1029/2011PA002211")</f>
        <v>http://dx.doi.org/10.1029/2011PA002211</v>
      </c>
      <c r="BG978" t="s">
        <v>74</v>
      </c>
      <c r="BH978" t="s">
        <v>74</v>
      </c>
      <c r="BI978">
        <v>12</v>
      </c>
      <c r="BJ978" t="s">
        <v>3750</v>
      </c>
      <c r="BK978" t="s">
        <v>98</v>
      </c>
      <c r="BL978" t="s">
        <v>3751</v>
      </c>
      <c r="BM978" t="s">
        <v>18054</v>
      </c>
      <c r="BN978" t="s">
        <v>74</v>
      </c>
      <c r="BO978" t="s">
        <v>74</v>
      </c>
      <c r="BP978" t="s">
        <v>74</v>
      </c>
      <c r="BQ978" t="s">
        <v>74</v>
      </c>
      <c r="BR978" t="s">
        <v>101</v>
      </c>
      <c r="BS978" t="s">
        <v>18072</v>
      </c>
      <c r="BT978" t="str">
        <f>HYPERLINK("https%3A%2F%2Fwww.webofscience.com%2Fwos%2Fwoscc%2Ffull-record%2FWOS:000304587700001","View Full Record in Web of Science")</f>
        <v>View Full Record in Web of Science</v>
      </c>
    </row>
    <row r="979" spans="1:72" x14ac:dyDescent="0.15">
      <c r="A979" t="s">
        <v>72</v>
      </c>
      <c r="B979" t="s">
        <v>18073</v>
      </c>
      <c r="C979" t="s">
        <v>74</v>
      </c>
      <c r="D979" t="s">
        <v>74</v>
      </c>
      <c r="E979" t="s">
        <v>74</v>
      </c>
      <c r="F979" t="s">
        <v>18074</v>
      </c>
      <c r="G979" t="s">
        <v>74</v>
      </c>
      <c r="H979" t="s">
        <v>74</v>
      </c>
      <c r="I979" t="s">
        <v>18075</v>
      </c>
      <c r="J979" t="s">
        <v>444</v>
      </c>
      <c r="K979" t="s">
        <v>74</v>
      </c>
      <c r="L979" t="s">
        <v>74</v>
      </c>
      <c r="M979" t="s">
        <v>78</v>
      </c>
      <c r="N979" t="s">
        <v>79</v>
      </c>
      <c r="O979" t="s">
        <v>74</v>
      </c>
      <c r="P979" t="s">
        <v>74</v>
      </c>
      <c r="Q979" t="s">
        <v>74</v>
      </c>
      <c r="R979" t="s">
        <v>74</v>
      </c>
      <c r="S979" t="s">
        <v>74</v>
      </c>
      <c r="T979" t="s">
        <v>74</v>
      </c>
      <c r="U979" t="s">
        <v>18076</v>
      </c>
      <c r="V979" t="s">
        <v>18077</v>
      </c>
      <c r="W979" t="s">
        <v>18078</v>
      </c>
      <c r="X979" t="s">
        <v>18079</v>
      </c>
      <c r="Y979" t="s">
        <v>18080</v>
      </c>
      <c r="Z979" t="s">
        <v>18081</v>
      </c>
      <c r="AA979" t="s">
        <v>18082</v>
      </c>
      <c r="AB979" t="s">
        <v>18083</v>
      </c>
      <c r="AC979" t="s">
        <v>18084</v>
      </c>
      <c r="AD979" t="s">
        <v>18085</v>
      </c>
      <c r="AE979" t="s">
        <v>18086</v>
      </c>
      <c r="AF979" t="s">
        <v>74</v>
      </c>
      <c r="AG979">
        <v>22</v>
      </c>
      <c r="AH979">
        <v>30</v>
      </c>
      <c r="AI979">
        <v>32</v>
      </c>
      <c r="AJ979">
        <v>0</v>
      </c>
      <c r="AK979">
        <v>20</v>
      </c>
      <c r="AL979" t="s">
        <v>118</v>
      </c>
      <c r="AM979" t="s">
        <v>119</v>
      </c>
      <c r="AN979" t="s">
        <v>120</v>
      </c>
      <c r="AO979" t="s">
        <v>454</v>
      </c>
      <c r="AP979" t="s">
        <v>74</v>
      </c>
      <c r="AQ979" t="s">
        <v>74</v>
      </c>
      <c r="AR979" t="s">
        <v>456</v>
      </c>
      <c r="AS979" t="s">
        <v>457</v>
      </c>
      <c r="AT979" t="s">
        <v>18051</v>
      </c>
      <c r="AU979">
        <v>2012</v>
      </c>
      <c r="AV979">
        <v>39</v>
      </c>
      <c r="AW979" t="s">
        <v>74</v>
      </c>
      <c r="AX979" t="s">
        <v>74</v>
      </c>
      <c r="AY979" t="s">
        <v>74</v>
      </c>
      <c r="AZ979" t="s">
        <v>74</v>
      </c>
      <c r="BA979" t="s">
        <v>74</v>
      </c>
      <c r="BB979" t="s">
        <v>74</v>
      </c>
      <c r="BC979" t="s">
        <v>74</v>
      </c>
      <c r="BD979" t="s">
        <v>18087</v>
      </c>
      <c r="BE979" t="s">
        <v>18088</v>
      </c>
      <c r="BF979" t="str">
        <f>HYPERLINK("http://dx.doi.org/10.1029/2012GL051636","http://dx.doi.org/10.1029/2012GL051636")</f>
        <v>http://dx.doi.org/10.1029/2012GL051636</v>
      </c>
      <c r="BG979" t="s">
        <v>74</v>
      </c>
      <c r="BH979" t="s">
        <v>74</v>
      </c>
      <c r="BI979">
        <v>5</v>
      </c>
      <c r="BJ979" t="s">
        <v>461</v>
      </c>
      <c r="BK979" t="s">
        <v>98</v>
      </c>
      <c r="BL979" t="s">
        <v>462</v>
      </c>
      <c r="BM979" t="s">
        <v>18089</v>
      </c>
      <c r="BN979" t="s">
        <v>74</v>
      </c>
      <c r="BO979" t="s">
        <v>464</v>
      </c>
      <c r="BP979" t="s">
        <v>74</v>
      </c>
      <c r="BQ979" t="s">
        <v>74</v>
      </c>
      <c r="BR979" t="s">
        <v>101</v>
      </c>
      <c r="BS979" t="s">
        <v>18090</v>
      </c>
      <c r="BT979" t="str">
        <f>HYPERLINK("https%3A%2F%2Fwww.webofscience.com%2Fwos%2Fwoscc%2Ffull-record%2FWOS:000304560600002","View Full Record in Web of Science")</f>
        <v>View Full Record in Web of Science</v>
      </c>
    </row>
    <row r="980" spans="1:72" x14ac:dyDescent="0.15">
      <c r="A980" t="s">
        <v>72</v>
      </c>
      <c r="B980" t="s">
        <v>18091</v>
      </c>
      <c r="C980" t="s">
        <v>74</v>
      </c>
      <c r="D980" t="s">
        <v>74</v>
      </c>
      <c r="E980" t="s">
        <v>74</v>
      </c>
      <c r="F980" t="s">
        <v>18092</v>
      </c>
      <c r="G980" t="s">
        <v>74</v>
      </c>
      <c r="H980" t="s">
        <v>74</v>
      </c>
      <c r="I980" t="s">
        <v>18093</v>
      </c>
      <c r="J980" t="s">
        <v>134</v>
      </c>
      <c r="K980" t="s">
        <v>74</v>
      </c>
      <c r="L980" t="s">
        <v>74</v>
      </c>
      <c r="M980" t="s">
        <v>78</v>
      </c>
      <c r="N980" t="s">
        <v>79</v>
      </c>
      <c r="O980" t="s">
        <v>74</v>
      </c>
      <c r="P980" t="s">
        <v>74</v>
      </c>
      <c r="Q980" t="s">
        <v>74</v>
      </c>
      <c r="R980" t="s">
        <v>74</v>
      </c>
      <c r="S980" t="s">
        <v>74</v>
      </c>
      <c r="T980" t="s">
        <v>74</v>
      </c>
      <c r="U980" t="s">
        <v>18094</v>
      </c>
      <c r="V980" t="s">
        <v>18095</v>
      </c>
      <c r="W980" t="s">
        <v>18096</v>
      </c>
      <c r="X980" t="s">
        <v>18097</v>
      </c>
      <c r="Y980" t="s">
        <v>18098</v>
      </c>
      <c r="Z980" t="s">
        <v>18099</v>
      </c>
      <c r="AA980" t="s">
        <v>18100</v>
      </c>
      <c r="AB980" t="s">
        <v>18101</v>
      </c>
      <c r="AC980" t="s">
        <v>18102</v>
      </c>
      <c r="AD980" t="s">
        <v>18103</v>
      </c>
      <c r="AE980" t="s">
        <v>18104</v>
      </c>
      <c r="AF980" t="s">
        <v>74</v>
      </c>
      <c r="AG980">
        <v>74</v>
      </c>
      <c r="AH980">
        <v>50</v>
      </c>
      <c r="AI980">
        <v>53</v>
      </c>
      <c r="AJ980">
        <v>1</v>
      </c>
      <c r="AK980">
        <v>61</v>
      </c>
      <c r="AL980" t="s">
        <v>146</v>
      </c>
      <c r="AM980" t="s">
        <v>147</v>
      </c>
      <c r="AN980" t="s">
        <v>148</v>
      </c>
      <c r="AO980" t="s">
        <v>149</v>
      </c>
      <c r="AP980" t="s">
        <v>74</v>
      </c>
      <c r="AQ980" t="s">
        <v>74</v>
      </c>
      <c r="AR980" t="s">
        <v>134</v>
      </c>
      <c r="AS980" t="s">
        <v>150</v>
      </c>
      <c r="AT980" t="s">
        <v>18051</v>
      </c>
      <c r="AU980">
        <v>2012</v>
      </c>
      <c r="AV980">
        <v>7</v>
      </c>
      <c r="AW980">
        <v>5</v>
      </c>
      <c r="AX980" t="s">
        <v>74</v>
      </c>
      <c r="AY980" t="s">
        <v>74</v>
      </c>
      <c r="AZ980" t="s">
        <v>74</v>
      </c>
      <c r="BA980" t="s">
        <v>74</v>
      </c>
      <c r="BB980" t="s">
        <v>74</v>
      </c>
      <c r="BC980" t="s">
        <v>74</v>
      </c>
      <c r="BD980" t="s">
        <v>18105</v>
      </c>
      <c r="BE980" t="s">
        <v>18106</v>
      </c>
      <c r="BF980" t="str">
        <f>HYPERLINK("http://dx.doi.org/10.1371/journal.pone.0037717","http://dx.doi.org/10.1371/journal.pone.0037717")</f>
        <v>http://dx.doi.org/10.1371/journal.pone.0037717</v>
      </c>
      <c r="BG980" t="s">
        <v>74</v>
      </c>
      <c r="BH980" t="s">
        <v>74</v>
      </c>
      <c r="BI980">
        <v>10</v>
      </c>
      <c r="BJ980" t="s">
        <v>153</v>
      </c>
      <c r="BK980" t="s">
        <v>98</v>
      </c>
      <c r="BL980" t="s">
        <v>154</v>
      </c>
      <c r="BM980" t="s">
        <v>18107</v>
      </c>
      <c r="BN980">
        <v>22649553</v>
      </c>
      <c r="BO980" t="s">
        <v>693</v>
      </c>
      <c r="BP980" t="s">
        <v>74</v>
      </c>
      <c r="BQ980" t="s">
        <v>74</v>
      </c>
      <c r="BR980" t="s">
        <v>101</v>
      </c>
      <c r="BS980" t="s">
        <v>18108</v>
      </c>
      <c r="BT980" t="str">
        <f>HYPERLINK("https%3A%2F%2Fwww.webofscience.com%2Fwos%2Fwoscc%2Ffull-record%2FWOS:000305335800073","View Full Record in Web of Science")</f>
        <v>View Full Record in Web of Science</v>
      </c>
    </row>
    <row r="981" spans="1:72" x14ac:dyDescent="0.15">
      <c r="A981" t="s">
        <v>72</v>
      </c>
      <c r="B981" t="s">
        <v>18109</v>
      </c>
      <c r="C981" t="s">
        <v>74</v>
      </c>
      <c r="D981" t="s">
        <v>74</v>
      </c>
      <c r="E981" t="s">
        <v>74</v>
      </c>
      <c r="F981" t="s">
        <v>18110</v>
      </c>
      <c r="G981" t="s">
        <v>74</v>
      </c>
      <c r="H981" t="s">
        <v>74</v>
      </c>
      <c r="I981" t="s">
        <v>18111</v>
      </c>
      <c r="J981" t="s">
        <v>134</v>
      </c>
      <c r="K981" t="s">
        <v>74</v>
      </c>
      <c r="L981" t="s">
        <v>74</v>
      </c>
      <c r="M981" t="s">
        <v>78</v>
      </c>
      <c r="N981" t="s">
        <v>79</v>
      </c>
      <c r="O981" t="s">
        <v>74</v>
      </c>
      <c r="P981" t="s">
        <v>74</v>
      </c>
      <c r="Q981" t="s">
        <v>74</v>
      </c>
      <c r="R981" t="s">
        <v>74</v>
      </c>
      <c r="S981" t="s">
        <v>74</v>
      </c>
      <c r="T981" t="s">
        <v>74</v>
      </c>
      <c r="U981" t="s">
        <v>18112</v>
      </c>
      <c r="V981" t="s">
        <v>18113</v>
      </c>
      <c r="W981" t="s">
        <v>18114</v>
      </c>
      <c r="X981" t="s">
        <v>18115</v>
      </c>
      <c r="Y981" t="s">
        <v>18116</v>
      </c>
      <c r="Z981" t="s">
        <v>18117</v>
      </c>
      <c r="AA981" t="s">
        <v>18118</v>
      </c>
      <c r="AB981" t="s">
        <v>18119</v>
      </c>
      <c r="AC981" t="s">
        <v>18120</v>
      </c>
      <c r="AD981" t="s">
        <v>18121</v>
      </c>
      <c r="AE981" t="s">
        <v>18122</v>
      </c>
      <c r="AF981" t="s">
        <v>74</v>
      </c>
      <c r="AG981">
        <v>38</v>
      </c>
      <c r="AH981">
        <v>85</v>
      </c>
      <c r="AI981">
        <v>97</v>
      </c>
      <c r="AJ981">
        <v>0</v>
      </c>
      <c r="AK981">
        <v>53</v>
      </c>
      <c r="AL981" t="s">
        <v>146</v>
      </c>
      <c r="AM981" t="s">
        <v>147</v>
      </c>
      <c r="AN981" t="s">
        <v>148</v>
      </c>
      <c r="AO981" t="s">
        <v>149</v>
      </c>
      <c r="AP981" t="s">
        <v>74</v>
      </c>
      <c r="AQ981" t="s">
        <v>74</v>
      </c>
      <c r="AR981" t="s">
        <v>134</v>
      </c>
      <c r="AS981" t="s">
        <v>150</v>
      </c>
      <c r="AT981" t="s">
        <v>18051</v>
      </c>
      <c r="AU981">
        <v>2012</v>
      </c>
      <c r="AV981">
        <v>7</v>
      </c>
      <c r="AW981">
        <v>5</v>
      </c>
      <c r="AX981" t="s">
        <v>74</v>
      </c>
      <c r="AY981" t="s">
        <v>74</v>
      </c>
      <c r="AZ981" t="s">
        <v>74</v>
      </c>
      <c r="BA981" t="s">
        <v>74</v>
      </c>
      <c r="BB981" t="s">
        <v>74</v>
      </c>
      <c r="BC981" t="s">
        <v>74</v>
      </c>
      <c r="BD981" t="s">
        <v>18123</v>
      </c>
      <c r="BE981" t="s">
        <v>18124</v>
      </c>
      <c r="BF981" t="str">
        <f>HYPERLINK("http://dx.doi.org/10.1371/journal.pone.0036881","http://dx.doi.org/10.1371/journal.pone.0036881")</f>
        <v>http://dx.doi.org/10.1371/journal.pone.0036881</v>
      </c>
      <c r="BG981" t="s">
        <v>74</v>
      </c>
      <c r="BH981" t="s">
        <v>74</v>
      </c>
      <c r="BI981">
        <v>7</v>
      </c>
      <c r="BJ981" t="s">
        <v>153</v>
      </c>
      <c r="BK981" t="s">
        <v>98</v>
      </c>
      <c r="BL981" t="s">
        <v>154</v>
      </c>
      <c r="BM981" t="s">
        <v>18107</v>
      </c>
      <c r="BN981">
        <v>22649502</v>
      </c>
      <c r="BO981" t="s">
        <v>3409</v>
      </c>
      <c r="BP981" t="s">
        <v>74</v>
      </c>
      <c r="BQ981" t="s">
        <v>74</v>
      </c>
      <c r="BR981" t="s">
        <v>101</v>
      </c>
      <c r="BS981" t="s">
        <v>18125</v>
      </c>
      <c r="BT981" t="str">
        <f>HYPERLINK("https%3A%2F%2Fwww.webofscience.com%2Fwos%2Fwoscc%2Ffull-record%2FWOS:000305335800020","View Full Record in Web of Science")</f>
        <v>View Full Record in Web of Science</v>
      </c>
    </row>
    <row r="982" spans="1:72" x14ac:dyDescent="0.15">
      <c r="A982" t="s">
        <v>72</v>
      </c>
      <c r="B982" t="s">
        <v>18126</v>
      </c>
      <c r="C982" t="s">
        <v>74</v>
      </c>
      <c r="D982" t="s">
        <v>74</v>
      </c>
      <c r="E982" t="s">
        <v>74</v>
      </c>
      <c r="F982" t="s">
        <v>18127</v>
      </c>
      <c r="G982" t="s">
        <v>74</v>
      </c>
      <c r="H982" t="s">
        <v>74</v>
      </c>
      <c r="I982" t="s">
        <v>18128</v>
      </c>
      <c r="J982" t="s">
        <v>657</v>
      </c>
      <c r="K982" t="s">
        <v>74</v>
      </c>
      <c r="L982" t="s">
        <v>74</v>
      </c>
      <c r="M982" t="s">
        <v>78</v>
      </c>
      <c r="N982" t="s">
        <v>79</v>
      </c>
      <c r="O982" t="s">
        <v>74</v>
      </c>
      <c r="P982" t="s">
        <v>74</v>
      </c>
      <c r="Q982" t="s">
        <v>74</v>
      </c>
      <c r="R982" t="s">
        <v>74</v>
      </c>
      <c r="S982" t="s">
        <v>74</v>
      </c>
      <c r="T982" t="s">
        <v>18129</v>
      </c>
      <c r="U982" t="s">
        <v>18130</v>
      </c>
      <c r="V982" t="s">
        <v>18131</v>
      </c>
      <c r="W982" t="s">
        <v>18132</v>
      </c>
      <c r="X982" t="s">
        <v>18133</v>
      </c>
      <c r="Y982" t="s">
        <v>18134</v>
      </c>
      <c r="Z982" t="s">
        <v>18135</v>
      </c>
      <c r="AA982" t="s">
        <v>74</v>
      </c>
      <c r="AB982" t="s">
        <v>74</v>
      </c>
      <c r="AC982" t="s">
        <v>18136</v>
      </c>
      <c r="AD982" t="s">
        <v>18137</v>
      </c>
      <c r="AE982" t="s">
        <v>18138</v>
      </c>
      <c r="AF982" t="s">
        <v>74</v>
      </c>
      <c r="AG982">
        <v>86</v>
      </c>
      <c r="AH982">
        <v>16</v>
      </c>
      <c r="AI982">
        <v>16</v>
      </c>
      <c r="AJ982">
        <v>0</v>
      </c>
      <c r="AK982">
        <v>1</v>
      </c>
      <c r="AL982" t="s">
        <v>668</v>
      </c>
      <c r="AM982" t="s">
        <v>669</v>
      </c>
      <c r="AN982" t="s">
        <v>18139</v>
      </c>
      <c r="AO982" t="s">
        <v>671</v>
      </c>
      <c r="AP982" t="s">
        <v>672</v>
      </c>
      <c r="AQ982" t="s">
        <v>74</v>
      </c>
      <c r="AR982" t="s">
        <v>657</v>
      </c>
      <c r="AS982" t="s">
        <v>673</v>
      </c>
      <c r="AT982" t="s">
        <v>18051</v>
      </c>
      <c r="AU982">
        <v>2012</v>
      </c>
      <c r="AV982" t="s">
        <v>74</v>
      </c>
      <c r="AW982">
        <v>3321</v>
      </c>
      <c r="AX982" t="s">
        <v>74</v>
      </c>
      <c r="AY982" t="s">
        <v>74</v>
      </c>
      <c r="AZ982" t="s">
        <v>74</v>
      </c>
      <c r="BA982" t="s">
        <v>74</v>
      </c>
      <c r="BB982">
        <v>1</v>
      </c>
      <c r="BC982">
        <v>21</v>
      </c>
      <c r="BD982" t="s">
        <v>74</v>
      </c>
      <c r="BE982" t="s">
        <v>74</v>
      </c>
      <c r="BF982" t="s">
        <v>74</v>
      </c>
      <c r="BG982" t="s">
        <v>74</v>
      </c>
      <c r="BH982" t="s">
        <v>74</v>
      </c>
      <c r="BI982">
        <v>21</v>
      </c>
      <c r="BJ982" t="s">
        <v>675</v>
      </c>
      <c r="BK982" t="s">
        <v>98</v>
      </c>
      <c r="BL982" t="s">
        <v>675</v>
      </c>
      <c r="BM982" t="s">
        <v>18140</v>
      </c>
      <c r="BN982" t="s">
        <v>74</v>
      </c>
      <c r="BO982" t="s">
        <v>74</v>
      </c>
      <c r="BP982" t="s">
        <v>74</v>
      </c>
      <c r="BQ982" t="s">
        <v>74</v>
      </c>
      <c r="BR982" t="s">
        <v>101</v>
      </c>
      <c r="BS982" t="s">
        <v>18141</v>
      </c>
      <c r="BT982" t="str">
        <f>HYPERLINK("https%3A%2F%2Fwww.webofscience.com%2Fwos%2Fwoscc%2Ffull-record%2FWOS:000304425400001","View Full Record in Web of Science")</f>
        <v>View Full Record in Web of Science</v>
      </c>
    </row>
    <row r="983" spans="1:72" x14ac:dyDescent="0.15">
      <c r="A983" t="s">
        <v>72</v>
      </c>
      <c r="B983" t="s">
        <v>18142</v>
      </c>
      <c r="C983" t="s">
        <v>74</v>
      </c>
      <c r="D983" t="s">
        <v>74</v>
      </c>
      <c r="E983" t="s">
        <v>74</v>
      </c>
      <c r="F983" t="s">
        <v>18143</v>
      </c>
      <c r="G983" t="s">
        <v>74</v>
      </c>
      <c r="H983" t="s">
        <v>74</v>
      </c>
      <c r="I983" t="s">
        <v>18144</v>
      </c>
      <c r="J983" t="s">
        <v>444</v>
      </c>
      <c r="K983" t="s">
        <v>74</v>
      </c>
      <c r="L983" t="s">
        <v>74</v>
      </c>
      <c r="M983" t="s">
        <v>78</v>
      </c>
      <c r="N983" t="s">
        <v>79</v>
      </c>
      <c r="O983" t="s">
        <v>74</v>
      </c>
      <c r="P983" t="s">
        <v>74</v>
      </c>
      <c r="Q983" t="s">
        <v>74</v>
      </c>
      <c r="R983" t="s">
        <v>74</v>
      </c>
      <c r="S983" t="s">
        <v>74</v>
      </c>
      <c r="T983" t="s">
        <v>74</v>
      </c>
      <c r="U983" t="s">
        <v>18145</v>
      </c>
      <c r="V983" t="s">
        <v>18146</v>
      </c>
      <c r="W983" t="s">
        <v>18147</v>
      </c>
      <c r="X983" t="s">
        <v>18148</v>
      </c>
      <c r="Y983" t="s">
        <v>18149</v>
      </c>
      <c r="Z983" t="s">
        <v>18150</v>
      </c>
      <c r="AA983" t="s">
        <v>18151</v>
      </c>
      <c r="AB983" t="s">
        <v>18152</v>
      </c>
      <c r="AC983" t="s">
        <v>18153</v>
      </c>
      <c r="AD983" t="s">
        <v>18154</v>
      </c>
      <c r="AE983" t="s">
        <v>18155</v>
      </c>
      <c r="AF983" t="s">
        <v>74</v>
      </c>
      <c r="AG983">
        <v>25</v>
      </c>
      <c r="AH983">
        <v>7</v>
      </c>
      <c r="AI983">
        <v>7</v>
      </c>
      <c r="AJ983">
        <v>1</v>
      </c>
      <c r="AK983">
        <v>11</v>
      </c>
      <c r="AL983" t="s">
        <v>118</v>
      </c>
      <c r="AM983" t="s">
        <v>119</v>
      </c>
      <c r="AN983" t="s">
        <v>120</v>
      </c>
      <c r="AO983" t="s">
        <v>454</v>
      </c>
      <c r="AP983" t="s">
        <v>455</v>
      </c>
      <c r="AQ983" t="s">
        <v>74</v>
      </c>
      <c r="AR983" t="s">
        <v>456</v>
      </c>
      <c r="AS983" t="s">
        <v>457</v>
      </c>
      <c r="AT983" t="s">
        <v>18156</v>
      </c>
      <c r="AU983">
        <v>2012</v>
      </c>
      <c r="AV983">
        <v>39</v>
      </c>
      <c r="AW983" t="s">
        <v>74</v>
      </c>
      <c r="AX983" t="s">
        <v>74</v>
      </c>
      <c r="AY983" t="s">
        <v>74</v>
      </c>
      <c r="AZ983" t="s">
        <v>74</v>
      </c>
      <c r="BA983" t="s">
        <v>74</v>
      </c>
      <c r="BB983" t="s">
        <v>74</v>
      </c>
      <c r="BC983" t="s">
        <v>74</v>
      </c>
      <c r="BD983" t="s">
        <v>18157</v>
      </c>
      <c r="BE983" t="s">
        <v>18158</v>
      </c>
      <c r="BF983" t="str">
        <f>HYPERLINK("http://dx.doi.org/10.1029/2012GL051270","http://dx.doi.org/10.1029/2012GL051270")</f>
        <v>http://dx.doi.org/10.1029/2012GL051270</v>
      </c>
      <c r="BG983" t="s">
        <v>74</v>
      </c>
      <c r="BH983" t="s">
        <v>74</v>
      </c>
      <c r="BI983">
        <v>5</v>
      </c>
      <c r="BJ983" t="s">
        <v>461</v>
      </c>
      <c r="BK983" t="s">
        <v>98</v>
      </c>
      <c r="BL983" t="s">
        <v>462</v>
      </c>
      <c r="BM983" t="s">
        <v>18159</v>
      </c>
      <c r="BN983" t="s">
        <v>74</v>
      </c>
      <c r="BO983" t="s">
        <v>464</v>
      </c>
      <c r="BP983" t="s">
        <v>74</v>
      </c>
      <c r="BQ983" t="s">
        <v>74</v>
      </c>
      <c r="BR983" t="s">
        <v>101</v>
      </c>
      <c r="BS983" t="s">
        <v>18160</v>
      </c>
      <c r="BT983" t="str">
        <f>HYPERLINK("https%3A%2F%2Fwww.webofscience.com%2Fwos%2Fwoscc%2Ffull-record%2FWOS:000304560100001","View Full Record in Web of Science")</f>
        <v>View Full Record in Web of Science</v>
      </c>
    </row>
    <row r="984" spans="1:72" x14ac:dyDescent="0.15">
      <c r="A984" t="s">
        <v>72</v>
      </c>
      <c r="B984" t="s">
        <v>18161</v>
      </c>
      <c r="C984" t="s">
        <v>74</v>
      </c>
      <c r="D984" t="s">
        <v>74</v>
      </c>
      <c r="E984" t="s">
        <v>74</v>
      </c>
      <c r="F984" t="s">
        <v>18162</v>
      </c>
      <c r="G984" t="s">
        <v>74</v>
      </c>
      <c r="H984" t="s">
        <v>74</v>
      </c>
      <c r="I984" t="s">
        <v>18163</v>
      </c>
      <c r="J984" t="s">
        <v>134</v>
      </c>
      <c r="K984" t="s">
        <v>74</v>
      </c>
      <c r="L984" t="s">
        <v>74</v>
      </c>
      <c r="M984" t="s">
        <v>78</v>
      </c>
      <c r="N984" t="s">
        <v>79</v>
      </c>
      <c r="O984" t="s">
        <v>74</v>
      </c>
      <c r="P984" t="s">
        <v>74</v>
      </c>
      <c r="Q984" t="s">
        <v>74</v>
      </c>
      <c r="R984" t="s">
        <v>74</v>
      </c>
      <c r="S984" t="s">
        <v>74</v>
      </c>
      <c r="T984" t="s">
        <v>74</v>
      </c>
      <c r="U984" t="s">
        <v>18164</v>
      </c>
      <c r="V984" t="s">
        <v>18165</v>
      </c>
      <c r="W984" t="s">
        <v>18166</v>
      </c>
      <c r="X984" t="s">
        <v>18167</v>
      </c>
      <c r="Y984" t="s">
        <v>18168</v>
      </c>
      <c r="Z984" t="s">
        <v>18169</v>
      </c>
      <c r="AA984" t="s">
        <v>18170</v>
      </c>
      <c r="AB984" t="s">
        <v>18171</v>
      </c>
      <c r="AC984" t="s">
        <v>18172</v>
      </c>
      <c r="AD984" t="s">
        <v>18173</v>
      </c>
      <c r="AE984" t="s">
        <v>18174</v>
      </c>
      <c r="AF984" t="s">
        <v>74</v>
      </c>
      <c r="AG984">
        <v>52</v>
      </c>
      <c r="AH984">
        <v>65</v>
      </c>
      <c r="AI984">
        <v>70</v>
      </c>
      <c r="AJ984">
        <v>0</v>
      </c>
      <c r="AK984">
        <v>63</v>
      </c>
      <c r="AL984" t="s">
        <v>146</v>
      </c>
      <c r="AM984" t="s">
        <v>147</v>
      </c>
      <c r="AN984" t="s">
        <v>148</v>
      </c>
      <c r="AO984" t="s">
        <v>149</v>
      </c>
      <c r="AP984" t="s">
        <v>74</v>
      </c>
      <c r="AQ984" t="s">
        <v>74</v>
      </c>
      <c r="AR984" t="s">
        <v>134</v>
      </c>
      <c r="AS984" t="s">
        <v>150</v>
      </c>
      <c r="AT984" t="s">
        <v>18175</v>
      </c>
      <c r="AU984">
        <v>2012</v>
      </c>
      <c r="AV984">
        <v>7</v>
      </c>
      <c r="AW984">
        <v>5</v>
      </c>
      <c r="AX984" t="s">
        <v>74</v>
      </c>
      <c r="AY984" t="s">
        <v>74</v>
      </c>
      <c r="AZ984" t="s">
        <v>74</v>
      </c>
      <c r="BA984" t="s">
        <v>74</v>
      </c>
      <c r="BB984" t="s">
        <v>74</v>
      </c>
      <c r="BC984" t="s">
        <v>74</v>
      </c>
      <c r="BD984" t="s">
        <v>18176</v>
      </c>
      <c r="BE984" t="s">
        <v>18177</v>
      </c>
      <c r="BF984" t="str">
        <f>HYPERLINK("http://dx.doi.org/10.1371/journal.pone.0037216","http://dx.doi.org/10.1371/journal.pone.0037216")</f>
        <v>http://dx.doi.org/10.1371/journal.pone.0037216</v>
      </c>
      <c r="BG984" t="s">
        <v>74</v>
      </c>
      <c r="BH984" t="s">
        <v>74</v>
      </c>
      <c r="BI984">
        <v>14</v>
      </c>
      <c r="BJ984" t="s">
        <v>153</v>
      </c>
      <c r="BK984" t="s">
        <v>98</v>
      </c>
      <c r="BL984" t="s">
        <v>154</v>
      </c>
      <c r="BM984" t="s">
        <v>18178</v>
      </c>
      <c r="BN984">
        <v>22629370</v>
      </c>
      <c r="BO984" t="s">
        <v>18179</v>
      </c>
      <c r="BP984" t="s">
        <v>74</v>
      </c>
      <c r="BQ984" t="s">
        <v>74</v>
      </c>
      <c r="BR984" t="s">
        <v>101</v>
      </c>
      <c r="BS984" t="s">
        <v>18180</v>
      </c>
      <c r="BT984" t="str">
        <f>HYPERLINK("https%3A%2F%2Fwww.webofscience.com%2Fwos%2Fwoscc%2Ffull-record%2FWOS:000305343100018","View Full Record in Web of Science")</f>
        <v>View Full Record in Web of Science</v>
      </c>
    </row>
    <row r="985" spans="1:72" x14ac:dyDescent="0.15">
      <c r="A985" t="s">
        <v>72</v>
      </c>
      <c r="B985" t="s">
        <v>18181</v>
      </c>
      <c r="C985" t="s">
        <v>74</v>
      </c>
      <c r="D985" t="s">
        <v>74</v>
      </c>
      <c r="E985" t="s">
        <v>74</v>
      </c>
      <c r="F985" t="s">
        <v>18182</v>
      </c>
      <c r="G985" t="s">
        <v>74</v>
      </c>
      <c r="H985" t="s">
        <v>74</v>
      </c>
      <c r="I985" t="s">
        <v>18183</v>
      </c>
      <c r="J985" t="s">
        <v>3666</v>
      </c>
      <c r="K985" t="s">
        <v>74</v>
      </c>
      <c r="L985" t="s">
        <v>74</v>
      </c>
      <c r="M985" t="s">
        <v>78</v>
      </c>
      <c r="N985" t="s">
        <v>79</v>
      </c>
      <c r="O985" t="s">
        <v>74</v>
      </c>
      <c r="P985" t="s">
        <v>74</v>
      </c>
      <c r="Q985" t="s">
        <v>74</v>
      </c>
      <c r="R985" t="s">
        <v>74</v>
      </c>
      <c r="S985" t="s">
        <v>74</v>
      </c>
      <c r="T985" t="s">
        <v>74</v>
      </c>
      <c r="U985" t="s">
        <v>18184</v>
      </c>
      <c r="V985" t="s">
        <v>18185</v>
      </c>
      <c r="W985" t="s">
        <v>18186</v>
      </c>
      <c r="X985" t="s">
        <v>18187</v>
      </c>
      <c r="Y985" t="s">
        <v>18188</v>
      </c>
      <c r="Z985" t="s">
        <v>18189</v>
      </c>
      <c r="AA985" t="s">
        <v>18190</v>
      </c>
      <c r="AB985" t="s">
        <v>74</v>
      </c>
      <c r="AC985" t="s">
        <v>18191</v>
      </c>
      <c r="AD985" t="s">
        <v>18192</v>
      </c>
      <c r="AE985" t="s">
        <v>18193</v>
      </c>
      <c r="AF985" t="s">
        <v>74</v>
      </c>
      <c r="AG985">
        <v>45</v>
      </c>
      <c r="AH985">
        <v>15</v>
      </c>
      <c r="AI985">
        <v>17</v>
      </c>
      <c r="AJ985">
        <v>1</v>
      </c>
      <c r="AK985">
        <v>21</v>
      </c>
      <c r="AL985" t="s">
        <v>118</v>
      </c>
      <c r="AM985" t="s">
        <v>119</v>
      </c>
      <c r="AN985" t="s">
        <v>120</v>
      </c>
      <c r="AO985" t="s">
        <v>3678</v>
      </c>
      <c r="AP985" t="s">
        <v>3679</v>
      </c>
      <c r="AQ985" t="s">
        <v>74</v>
      </c>
      <c r="AR985" t="s">
        <v>3680</v>
      </c>
      <c r="AS985" t="s">
        <v>3681</v>
      </c>
      <c r="AT985" t="s">
        <v>18194</v>
      </c>
      <c r="AU985">
        <v>2012</v>
      </c>
      <c r="AV985">
        <v>117</v>
      </c>
      <c r="AW985" t="s">
        <v>74</v>
      </c>
      <c r="AX985" t="s">
        <v>74</v>
      </c>
      <c r="AY985" t="s">
        <v>74</v>
      </c>
      <c r="AZ985" t="s">
        <v>74</v>
      </c>
      <c r="BA985" t="s">
        <v>74</v>
      </c>
      <c r="BB985" t="s">
        <v>74</v>
      </c>
      <c r="BC985" t="s">
        <v>74</v>
      </c>
      <c r="BD985" t="s">
        <v>18195</v>
      </c>
      <c r="BE985" t="s">
        <v>18196</v>
      </c>
      <c r="BF985" t="str">
        <f>HYPERLINK("http://dx.doi.org/10.1029/2010JC006597","http://dx.doi.org/10.1029/2010JC006597")</f>
        <v>http://dx.doi.org/10.1029/2010JC006597</v>
      </c>
      <c r="BG985" t="s">
        <v>74</v>
      </c>
      <c r="BH985" t="s">
        <v>74</v>
      </c>
      <c r="BI985">
        <v>9</v>
      </c>
      <c r="BJ985" t="s">
        <v>941</v>
      </c>
      <c r="BK985" t="s">
        <v>98</v>
      </c>
      <c r="BL985" t="s">
        <v>941</v>
      </c>
      <c r="BM985" t="s">
        <v>18197</v>
      </c>
      <c r="BN985" t="s">
        <v>74</v>
      </c>
      <c r="BO985" t="s">
        <v>607</v>
      </c>
      <c r="BP985" t="s">
        <v>74</v>
      </c>
      <c r="BQ985" t="s">
        <v>74</v>
      </c>
      <c r="BR985" t="s">
        <v>101</v>
      </c>
      <c r="BS985" t="s">
        <v>18198</v>
      </c>
      <c r="BT985" t="str">
        <f>HYPERLINK("https%3A%2F%2Fwww.webofscience.com%2Fwos%2Fwoscc%2Ffull-record%2FWOS:000304251500001","View Full Record in Web of Science")</f>
        <v>View Full Record in Web of Science</v>
      </c>
    </row>
    <row r="986" spans="1:72" x14ac:dyDescent="0.15">
      <c r="A986" t="s">
        <v>72</v>
      </c>
      <c r="B986" t="s">
        <v>18199</v>
      </c>
      <c r="C986" t="s">
        <v>74</v>
      </c>
      <c r="D986" t="s">
        <v>74</v>
      </c>
      <c r="E986" t="s">
        <v>74</v>
      </c>
      <c r="F986" t="s">
        <v>18200</v>
      </c>
      <c r="G986" t="s">
        <v>74</v>
      </c>
      <c r="H986" t="s">
        <v>74</v>
      </c>
      <c r="I986" t="s">
        <v>18201</v>
      </c>
      <c r="J986" t="s">
        <v>3207</v>
      </c>
      <c r="K986" t="s">
        <v>74</v>
      </c>
      <c r="L986" t="s">
        <v>74</v>
      </c>
      <c r="M986" t="s">
        <v>78</v>
      </c>
      <c r="N986" t="s">
        <v>79</v>
      </c>
      <c r="O986" t="s">
        <v>74</v>
      </c>
      <c r="P986" t="s">
        <v>74</v>
      </c>
      <c r="Q986" t="s">
        <v>74</v>
      </c>
      <c r="R986" t="s">
        <v>74</v>
      </c>
      <c r="S986" t="s">
        <v>74</v>
      </c>
      <c r="T986" t="s">
        <v>74</v>
      </c>
      <c r="U986" t="s">
        <v>18202</v>
      </c>
      <c r="V986" t="s">
        <v>18203</v>
      </c>
      <c r="W986" t="s">
        <v>18204</v>
      </c>
      <c r="X986" t="s">
        <v>18205</v>
      </c>
      <c r="Y986" t="s">
        <v>18206</v>
      </c>
      <c r="Z986" t="s">
        <v>18207</v>
      </c>
      <c r="AA986" t="s">
        <v>18208</v>
      </c>
      <c r="AB986" t="s">
        <v>18209</v>
      </c>
      <c r="AC986" t="s">
        <v>18210</v>
      </c>
      <c r="AD986" t="s">
        <v>18211</v>
      </c>
      <c r="AE986" t="s">
        <v>18212</v>
      </c>
      <c r="AF986" t="s">
        <v>74</v>
      </c>
      <c r="AG986">
        <v>59</v>
      </c>
      <c r="AH986">
        <v>31</v>
      </c>
      <c r="AI986">
        <v>32</v>
      </c>
      <c r="AJ986">
        <v>0</v>
      </c>
      <c r="AK986">
        <v>20</v>
      </c>
      <c r="AL986" t="s">
        <v>118</v>
      </c>
      <c r="AM986" t="s">
        <v>119</v>
      </c>
      <c r="AN986" t="s">
        <v>120</v>
      </c>
      <c r="AO986" t="s">
        <v>3219</v>
      </c>
      <c r="AP986" t="s">
        <v>3220</v>
      </c>
      <c r="AQ986" t="s">
        <v>74</v>
      </c>
      <c r="AR986" t="s">
        <v>3221</v>
      </c>
      <c r="AS986" t="s">
        <v>3222</v>
      </c>
      <c r="AT986" t="s">
        <v>18194</v>
      </c>
      <c r="AU986">
        <v>2012</v>
      </c>
      <c r="AV986">
        <v>117</v>
      </c>
      <c r="AW986" t="s">
        <v>74</v>
      </c>
      <c r="AX986" t="s">
        <v>74</v>
      </c>
      <c r="AY986" t="s">
        <v>74</v>
      </c>
      <c r="AZ986" t="s">
        <v>74</v>
      </c>
      <c r="BA986" t="s">
        <v>74</v>
      </c>
      <c r="BB986" t="s">
        <v>74</v>
      </c>
      <c r="BC986" t="s">
        <v>74</v>
      </c>
      <c r="BD986" t="s">
        <v>18213</v>
      </c>
      <c r="BE986" t="s">
        <v>18214</v>
      </c>
      <c r="BF986" t="str">
        <f>HYPERLINK("http://dx.doi.org/10.1029/2011JD017174","http://dx.doi.org/10.1029/2011JD017174")</f>
        <v>http://dx.doi.org/10.1029/2011JD017174</v>
      </c>
      <c r="BG986" t="s">
        <v>74</v>
      </c>
      <c r="BH986" t="s">
        <v>74</v>
      </c>
      <c r="BI986">
        <v>23</v>
      </c>
      <c r="BJ986" t="s">
        <v>378</v>
      </c>
      <c r="BK986" t="s">
        <v>98</v>
      </c>
      <c r="BL986" t="s">
        <v>378</v>
      </c>
      <c r="BM986" t="s">
        <v>18215</v>
      </c>
      <c r="BN986" t="s">
        <v>74</v>
      </c>
      <c r="BO986" t="s">
        <v>3753</v>
      </c>
      <c r="BP986" t="s">
        <v>74</v>
      </c>
      <c r="BQ986" t="s">
        <v>74</v>
      </c>
      <c r="BR986" t="s">
        <v>101</v>
      </c>
      <c r="BS986" t="s">
        <v>18216</v>
      </c>
      <c r="BT986" t="str">
        <f>HYPERLINK("https%3A%2F%2Fwww.webofscience.com%2Fwos%2Fwoscc%2Ffull-record%2FWOS:000304260300004","View Full Record in Web of Science")</f>
        <v>View Full Record in Web of Science</v>
      </c>
    </row>
    <row r="987" spans="1:72" x14ac:dyDescent="0.15">
      <c r="A987" t="s">
        <v>72</v>
      </c>
      <c r="B987" t="s">
        <v>18217</v>
      </c>
      <c r="C987" t="s">
        <v>74</v>
      </c>
      <c r="D987" t="s">
        <v>74</v>
      </c>
      <c r="E987" t="s">
        <v>74</v>
      </c>
      <c r="F987" t="s">
        <v>18218</v>
      </c>
      <c r="G987" t="s">
        <v>74</v>
      </c>
      <c r="H987" t="s">
        <v>74</v>
      </c>
      <c r="I987" t="s">
        <v>18219</v>
      </c>
      <c r="J987" t="s">
        <v>134</v>
      </c>
      <c r="K987" t="s">
        <v>74</v>
      </c>
      <c r="L987" t="s">
        <v>74</v>
      </c>
      <c r="M987" t="s">
        <v>78</v>
      </c>
      <c r="N987" t="s">
        <v>79</v>
      </c>
      <c r="O987" t="s">
        <v>74</v>
      </c>
      <c r="P987" t="s">
        <v>74</v>
      </c>
      <c r="Q987" t="s">
        <v>74</v>
      </c>
      <c r="R987" t="s">
        <v>74</v>
      </c>
      <c r="S987" t="s">
        <v>74</v>
      </c>
      <c r="T987" t="s">
        <v>74</v>
      </c>
      <c r="U987" t="s">
        <v>18220</v>
      </c>
      <c r="V987" t="s">
        <v>18221</v>
      </c>
      <c r="W987" t="s">
        <v>18222</v>
      </c>
      <c r="X987" t="s">
        <v>18223</v>
      </c>
      <c r="Y987" t="s">
        <v>18224</v>
      </c>
      <c r="Z987" t="s">
        <v>18225</v>
      </c>
      <c r="AA987" t="s">
        <v>18226</v>
      </c>
      <c r="AB987" t="s">
        <v>18227</v>
      </c>
      <c r="AC987" t="s">
        <v>18228</v>
      </c>
      <c r="AD987" t="s">
        <v>18228</v>
      </c>
      <c r="AE987" t="s">
        <v>18229</v>
      </c>
      <c r="AF987" t="s">
        <v>74</v>
      </c>
      <c r="AG987">
        <v>37</v>
      </c>
      <c r="AH987">
        <v>19</v>
      </c>
      <c r="AI987">
        <v>19</v>
      </c>
      <c r="AJ987">
        <v>2</v>
      </c>
      <c r="AK987">
        <v>40</v>
      </c>
      <c r="AL987" t="s">
        <v>146</v>
      </c>
      <c r="AM987" t="s">
        <v>147</v>
      </c>
      <c r="AN987" t="s">
        <v>148</v>
      </c>
      <c r="AO987" t="s">
        <v>149</v>
      </c>
      <c r="AP987" t="s">
        <v>74</v>
      </c>
      <c r="AQ987" t="s">
        <v>74</v>
      </c>
      <c r="AR987" t="s">
        <v>134</v>
      </c>
      <c r="AS987" t="s">
        <v>150</v>
      </c>
      <c r="AT987" t="s">
        <v>18230</v>
      </c>
      <c r="AU987">
        <v>2012</v>
      </c>
      <c r="AV987">
        <v>7</v>
      </c>
      <c r="AW987">
        <v>5</v>
      </c>
      <c r="AX987" t="s">
        <v>74</v>
      </c>
      <c r="AY987" t="s">
        <v>74</v>
      </c>
      <c r="AZ987" t="s">
        <v>74</v>
      </c>
      <c r="BA987" t="s">
        <v>74</v>
      </c>
      <c r="BB987" t="s">
        <v>74</v>
      </c>
      <c r="BC987" t="s">
        <v>74</v>
      </c>
      <c r="BD987" t="s">
        <v>18231</v>
      </c>
      <c r="BE987" t="s">
        <v>18232</v>
      </c>
      <c r="BF987" t="str">
        <f>HYPERLINK("http://dx.doi.org/10.1371/journal.pone.0037228","http://dx.doi.org/10.1371/journal.pone.0037228")</f>
        <v>http://dx.doi.org/10.1371/journal.pone.0037228</v>
      </c>
      <c r="BG987" t="s">
        <v>74</v>
      </c>
      <c r="BH987" t="s">
        <v>74</v>
      </c>
      <c r="BI987">
        <v>7</v>
      </c>
      <c r="BJ987" t="s">
        <v>153</v>
      </c>
      <c r="BK987" t="s">
        <v>98</v>
      </c>
      <c r="BL987" t="s">
        <v>154</v>
      </c>
      <c r="BM987" t="s">
        <v>18233</v>
      </c>
      <c r="BN987">
        <v>22623998</v>
      </c>
      <c r="BO987" t="s">
        <v>13968</v>
      </c>
      <c r="BP987" t="s">
        <v>74</v>
      </c>
      <c r="BQ987" t="s">
        <v>74</v>
      </c>
      <c r="BR987" t="s">
        <v>101</v>
      </c>
      <c r="BS987" t="s">
        <v>18234</v>
      </c>
      <c r="BT987" t="str">
        <f>HYPERLINK("https%3A%2F%2Fwww.webofscience.com%2Fwos%2Fwoscc%2Ffull-record%2FWOS:000305343500080","View Full Record in Web of Science")</f>
        <v>View Full Record in Web of Science</v>
      </c>
    </row>
    <row r="988" spans="1:72" x14ac:dyDescent="0.15">
      <c r="A988" t="s">
        <v>72</v>
      </c>
      <c r="B988" t="s">
        <v>18235</v>
      </c>
      <c r="C988" t="s">
        <v>74</v>
      </c>
      <c r="D988" t="s">
        <v>74</v>
      </c>
      <c r="E988" t="s">
        <v>74</v>
      </c>
      <c r="F988" t="s">
        <v>18236</v>
      </c>
      <c r="G988" t="s">
        <v>74</v>
      </c>
      <c r="H988" t="s">
        <v>74</v>
      </c>
      <c r="I988" t="s">
        <v>18237</v>
      </c>
      <c r="J988" t="s">
        <v>77</v>
      </c>
      <c r="K988" t="s">
        <v>74</v>
      </c>
      <c r="L988" t="s">
        <v>74</v>
      </c>
      <c r="M988" t="s">
        <v>78</v>
      </c>
      <c r="N988" t="s">
        <v>974</v>
      </c>
      <c r="O988" t="s">
        <v>74</v>
      </c>
      <c r="P988" t="s">
        <v>74</v>
      </c>
      <c r="Q988" t="s">
        <v>74</v>
      </c>
      <c r="R988" t="s">
        <v>74</v>
      </c>
      <c r="S988" t="s">
        <v>74</v>
      </c>
      <c r="T988" t="s">
        <v>18238</v>
      </c>
      <c r="U988" t="s">
        <v>18239</v>
      </c>
      <c r="V988" t="s">
        <v>18240</v>
      </c>
      <c r="W988" t="s">
        <v>18241</v>
      </c>
      <c r="X988" t="s">
        <v>18242</v>
      </c>
      <c r="Y988" t="s">
        <v>18243</v>
      </c>
      <c r="Z988" t="s">
        <v>18244</v>
      </c>
      <c r="AA988" t="s">
        <v>18245</v>
      </c>
      <c r="AB988" t="s">
        <v>18246</v>
      </c>
      <c r="AC988" t="s">
        <v>18247</v>
      </c>
      <c r="AD988" t="s">
        <v>18248</v>
      </c>
      <c r="AE988" t="s">
        <v>18249</v>
      </c>
      <c r="AF988" t="s">
        <v>74</v>
      </c>
      <c r="AG988">
        <v>61</v>
      </c>
      <c r="AH988">
        <v>83</v>
      </c>
      <c r="AI988">
        <v>88</v>
      </c>
      <c r="AJ988">
        <v>2</v>
      </c>
      <c r="AK988">
        <v>64</v>
      </c>
      <c r="AL988" t="s">
        <v>89</v>
      </c>
      <c r="AM988" t="s">
        <v>90</v>
      </c>
      <c r="AN988" t="s">
        <v>91</v>
      </c>
      <c r="AO988" t="s">
        <v>92</v>
      </c>
      <c r="AP988" t="s">
        <v>74</v>
      </c>
      <c r="AQ988" t="s">
        <v>74</v>
      </c>
      <c r="AR988" t="s">
        <v>93</v>
      </c>
      <c r="AS988" t="s">
        <v>94</v>
      </c>
      <c r="AT988" t="s">
        <v>18230</v>
      </c>
      <c r="AU988">
        <v>2012</v>
      </c>
      <c r="AV988">
        <v>41</v>
      </c>
      <c r="AW988" t="s">
        <v>74</v>
      </c>
      <c r="AX988" t="s">
        <v>74</v>
      </c>
      <c r="AY988" t="s">
        <v>74</v>
      </c>
      <c r="AZ988" t="s">
        <v>74</v>
      </c>
      <c r="BA988" t="s">
        <v>74</v>
      </c>
      <c r="BB988">
        <v>1</v>
      </c>
      <c r="BC988">
        <v>21</v>
      </c>
      <c r="BD988" t="s">
        <v>74</v>
      </c>
      <c r="BE988" t="s">
        <v>18250</v>
      </c>
      <c r="BF988" t="str">
        <f>HYPERLINK("http://dx.doi.org/10.1016/j.quascirev.2012.02.002","http://dx.doi.org/10.1016/j.quascirev.2012.02.002")</f>
        <v>http://dx.doi.org/10.1016/j.quascirev.2012.02.002</v>
      </c>
      <c r="BG988" t="s">
        <v>74</v>
      </c>
      <c r="BH988" t="s">
        <v>74</v>
      </c>
      <c r="BI988">
        <v>21</v>
      </c>
      <c r="BJ988" t="s">
        <v>97</v>
      </c>
      <c r="BK988" t="s">
        <v>98</v>
      </c>
      <c r="BL988" t="s">
        <v>99</v>
      </c>
      <c r="BM988" t="s">
        <v>18251</v>
      </c>
      <c r="BN988" t="s">
        <v>74</v>
      </c>
      <c r="BO988" t="s">
        <v>74</v>
      </c>
      <c r="BP988" t="s">
        <v>74</v>
      </c>
      <c r="BQ988" t="s">
        <v>74</v>
      </c>
      <c r="BR988" t="s">
        <v>101</v>
      </c>
      <c r="BS988" t="s">
        <v>18252</v>
      </c>
      <c r="BT988" t="str">
        <f>HYPERLINK("https%3A%2F%2Fwww.webofscience.com%2Fwos%2Fwoscc%2Ffull-record%2FWOS:000304568400001","View Full Record in Web of Science")</f>
        <v>View Full Record in Web of Science</v>
      </c>
    </row>
    <row r="989" spans="1:72" x14ac:dyDescent="0.15">
      <c r="A989" t="s">
        <v>72</v>
      </c>
      <c r="B989" t="s">
        <v>18253</v>
      </c>
      <c r="C989" t="s">
        <v>74</v>
      </c>
      <c r="D989" t="s">
        <v>74</v>
      </c>
      <c r="E989" t="s">
        <v>74</v>
      </c>
      <c r="F989" t="s">
        <v>18254</v>
      </c>
      <c r="G989" t="s">
        <v>74</v>
      </c>
      <c r="H989" t="s">
        <v>74</v>
      </c>
      <c r="I989" t="s">
        <v>18255</v>
      </c>
      <c r="J989" t="s">
        <v>551</v>
      </c>
      <c r="K989" t="s">
        <v>74</v>
      </c>
      <c r="L989" t="s">
        <v>74</v>
      </c>
      <c r="M989" t="s">
        <v>78</v>
      </c>
      <c r="N989" t="s">
        <v>79</v>
      </c>
      <c r="O989" t="s">
        <v>74</v>
      </c>
      <c r="P989" t="s">
        <v>74</v>
      </c>
      <c r="Q989" t="s">
        <v>74</v>
      </c>
      <c r="R989" t="s">
        <v>74</v>
      </c>
      <c r="S989" t="s">
        <v>74</v>
      </c>
      <c r="T989" t="s">
        <v>74</v>
      </c>
      <c r="U989" t="s">
        <v>18256</v>
      </c>
      <c r="V989" t="s">
        <v>18257</v>
      </c>
      <c r="W989" t="s">
        <v>18258</v>
      </c>
      <c r="X989" t="s">
        <v>18259</v>
      </c>
      <c r="Y989" t="s">
        <v>18260</v>
      </c>
      <c r="Z989" t="s">
        <v>18261</v>
      </c>
      <c r="AA989" t="s">
        <v>18262</v>
      </c>
      <c r="AB989" t="s">
        <v>18263</v>
      </c>
      <c r="AC989" t="s">
        <v>18264</v>
      </c>
      <c r="AD989" t="s">
        <v>18265</v>
      </c>
      <c r="AE989" t="s">
        <v>18266</v>
      </c>
      <c r="AF989" t="s">
        <v>74</v>
      </c>
      <c r="AG989">
        <v>66</v>
      </c>
      <c r="AH989">
        <v>72</v>
      </c>
      <c r="AI989">
        <v>83</v>
      </c>
      <c r="AJ989">
        <v>1</v>
      </c>
      <c r="AK989">
        <v>49</v>
      </c>
      <c r="AL989" t="s">
        <v>118</v>
      </c>
      <c r="AM989" t="s">
        <v>119</v>
      </c>
      <c r="AN989" t="s">
        <v>120</v>
      </c>
      <c r="AO989" t="s">
        <v>563</v>
      </c>
      <c r="AP989" t="s">
        <v>564</v>
      </c>
      <c r="AQ989" t="s">
        <v>74</v>
      </c>
      <c r="AR989" t="s">
        <v>565</v>
      </c>
      <c r="AS989" t="s">
        <v>566</v>
      </c>
      <c r="AT989" t="s">
        <v>18267</v>
      </c>
      <c r="AU989">
        <v>2012</v>
      </c>
      <c r="AV989">
        <v>117</v>
      </c>
      <c r="AW989" t="s">
        <v>74</v>
      </c>
      <c r="AX989" t="s">
        <v>74</v>
      </c>
      <c r="AY989" t="s">
        <v>74</v>
      </c>
      <c r="AZ989" t="s">
        <v>74</v>
      </c>
      <c r="BA989" t="s">
        <v>74</v>
      </c>
      <c r="BB989" t="s">
        <v>74</v>
      </c>
      <c r="BC989" t="s">
        <v>74</v>
      </c>
      <c r="BD989" t="s">
        <v>18268</v>
      </c>
      <c r="BE989" t="s">
        <v>18269</v>
      </c>
      <c r="BF989" t="str">
        <f>HYPERLINK("http://dx.doi.org/10.1029/2011JF002126","http://dx.doi.org/10.1029/2011JF002126")</f>
        <v>http://dx.doi.org/10.1029/2011JF002126</v>
      </c>
      <c r="BG989" t="s">
        <v>74</v>
      </c>
      <c r="BH989" t="s">
        <v>74</v>
      </c>
      <c r="BI989">
        <v>15</v>
      </c>
      <c r="BJ989" t="s">
        <v>461</v>
      </c>
      <c r="BK989" t="s">
        <v>98</v>
      </c>
      <c r="BL989" t="s">
        <v>462</v>
      </c>
      <c r="BM989" t="s">
        <v>18270</v>
      </c>
      <c r="BN989" t="s">
        <v>74</v>
      </c>
      <c r="BO989" t="s">
        <v>1458</v>
      </c>
      <c r="BP989" t="s">
        <v>74</v>
      </c>
      <c r="BQ989" t="s">
        <v>74</v>
      </c>
      <c r="BR989" t="s">
        <v>101</v>
      </c>
      <c r="BS989" t="s">
        <v>18271</v>
      </c>
      <c r="BT989" t="str">
        <f>HYPERLINK("https%3A%2F%2Fwww.webofscience.com%2Fwos%2Fwoscc%2Ffull-record%2FWOS:000304264200001","View Full Record in Web of Science")</f>
        <v>View Full Record in Web of Science</v>
      </c>
    </row>
    <row r="990" spans="1:72" x14ac:dyDescent="0.15">
      <c r="A990" t="s">
        <v>72</v>
      </c>
      <c r="B990" t="s">
        <v>18272</v>
      </c>
      <c r="C990" t="s">
        <v>74</v>
      </c>
      <c r="D990" t="s">
        <v>74</v>
      </c>
      <c r="E990" t="s">
        <v>74</v>
      </c>
      <c r="F990" t="s">
        <v>18273</v>
      </c>
      <c r="G990" t="s">
        <v>74</v>
      </c>
      <c r="H990" t="s">
        <v>74</v>
      </c>
      <c r="I990" t="s">
        <v>18274</v>
      </c>
      <c r="J990" t="s">
        <v>3666</v>
      </c>
      <c r="K990" t="s">
        <v>74</v>
      </c>
      <c r="L990" t="s">
        <v>74</v>
      </c>
      <c r="M990" t="s">
        <v>78</v>
      </c>
      <c r="N990" t="s">
        <v>79</v>
      </c>
      <c r="O990" t="s">
        <v>74</v>
      </c>
      <c r="P990" t="s">
        <v>74</v>
      </c>
      <c r="Q990" t="s">
        <v>74</v>
      </c>
      <c r="R990" t="s">
        <v>74</v>
      </c>
      <c r="S990" t="s">
        <v>74</v>
      </c>
      <c r="T990" t="s">
        <v>74</v>
      </c>
      <c r="U990" t="s">
        <v>18275</v>
      </c>
      <c r="V990" t="s">
        <v>18276</v>
      </c>
      <c r="W990" t="s">
        <v>18277</v>
      </c>
      <c r="X990" t="s">
        <v>18278</v>
      </c>
      <c r="Y990" t="s">
        <v>18279</v>
      </c>
      <c r="Z990" t="s">
        <v>18280</v>
      </c>
      <c r="AA990" t="s">
        <v>18281</v>
      </c>
      <c r="AB990" t="s">
        <v>18282</v>
      </c>
      <c r="AC990" t="s">
        <v>18283</v>
      </c>
      <c r="AD990" t="s">
        <v>18284</v>
      </c>
      <c r="AE990" t="s">
        <v>18285</v>
      </c>
      <c r="AF990" t="s">
        <v>74</v>
      </c>
      <c r="AG990">
        <v>48</v>
      </c>
      <c r="AH990">
        <v>19</v>
      </c>
      <c r="AI990">
        <v>19</v>
      </c>
      <c r="AJ990">
        <v>0</v>
      </c>
      <c r="AK990">
        <v>13</v>
      </c>
      <c r="AL990" t="s">
        <v>118</v>
      </c>
      <c r="AM990" t="s">
        <v>119</v>
      </c>
      <c r="AN990" t="s">
        <v>120</v>
      </c>
      <c r="AO990" t="s">
        <v>3678</v>
      </c>
      <c r="AP990" t="s">
        <v>3679</v>
      </c>
      <c r="AQ990" t="s">
        <v>74</v>
      </c>
      <c r="AR990" t="s">
        <v>3680</v>
      </c>
      <c r="AS990" t="s">
        <v>3681</v>
      </c>
      <c r="AT990" t="s">
        <v>18267</v>
      </c>
      <c r="AU990">
        <v>2012</v>
      </c>
      <c r="AV990">
        <v>117</v>
      </c>
      <c r="AW990" t="s">
        <v>74</v>
      </c>
      <c r="AX990" t="s">
        <v>74</v>
      </c>
      <c r="AY990" t="s">
        <v>74</v>
      </c>
      <c r="AZ990" t="s">
        <v>74</v>
      </c>
      <c r="BA990" t="s">
        <v>74</v>
      </c>
      <c r="BB990" t="s">
        <v>74</v>
      </c>
      <c r="BC990" t="s">
        <v>74</v>
      </c>
      <c r="BD990" t="s">
        <v>18286</v>
      </c>
      <c r="BE990" t="s">
        <v>18287</v>
      </c>
      <c r="BF990" t="str">
        <f>HYPERLINK("http://dx.doi.org/10.1029/2011JC006966","http://dx.doi.org/10.1029/2011JC006966")</f>
        <v>http://dx.doi.org/10.1029/2011JC006966</v>
      </c>
      <c r="BG990" t="s">
        <v>74</v>
      </c>
      <c r="BH990" t="s">
        <v>74</v>
      </c>
      <c r="BI990">
        <v>19</v>
      </c>
      <c r="BJ990" t="s">
        <v>941</v>
      </c>
      <c r="BK990" t="s">
        <v>98</v>
      </c>
      <c r="BL990" t="s">
        <v>941</v>
      </c>
      <c r="BM990" t="s">
        <v>18288</v>
      </c>
      <c r="BN990" t="s">
        <v>74</v>
      </c>
      <c r="BO990" t="s">
        <v>607</v>
      </c>
      <c r="BP990" t="s">
        <v>74</v>
      </c>
      <c r="BQ990" t="s">
        <v>74</v>
      </c>
      <c r="BR990" t="s">
        <v>101</v>
      </c>
      <c r="BS990" t="s">
        <v>18289</v>
      </c>
      <c r="BT990" t="str">
        <f>HYPERLINK("https%3A%2F%2Fwww.webofscience.com%2Fwos%2Fwoscc%2Ffull-record%2FWOS:000304251000001","View Full Record in Web of Science")</f>
        <v>View Full Record in Web of Science</v>
      </c>
    </row>
    <row r="991" spans="1:72" x14ac:dyDescent="0.15">
      <c r="A991" t="s">
        <v>72</v>
      </c>
      <c r="B991" t="s">
        <v>18290</v>
      </c>
      <c r="C991" t="s">
        <v>74</v>
      </c>
      <c r="D991" t="s">
        <v>74</v>
      </c>
      <c r="E991" t="s">
        <v>74</v>
      </c>
      <c r="F991" t="s">
        <v>18291</v>
      </c>
      <c r="G991" t="s">
        <v>74</v>
      </c>
      <c r="H991" t="s">
        <v>74</v>
      </c>
      <c r="I991" t="s">
        <v>18292</v>
      </c>
      <c r="J991" t="s">
        <v>106</v>
      </c>
      <c r="K991" t="s">
        <v>74</v>
      </c>
      <c r="L991" t="s">
        <v>74</v>
      </c>
      <c r="M991" t="s">
        <v>78</v>
      </c>
      <c r="N991" t="s">
        <v>79</v>
      </c>
      <c r="O991" t="s">
        <v>74</v>
      </c>
      <c r="P991" t="s">
        <v>74</v>
      </c>
      <c r="Q991" t="s">
        <v>74</v>
      </c>
      <c r="R991" t="s">
        <v>74</v>
      </c>
      <c r="S991" t="s">
        <v>74</v>
      </c>
      <c r="T991" t="s">
        <v>74</v>
      </c>
      <c r="U991" t="s">
        <v>18293</v>
      </c>
      <c r="V991" t="s">
        <v>18294</v>
      </c>
      <c r="W991" t="s">
        <v>18295</v>
      </c>
      <c r="X991" t="s">
        <v>18296</v>
      </c>
      <c r="Y991" t="s">
        <v>18297</v>
      </c>
      <c r="Z991" t="s">
        <v>18298</v>
      </c>
      <c r="AA991" t="s">
        <v>18299</v>
      </c>
      <c r="AB991" t="s">
        <v>18300</v>
      </c>
      <c r="AC991" t="s">
        <v>18301</v>
      </c>
      <c r="AD991" t="s">
        <v>18302</v>
      </c>
      <c r="AE991" t="s">
        <v>18303</v>
      </c>
      <c r="AF991" t="s">
        <v>74</v>
      </c>
      <c r="AG991">
        <v>48</v>
      </c>
      <c r="AH991">
        <v>4</v>
      </c>
      <c r="AI991">
        <v>4</v>
      </c>
      <c r="AJ991">
        <v>0</v>
      </c>
      <c r="AK991">
        <v>3</v>
      </c>
      <c r="AL991" t="s">
        <v>118</v>
      </c>
      <c r="AM991" t="s">
        <v>119</v>
      </c>
      <c r="AN991" t="s">
        <v>120</v>
      </c>
      <c r="AO991" t="s">
        <v>121</v>
      </c>
      <c r="AP991" t="s">
        <v>122</v>
      </c>
      <c r="AQ991" t="s">
        <v>74</v>
      </c>
      <c r="AR991" t="s">
        <v>123</v>
      </c>
      <c r="AS991" t="s">
        <v>124</v>
      </c>
      <c r="AT991" t="s">
        <v>18267</v>
      </c>
      <c r="AU991">
        <v>2012</v>
      </c>
      <c r="AV991">
        <v>117</v>
      </c>
      <c r="AW991" t="s">
        <v>74</v>
      </c>
      <c r="AX991" t="s">
        <v>74</v>
      </c>
      <c r="AY991" t="s">
        <v>74</v>
      </c>
      <c r="AZ991" t="s">
        <v>74</v>
      </c>
      <c r="BA991" t="s">
        <v>74</v>
      </c>
      <c r="BB991" t="s">
        <v>74</v>
      </c>
      <c r="BC991" t="s">
        <v>74</v>
      </c>
      <c r="BD991" t="s">
        <v>18304</v>
      </c>
      <c r="BE991" t="s">
        <v>18305</v>
      </c>
      <c r="BF991" t="str">
        <f>HYPERLINK("http://dx.doi.org/10.1029/2011JA017363","http://dx.doi.org/10.1029/2011JA017363")</f>
        <v>http://dx.doi.org/10.1029/2011JA017363</v>
      </c>
      <c r="BG991" t="s">
        <v>74</v>
      </c>
      <c r="BH991" t="s">
        <v>74</v>
      </c>
      <c r="BI991">
        <v>14</v>
      </c>
      <c r="BJ991" t="s">
        <v>127</v>
      </c>
      <c r="BK991" t="s">
        <v>98</v>
      </c>
      <c r="BL991" t="s">
        <v>127</v>
      </c>
      <c r="BM991" t="s">
        <v>18306</v>
      </c>
      <c r="BN991" t="s">
        <v>74</v>
      </c>
      <c r="BO991" t="s">
        <v>129</v>
      </c>
      <c r="BP991" t="s">
        <v>74</v>
      </c>
      <c r="BQ991" t="s">
        <v>74</v>
      </c>
      <c r="BR991" t="s">
        <v>101</v>
      </c>
      <c r="BS991" t="s">
        <v>18307</v>
      </c>
      <c r="BT991" t="str">
        <f>HYPERLINK("https%3A%2F%2Fwww.webofscience.com%2Fwos%2Fwoscc%2Ffull-record%2FWOS:000304265200001","View Full Record in Web of Science")</f>
        <v>View Full Record in Web of Science</v>
      </c>
    </row>
    <row r="992" spans="1:72" x14ac:dyDescent="0.15">
      <c r="A992" t="s">
        <v>72</v>
      </c>
      <c r="B992" t="s">
        <v>18308</v>
      </c>
      <c r="C992" t="s">
        <v>74</v>
      </c>
      <c r="D992" t="s">
        <v>74</v>
      </c>
      <c r="E992" t="s">
        <v>74</v>
      </c>
      <c r="F992" t="s">
        <v>18309</v>
      </c>
      <c r="G992" t="s">
        <v>74</v>
      </c>
      <c r="H992" t="s">
        <v>74</v>
      </c>
      <c r="I992" t="s">
        <v>18310</v>
      </c>
      <c r="J992" t="s">
        <v>106</v>
      </c>
      <c r="K992" t="s">
        <v>74</v>
      </c>
      <c r="L992" t="s">
        <v>74</v>
      </c>
      <c r="M992" t="s">
        <v>78</v>
      </c>
      <c r="N992" t="s">
        <v>79</v>
      </c>
      <c r="O992" t="s">
        <v>74</v>
      </c>
      <c r="P992" t="s">
        <v>74</v>
      </c>
      <c r="Q992" t="s">
        <v>74</v>
      </c>
      <c r="R992" t="s">
        <v>74</v>
      </c>
      <c r="S992" t="s">
        <v>74</v>
      </c>
      <c r="T992" t="s">
        <v>74</v>
      </c>
      <c r="U992" t="s">
        <v>18311</v>
      </c>
      <c r="V992" t="s">
        <v>18312</v>
      </c>
      <c r="W992" t="s">
        <v>18313</v>
      </c>
      <c r="X992" t="s">
        <v>18314</v>
      </c>
      <c r="Y992" t="s">
        <v>18315</v>
      </c>
      <c r="Z992" t="s">
        <v>18316</v>
      </c>
      <c r="AA992" t="s">
        <v>18317</v>
      </c>
      <c r="AB992" t="s">
        <v>18318</v>
      </c>
      <c r="AC992" t="s">
        <v>18319</v>
      </c>
      <c r="AD992" t="s">
        <v>18320</v>
      </c>
      <c r="AE992" t="s">
        <v>18321</v>
      </c>
      <c r="AF992" t="s">
        <v>74</v>
      </c>
      <c r="AG992">
        <v>37</v>
      </c>
      <c r="AH992">
        <v>6</v>
      </c>
      <c r="AI992">
        <v>6</v>
      </c>
      <c r="AJ992">
        <v>1</v>
      </c>
      <c r="AK992">
        <v>8</v>
      </c>
      <c r="AL992" t="s">
        <v>118</v>
      </c>
      <c r="AM992" t="s">
        <v>119</v>
      </c>
      <c r="AN992" t="s">
        <v>120</v>
      </c>
      <c r="AO992" t="s">
        <v>121</v>
      </c>
      <c r="AP992" t="s">
        <v>122</v>
      </c>
      <c r="AQ992" t="s">
        <v>74</v>
      </c>
      <c r="AR992" t="s">
        <v>123</v>
      </c>
      <c r="AS992" t="s">
        <v>124</v>
      </c>
      <c r="AT992" t="s">
        <v>18267</v>
      </c>
      <c r="AU992">
        <v>2012</v>
      </c>
      <c r="AV992">
        <v>117</v>
      </c>
      <c r="AW992" t="s">
        <v>74</v>
      </c>
      <c r="AX992" t="s">
        <v>74</v>
      </c>
      <c r="AY992" t="s">
        <v>74</v>
      </c>
      <c r="AZ992" t="s">
        <v>74</v>
      </c>
      <c r="BA992" t="s">
        <v>74</v>
      </c>
      <c r="BB992" t="s">
        <v>74</v>
      </c>
      <c r="BC992" t="s">
        <v>74</v>
      </c>
      <c r="BD992" t="s">
        <v>18322</v>
      </c>
      <c r="BE992" t="s">
        <v>18323</v>
      </c>
      <c r="BF992" t="str">
        <f>HYPERLINK("http://dx.doi.org/10.1029/2011JA017422","http://dx.doi.org/10.1029/2011JA017422")</f>
        <v>http://dx.doi.org/10.1029/2011JA017422</v>
      </c>
      <c r="BG992" t="s">
        <v>74</v>
      </c>
      <c r="BH992" t="s">
        <v>74</v>
      </c>
      <c r="BI992">
        <v>14</v>
      </c>
      <c r="BJ992" t="s">
        <v>127</v>
      </c>
      <c r="BK992" t="s">
        <v>98</v>
      </c>
      <c r="BL992" t="s">
        <v>127</v>
      </c>
      <c r="BM992" t="s">
        <v>18306</v>
      </c>
      <c r="BN992" t="s">
        <v>74</v>
      </c>
      <c r="BO992" t="s">
        <v>464</v>
      </c>
      <c r="BP992" t="s">
        <v>74</v>
      </c>
      <c r="BQ992" t="s">
        <v>74</v>
      </c>
      <c r="BR992" t="s">
        <v>101</v>
      </c>
      <c r="BS992" t="s">
        <v>18324</v>
      </c>
      <c r="BT992" t="str">
        <f>HYPERLINK("https%3A%2F%2Fwww.webofscience.com%2Fwos%2Fwoscc%2Ffull-record%2FWOS:000304265200002","View Full Record in Web of Science")</f>
        <v>View Full Record in Web of Science</v>
      </c>
    </row>
    <row r="993" spans="1:72" x14ac:dyDescent="0.15">
      <c r="A993" t="s">
        <v>72</v>
      </c>
      <c r="B993" t="s">
        <v>18325</v>
      </c>
      <c r="C993" t="s">
        <v>74</v>
      </c>
      <c r="D993" t="s">
        <v>74</v>
      </c>
      <c r="E993" t="s">
        <v>74</v>
      </c>
      <c r="F993" t="s">
        <v>18326</v>
      </c>
      <c r="G993" t="s">
        <v>74</v>
      </c>
      <c r="H993" t="s">
        <v>74</v>
      </c>
      <c r="I993" t="s">
        <v>18327</v>
      </c>
      <c r="J993" t="s">
        <v>134</v>
      </c>
      <c r="K993" t="s">
        <v>74</v>
      </c>
      <c r="L993" t="s">
        <v>74</v>
      </c>
      <c r="M993" t="s">
        <v>78</v>
      </c>
      <c r="N993" t="s">
        <v>79</v>
      </c>
      <c r="O993" t="s">
        <v>74</v>
      </c>
      <c r="P993" t="s">
        <v>74</v>
      </c>
      <c r="Q993" t="s">
        <v>74</v>
      </c>
      <c r="R993" t="s">
        <v>74</v>
      </c>
      <c r="S993" t="s">
        <v>74</v>
      </c>
      <c r="T993" t="s">
        <v>74</v>
      </c>
      <c r="U993" t="s">
        <v>18328</v>
      </c>
      <c r="V993" t="s">
        <v>18329</v>
      </c>
      <c r="W993" t="s">
        <v>18330</v>
      </c>
      <c r="X993" t="s">
        <v>18331</v>
      </c>
      <c r="Y993" t="s">
        <v>18332</v>
      </c>
      <c r="Z993" t="s">
        <v>17137</v>
      </c>
      <c r="AA993" t="s">
        <v>18333</v>
      </c>
      <c r="AB993" t="s">
        <v>18334</v>
      </c>
      <c r="AC993" t="s">
        <v>18335</v>
      </c>
      <c r="AD993" t="s">
        <v>18335</v>
      </c>
      <c r="AE993" t="s">
        <v>18336</v>
      </c>
      <c r="AF993" t="s">
        <v>74</v>
      </c>
      <c r="AG993">
        <v>67</v>
      </c>
      <c r="AH993">
        <v>99</v>
      </c>
      <c r="AI993">
        <v>106</v>
      </c>
      <c r="AJ993">
        <v>0</v>
      </c>
      <c r="AK993">
        <v>106</v>
      </c>
      <c r="AL993" t="s">
        <v>146</v>
      </c>
      <c r="AM993" t="s">
        <v>147</v>
      </c>
      <c r="AN993" t="s">
        <v>148</v>
      </c>
      <c r="AO993" t="s">
        <v>149</v>
      </c>
      <c r="AP993" t="s">
        <v>74</v>
      </c>
      <c r="AQ993" t="s">
        <v>74</v>
      </c>
      <c r="AR993" t="s">
        <v>134</v>
      </c>
      <c r="AS993" t="s">
        <v>150</v>
      </c>
      <c r="AT993" t="s">
        <v>18337</v>
      </c>
      <c r="AU993">
        <v>2012</v>
      </c>
      <c r="AV993">
        <v>7</v>
      </c>
      <c r="AW993">
        <v>5</v>
      </c>
      <c r="AX993" t="s">
        <v>74</v>
      </c>
      <c r="AY993" t="s">
        <v>74</v>
      </c>
      <c r="AZ993">
        <v>1</v>
      </c>
      <c r="BA993" t="s">
        <v>74</v>
      </c>
      <c r="BB993" t="s">
        <v>74</v>
      </c>
      <c r="BC993" t="s">
        <v>74</v>
      </c>
      <c r="BD993" t="s">
        <v>18338</v>
      </c>
      <c r="BE993" t="s">
        <v>18339</v>
      </c>
      <c r="BF993" t="str">
        <f>HYPERLINK("http://dx.doi.org/10.1371/journal.pone.0036574","http://dx.doi.org/10.1371/journal.pone.0036574")</f>
        <v>http://dx.doi.org/10.1371/journal.pone.0036574</v>
      </c>
      <c r="BG993" t="s">
        <v>74</v>
      </c>
      <c r="BH993" t="s">
        <v>74</v>
      </c>
      <c r="BI993">
        <v>12</v>
      </c>
      <c r="BJ993" t="s">
        <v>153</v>
      </c>
      <c r="BK993" t="s">
        <v>98</v>
      </c>
      <c r="BL993" t="s">
        <v>154</v>
      </c>
      <c r="BM993" t="s">
        <v>18340</v>
      </c>
      <c r="BN993">
        <v>22615782</v>
      </c>
      <c r="BO993" t="s">
        <v>8940</v>
      </c>
      <c r="BP993" t="s">
        <v>74</v>
      </c>
      <c r="BQ993" t="s">
        <v>74</v>
      </c>
      <c r="BR993" t="s">
        <v>101</v>
      </c>
      <c r="BS993" t="s">
        <v>18341</v>
      </c>
      <c r="BT993" t="str">
        <f>HYPERLINK("https%3A%2F%2Fwww.webofscience.com%2Fwos%2Fwoscc%2Ffull-record%2FWOS:000305341300019","View Full Record in Web of Science")</f>
        <v>View Full Record in Web of Science</v>
      </c>
    </row>
    <row r="994" spans="1:72" x14ac:dyDescent="0.15">
      <c r="A994" t="s">
        <v>72</v>
      </c>
      <c r="B994" t="s">
        <v>18342</v>
      </c>
      <c r="C994" t="s">
        <v>74</v>
      </c>
      <c r="D994" t="s">
        <v>74</v>
      </c>
      <c r="E994" t="s">
        <v>74</v>
      </c>
      <c r="F994" t="s">
        <v>18343</v>
      </c>
      <c r="G994" t="s">
        <v>74</v>
      </c>
      <c r="H994" t="s">
        <v>74</v>
      </c>
      <c r="I994" t="s">
        <v>18344</v>
      </c>
      <c r="J994" t="s">
        <v>222</v>
      </c>
      <c r="K994" t="s">
        <v>74</v>
      </c>
      <c r="L994" t="s">
        <v>74</v>
      </c>
      <c r="M994" t="s">
        <v>78</v>
      </c>
      <c r="N994" t="s">
        <v>79</v>
      </c>
      <c r="O994" t="s">
        <v>74</v>
      </c>
      <c r="P994" t="s">
        <v>74</v>
      </c>
      <c r="Q994" t="s">
        <v>74</v>
      </c>
      <c r="R994" t="s">
        <v>74</v>
      </c>
      <c r="S994" t="s">
        <v>74</v>
      </c>
      <c r="T994" t="s">
        <v>18345</v>
      </c>
      <c r="U994" t="s">
        <v>18346</v>
      </c>
      <c r="V994" t="s">
        <v>18347</v>
      </c>
      <c r="W994" t="s">
        <v>18348</v>
      </c>
      <c r="X994" t="s">
        <v>18349</v>
      </c>
      <c r="Y994" t="s">
        <v>18350</v>
      </c>
      <c r="Z994" t="s">
        <v>18351</v>
      </c>
      <c r="AA994" t="s">
        <v>74</v>
      </c>
      <c r="AB994" t="s">
        <v>74</v>
      </c>
      <c r="AC994" t="s">
        <v>74</v>
      </c>
      <c r="AD994" t="s">
        <v>74</v>
      </c>
      <c r="AE994" t="s">
        <v>74</v>
      </c>
      <c r="AF994" t="s">
        <v>74</v>
      </c>
      <c r="AG994">
        <v>93</v>
      </c>
      <c r="AH994">
        <v>137</v>
      </c>
      <c r="AI994">
        <v>143</v>
      </c>
      <c r="AJ994">
        <v>0</v>
      </c>
      <c r="AK994">
        <v>38</v>
      </c>
      <c r="AL994" t="s">
        <v>188</v>
      </c>
      <c r="AM994" t="s">
        <v>189</v>
      </c>
      <c r="AN994" t="s">
        <v>190</v>
      </c>
      <c r="AO994" t="s">
        <v>235</v>
      </c>
      <c r="AP994" t="s">
        <v>236</v>
      </c>
      <c r="AQ994" t="s">
        <v>74</v>
      </c>
      <c r="AR994" t="s">
        <v>237</v>
      </c>
      <c r="AS994" t="s">
        <v>238</v>
      </c>
      <c r="AT994" t="s">
        <v>18352</v>
      </c>
      <c r="AU994">
        <v>2012</v>
      </c>
      <c r="AV994">
        <v>331</v>
      </c>
      <c r="AW994" t="s">
        <v>74</v>
      </c>
      <c r="AX994" t="s">
        <v>74</v>
      </c>
      <c r="AY994" t="s">
        <v>74</v>
      </c>
      <c r="AZ994" t="s">
        <v>74</v>
      </c>
      <c r="BA994" t="s">
        <v>74</v>
      </c>
      <c r="BB994">
        <v>152</v>
      </c>
      <c r="BC994">
        <v>163</v>
      </c>
      <c r="BD994" t="s">
        <v>74</v>
      </c>
      <c r="BE994" t="s">
        <v>18353</v>
      </c>
      <c r="BF994" t="str">
        <f>HYPERLINK("http://dx.doi.org/10.1016/j.epsl.2012.03.003","http://dx.doi.org/10.1016/j.epsl.2012.03.003")</f>
        <v>http://dx.doi.org/10.1016/j.epsl.2012.03.003</v>
      </c>
      <c r="BG994" t="s">
        <v>74</v>
      </c>
      <c r="BH994" t="s">
        <v>74</v>
      </c>
      <c r="BI994">
        <v>12</v>
      </c>
      <c r="BJ994" t="s">
        <v>241</v>
      </c>
      <c r="BK994" t="s">
        <v>98</v>
      </c>
      <c r="BL994" t="s">
        <v>241</v>
      </c>
      <c r="BM994" t="s">
        <v>18354</v>
      </c>
      <c r="BN994" t="s">
        <v>74</v>
      </c>
      <c r="BO994" t="s">
        <v>1499</v>
      </c>
      <c r="BP994" t="s">
        <v>74</v>
      </c>
      <c r="BQ994" t="s">
        <v>74</v>
      </c>
      <c r="BR994" t="s">
        <v>101</v>
      </c>
      <c r="BS994" t="s">
        <v>18355</v>
      </c>
      <c r="BT994" t="str">
        <f>HYPERLINK("https%3A%2F%2Fwww.webofscience.com%2Fwos%2Fwoscc%2Ffull-record%2FWOS:000306030500014","View Full Record in Web of Science")</f>
        <v>View Full Record in Web of Science</v>
      </c>
    </row>
    <row r="995" spans="1:72" x14ac:dyDescent="0.15">
      <c r="A995" t="s">
        <v>72</v>
      </c>
      <c r="B995" t="s">
        <v>18356</v>
      </c>
      <c r="C995" t="s">
        <v>74</v>
      </c>
      <c r="D995" t="s">
        <v>74</v>
      </c>
      <c r="E995" t="s">
        <v>74</v>
      </c>
      <c r="F995" t="s">
        <v>18357</v>
      </c>
      <c r="G995" t="s">
        <v>74</v>
      </c>
      <c r="H995" t="s">
        <v>74</v>
      </c>
      <c r="I995" t="s">
        <v>18358</v>
      </c>
      <c r="J995" t="s">
        <v>222</v>
      </c>
      <c r="K995" t="s">
        <v>74</v>
      </c>
      <c r="L995" t="s">
        <v>74</v>
      </c>
      <c r="M995" t="s">
        <v>78</v>
      </c>
      <c r="N995" t="s">
        <v>79</v>
      </c>
      <c r="O995" t="s">
        <v>74</v>
      </c>
      <c r="P995" t="s">
        <v>74</v>
      </c>
      <c r="Q995" t="s">
        <v>74</v>
      </c>
      <c r="R995" t="s">
        <v>74</v>
      </c>
      <c r="S995" t="s">
        <v>74</v>
      </c>
      <c r="T995" t="s">
        <v>18359</v>
      </c>
      <c r="U995" t="s">
        <v>18360</v>
      </c>
      <c r="V995" t="s">
        <v>18361</v>
      </c>
      <c r="W995" t="s">
        <v>18362</v>
      </c>
      <c r="X995" t="s">
        <v>18363</v>
      </c>
      <c r="Y995" t="s">
        <v>18364</v>
      </c>
      <c r="Z995" t="s">
        <v>18365</v>
      </c>
      <c r="AA995" t="s">
        <v>18366</v>
      </c>
      <c r="AB995" t="s">
        <v>18367</v>
      </c>
      <c r="AC995" t="s">
        <v>18368</v>
      </c>
      <c r="AD995" t="s">
        <v>18369</v>
      </c>
      <c r="AE995" t="s">
        <v>18370</v>
      </c>
      <c r="AF995" t="s">
        <v>74</v>
      </c>
      <c r="AG995">
        <v>54</v>
      </c>
      <c r="AH995">
        <v>54</v>
      </c>
      <c r="AI995">
        <v>64</v>
      </c>
      <c r="AJ995">
        <v>2</v>
      </c>
      <c r="AK995">
        <v>48</v>
      </c>
      <c r="AL995" t="s">
        <v>188</v>
      </c>
      <c r="AM995" t="s">
        <v>189</v>
      </c>
      <c r="AN995" t="s">
        <v>190</v>
      </c>
      <c r="AO995" t="s">
        <v>235</v>
      </c>
      <c r="AP995" t="s">
        <v>236</v>
      </c>
      <c r="AQ995" t="s">
        <v>74</v>
      </c>
      <c r="AR995" t="s">
        <v>237</v>
      </c>
      <c r="AS995" t="s">
        <v>238</v>
      </c>
      <c r="AT995" t="s">
        <v>18352</v>
      </c>
      <c r="AU995">
        <v>2012</v>
      </c>
      <c r="AV995">
        <v>331</v>
      </c>
      <c r="AW995" t="s">
        <v>74</v>
      </c>
      <c r="AX995" t="s">
        <v>74</v>
      </c>
      <c r="AY995" t="s">
        <v>74</v>
      </c>
      <c r="AZ995" t="s">
        <v>74</v>
      </c>
      <c r="BA995" t="s">
        <v>74</v>
      </c>
      <c r="BB995">
        <v>201</v>
      </c>
      <c r="BC995">
        <v>209</v>
      </c>
      <c r="BD995" t="s">
        <v>74</v>
      </c>
      <c r="BE995" t="s">
        <v>18371</v>
      </c>
      <c r="BF995" t="str">
        <f>HYPERLINK("http://dx.doi.org/10.1016/j.epsl.2012.02.023","http://dx.doi.org/10.1016/j.epsl.2012.02.023")</f>
        <v>http://dx.doi.org/10.1016/j.epsl.2012.02.023</v>
      </c>
      <c r="BG995" t="s">
        <v>74</v>
      </c>
      <c r="BH995" t="s">
        <v>74</v>
      </c>
      <c r="BI995">
        <v>9</v>
      </c>
      <c r="BJ995" t="s">
        <v>241</v>
      </c>
      <c r="BK995" t="s">
        <v>98</v>
      </c>
      <c r="BL995" t="s">
        <v>241</v>
      </c>
      <c r="BM995" t="s">
        <v>18354</v>
      </c>
      <c r="BN995" t="s">
        <v>74</v>
      </c>
      <c r="BO995" t="s">
        <v>74</v>
      </c>
      <c r="BP995" t="s">
        <v>74</v>
      </c>
      <c r="BQ995" t="s">
        <v>74</v>
      </c>
      <c r="BR995" t="s">
        <v>101</v>
      </c>
      <c r="BS995" t="s">
        <v>18372</v>
      </c>
      <c r="BT995" t="str">
        <f>HYPERLINK("https%3A%2F%2Fwww.webofscience.com%2Fwos%2Fwoscc%2Ffull-record%2FWOS:000306030500018","View Full Record in Web of Science")</f>
        <v>View Full Record in Web of Science</v>
      </c>
    </row>
    <row r="996" spans="1:72" x14ac:dyDescent="0.15">
      <c r="A996" t="s">
        <v>72</v>
      </c>
      <c r="B996" t="s">
        <v>18373</v>
      </c>
      <c r="C996" t="s">
        <v>74</v>
      </c>
      <c r="D996" t="s">
        <v>74</v>
      </c>
      <c r="E996" t="s">
        <v>74</v>
      </c>
      <c r="F996" t="s">
        <v>18374</v>
      </c>
      <c r="G996" t="s">
        <v>74</v>
      </c>
      <c r="H996" t="s">
        <v>74</v>
      </c>
      <c r="I996" t="s">
        <v>18375</v>
      </c>
      <c r="J996" t="s">
        <v>222</v>
      </c>
      <c r="K996" t="s">
        <v>74</v>
      </c>
      <c r="L996" t="s">
        <v>74</v>
      </c>
      <c r="M996" t="s">
        <v>78</v>
      </c>
      <c r="N996" t="s">
        <v>79</v>
      </c>
      <c r="O996" t="s">
        <v>74</v>
      </c>
      <c r="P996" t="s">
        <v>74</v>
      </c>
      <c r="Q996" t="s">
        <v>74</v>
      </c>
      <c r="R996" t="s">
        <v>74</v>
      </c>
      <c r="S996" t="s">
        <v>74</v>
      </c>
      <c r="T996" t="s">
        <v>18376</v>
      </c>
      <c r="U996" t="s">
        <v>18377</v>
      </c>
      <c r="V996" t="s">
        <v>18378</v>
      </c>
      <c r="W996" t="s">
        <v>18379</v>
      </c>
      <c r="X996" t="s">
        <v>18380</v>
      </c>
      <c r="Y996" t="s">
        <v>18381</v>
      </c>
      <c r="Z996" t="s">
        <v>18382</v>
      </c>
      <c r="AA996" t="s">
        <v>18383</v>
      </c>
      <c r="AB996" t="s">
        <v>18384</v>
      </c>
      <c r="AC996" t="s">
        <v>18385</v>
      </c>
      <c r="AD996" t="s">
        <v>18386</v>
      </c>
      <c r="AE996" t="s">
        <v>18387</v>
      </c>
      <c r="AF996" t="s">
        <v>74</v>
      </c>
      <c r="AG996">
        <v>39</v>
      </c>
      <c r="AH996">
        <v>63</v>
      </c>
      <c r="AI996">
        <v>74</v>
      </c>
      <c r="AJ996">
        <v>0</v>
      </c>
      <c r="AK996">
        <v>42</v>
      </c>
      <c r="AL996" t="s">
        <v>259</v>
      </c>
      <c r="AM996" t="s">
        <v>189</v>
      </c>
      <c r="AN996" t="s">
        <v>260</v>
      </c>
      <c r="AO996" t="s">
        <v>235</v>
      </c>
      <c r="AP996" t="s">
        <v>236</v>
      </c>
      <c r="AQ996" t="s">
        <v>74</v>
      </c>
      <c r="AR996" t="s">
        <v>237</v>
      </c>
      <c r="AS996" t="s">
        <v>238</v>
      </c>
      <c r="AT996" t="s">
        <v>18352</v>
      </c>
      <c r="AU996">
        <v>2012</v>
      </c>
      <c r="AV996">
        <v>331</v>
      </c>
      <c r="AW996" t="s">
        <v>74</v>
      </c>
      <c r="AX996" t="s">
        <v>74</v>
      </c>
      <c r="AY996" t="s">
        <v>74</v>
      </c>
      <c r="AZ996" t="s">
        <v>74</v>
      </c>
      <c r="BA996" t="s">
        <v>74</v>
      </c>
      <c r="BB996">
        <v>237</v>
      </c>
      <c r="BC996">
        <v>245</v>
      </c>
      <c r="BD996" t="s">
        <v>74</v>
      </c>
      <c r="BE996" t="s">
        <v>18388</v>
      </c>
      <c r="BF996" t="str">
        <f>HYPERLINK("http://dx.doi.org/10.1016/j.epsl.2012.03.013","http://dx.doi.org/10.1016/j.epsl.2012.03.013")</f>
        <v>http://dx.doi.org/10.1016/j.epsl.2012.03.013</v>
      </c>
      <c r="BG996" t="s">
        <v>74</v>
      </c>
      <c r="BH996" t="s">
        <v>74</v>
      </c>
      <c r="BI996">
        <v>9</v>
      </c>
      <c r="BJ996" t="s">
        <v>241</v>
      </c>
      <c r="BK996" t="s">
        <v>98</v>
      </c>
      <c r="BL996" t="s">
        <v>241</v>
      </c>
      <c r="BM996" t="s">
        <v>18354</v>
      </c>
      <c r="BN996" t="s">
        <v>74</v>
      </c>
      <c r="BO996" t="s">
        <v>74</v>
      </c>
      <c r="BP996" t="s">
        <v>74</v>
      </c>
      <c r="BQ996" t="s">
        <v>74</v>
      </c>
      <c r="BR996" t="s">
        <v>101</v>
      </c>
      <c r="BS996" t="s">
        <v>18389</v>
      </c>
      <c r="BT996" t="str">
        <f>HYPERLINK("https%3A%2F%2Fwww.webofscience.com%2Fwos%2Fwoscc%2Ffull-record%2FWOS:000306030500022","View Full Record in Web of Science")</f>
        <v>View Full Record in Web of Science</v>
      </c>
    </row>
    <row r="997" spans="1:72" x14ac:dyDescent="0.15">
      <c r="A997" t="s">
        <v>72</v>
      </c>
      <c r="B997" t="s">
        <v>18390</v>
      </c>
      <c r="C997" t="s">
        <v>74</v>
      </c>
      <c r="D997" t="s">
        <v>74</v>
      </c>
      <c r="E997" t="s">
        <v>74</v>
      </c>
      <c r="F997" t="s">
        <v>18391</v>
      </c>
      <c r="G997" t="s">
        <v>74</v>
      </c>
      <c r="H997" t="s">
        <v>74</v>
      </c>
      <c r="I997" t="s">
        <v>18392</v>
      </c>
      <c r="J997" t="s">
        <v>2580</v>
      </c>
      <c r="K997" t="s">
        <v>74</v>
      </c>
      <c r="L997" t="s">
        <v>74</v>
      </c>
      <c r="M997" t="s">
        <v>78</v>
      </c>
      <c r="N997" t="s">
        <v>79</v>
      </c>
      <c r="O997" t="s">
        <v>74</v>
      </c>
      <c r="P997" t="s">
        <v>74</v>
      </c>
      <c r="Q997" t="s">
        <v>74</v>
      </c>
      <c r="R997" t="s">
        <v>74</v>
      </c>
      <c r="S997" t="s">
        <v>74</v>
      </c>
      <c r="T997" t="s">
        <v>74</v>
      </c>
      <c r="U997" t="s">
        <v>18393</v>
      </c>
      <c r="V997" t="s">
        <v>18394</v>
      </c>
      <c r="W997" t="s">
        <v>18395</v>
      </c>
      <c r="X997" t="s">
        <v>9336</v>
      </c>
      <c r="Y997" t="s">
        <v>18396</v>
      </c>
      <c r="Z997" t="s">
        <v>18397</v>
      </c>
      <c r="AA997" t="s">
        <v>18398</v>
      </c>
      <c r="AB997" t="s">
        <v>9340</v>
      </c>
      <c r="AC997" t="s">
        <v>18399</v>
      </c>
      <c r="AD997" t="s">
        <v>18400</v>
      </c>
      <c r="AE997" t="s">
        <v>18401</v>
      </c>
      <c r="AF997" t="s">
        <v>74</v>
      </c>
      <c r="AG997">
        <v>56</v>
      </c>
      <c r="AH997">
        <v>49</v>
      </c>
      <c r="AI997">
        <v>51</v>
      </c>
      <c r="AJ997">
        <v>1</v>
      </c>
      <c r="AK997">
        <v>48</v>
      </c>
      <c r="AL997" t="s">
        <v>89</v>
      </c>
      <c r="AM997" t="s">
        <v>90</v>
      </c>
      <c r="AN997" t="s">
        <v>91</v>
      </c>
      <c r="AO997" t="s">
        <v>2592</v>
      </c>
      <c r="AP997" t="s">
        <v>2593</v>
      </c>
      <c r="AQ997" t="s">
        <v>74</v>
      </c>
      <c r="AR997" t="s">
        <v>2594</v>
      </c>
      <c r="AS997" t="s">
        <v>2595</v>
      </c>
      <c r="AT997" t="s">
        <v>18352</v>
      </c>
      <c r="AU997">
        <v>2012</v>
      </c>
      <c r="AV997">
        <v>85</v>
      </c>
      <c r="AW997" t="s">
        <v>74</v>
      </c>
      <c r="AX997" t="s">
        <v>74</v>
      </c>
      <c r="AY997" t="s">
        <v>74</v>
      </c>
      <c r="AZ997" t="s">
        <v>74</v>
      </c>
      <c r="BA997" t="s">
        <v>74</v>
      </c>
      <c r="BB997">
        <v>275</v>
      </c>
      <c r="BC997">
        <v>288</v>
      </c>
      <c r="BD997" t="s">
        <v>74</v>
      </c>
      <c r="BE997" t="s">
        <v>18402</v>
      </c>
      <c r="BF997" t="str">
        <f>HYPERLINK("http://dx.doi.org/10.1016/j.gca.2012.02.025","http://dx.doi.org/10.1016/j.gca.2012.02.025")</f>
        <v>http://dx.doi.org/10.1016/j.gca.2012.02.025</v>
      </c>
      <c r="BG997" t="s">
        <v>74</v>
      </c>
      <c r="BH997" t="s">
        <v>74</v>
      </c>
      <c r="BI997">
        <v>14</v>
      </c>
      <c r="BJ997" t="s">
        <v>241</v>
      </c>
      <c r="BK997" t="s">
        <v>98</v>
      </c>
      <c r="BL997" t="s">
        <v>241</v>
      </c>
      <c r="BM997" t="s">
        <v>18403</v>
      </c>
      <c r="BN997" t="s">
        <v>74</v>
      </c>
      <c r="BO997" t="s">
        <v>74</v>
      </c>
      <c r="BP997" t="s">
        <v>74</v>
      </c>
      <c r="BQ997" t="s">
        <v>74</v>
      </c>
      <c r="BR997" t="s">
        <v>101</v>
      </c>
      <c r="BS997" t="s">
        <v>18404</v>
      </c>
      <c r="BT997" t="str">
        <f>HYPERLINK("https%3A%2F%2Fwww.webofscience.com%2Fwos%2Fwoscc%2Ffull-record%2FWOS:000303107200016","View Full Record in Web of Science")</f>
        <v>View Full Record in Web of Science</v>
      </c>
    </row>
    <row r="998" spans="1:72" x14ac:dyDescent="0.15">
      <c r="A998" t="s">
        <v>72</v>
      </c>
      <c r="B998" t="s">
        <v>18405</v>
      </c>
      <c r="C998" t="s">
        <v>74</v>
      </c>
      <c r="D998" t="s">
        <v>74</v>
      </c>
      <c r="E998" t="s">
        <v>74</v>
      </c>
      <c r="F998" t="s">
        <v>18406</v>
      </c>
      <c r="G998" t="s">
        <v>74</v>
      </c>
      <c r="H998" t="s">
        <v>74</v>
      </c>
      <c r="I998" t="s">
        <v>18407</v>
      </c>
      <c r="J998" t="s">
        <v>3207</v>
      </c>
      <c r="K998" t="s">
        <v>74</v>
      </c>
      <c r="L998" t="s">
        <v>74</v>
      </c>
      <c r="M998" t="s">
        <v>78</v>
      </c>
      <c r="N998" t="s">
        <v>79</v>
      </c>
      <c r="O998" t="s">
        <v>74</v>
      </c>
      <c r="P998" t="s">
        <v>74</v>
      </c>
      <c r="Q998" t="s">
        <v>74</v>
      </c>
      <c r="R998" t="s">
        <v>74</v>
      </c>
      <c r="S998" t="s">
        <v>74</v>
      </c>
      <c r="T998" t="s">
        <v>74</v>
      </c>
      <c r="U998" t="s">
        <v>18408</v>
      </c>
      <c r="V998" t="s">
        <v>18409</v>
      </c>
      <c r="W998" t="s">
        <v>18410</v>
      </c>
      <c r="X998" t="s">
        <v>18411</v>
      </c>
      <c r="Y998" t="s">
        <v>18412</v>
      </c>
      <c r="Z998" t="s">
        <v>18413</v>
      </c>
      <c r="AA998" t="s">
        <v>18414</v>
      </c>
      <c r="AB998" t="s">
        <v>18415</v>
      </c>
      <c r="AC998" t="s">
        <v>18416</v>
      </c>
      <c r="AD998" t="s">
        <v>18417</v>
      </c>
      <c r="AE998" t="s">
        <v>18418</v>
      </c>
      <c r="AF998" t="s">
        <v>74</v>
      </c>
      <c r="AG998">
        <v>65</v>
      </c>
      <c r="AH998">
        <v>14</v>
      </c>
      <c r="AI998">
        <v>19</v>
      </c>
      <c r="AJ998">
        <v>0</v>
      </c>
      <c r="AK998">
        <v>22</v>
      </c>
      <c r="AL998" t="s">
        <v>118</v>
      </c>
      <c r="AM998" t="s">
        <v>119</v>
      </c>
      <c r="AN998" t="s">
        <v>120</v>
      </c>
      <c r="AO998" t="s">
        <v>3219</v>
      </c>
      <c r="AP998" t="s">
        <v>74</v>
      </c>
      <c r="AQ998" t="s">
        <v>74</v>
      </c>
      <c r="AR998" t="s">
        <v>3221</v>
      </c>
      <c r="AS998" t="s">
        <v>3222</v>
      </c>
      <c r="AT998" t="s">
        <v>18352</v>
      </c>
      <c r="AU998">
        <v>2012</v>
      </c>
      <c r="AV998">
        <v>117</v>
      </c>
      <c r="AW998" t="s">
        <v>74</v>
      </c>
      <c r="AX998" t="s">
        <v>74</v>
      </c>
      <c r="AY998" t="s">
        <v>74</v>
      </c>
      <c r="AZ998" t="s">
        <v>74</v>
      </c>
      <c r="BA998" t="s">
        <v>74</v>
      </c>
      <c r="BB998" t="s">
        <v>74</v>
      </c>
      <c r="BC998" t="s">
        <v>74</v>
      </c>
      <c r="BD998" t="s">
        <v>18419</v>
      </c>
      <c r="BE998" t="s">
        <v>18420</v>
      </c>
      <c r="BF998" t="str">
        <f>HYPERLINK("http://dx.doi.org/10.1029/2011JD016441","http://dx.doi.org/10.1029/2011JD016441")</f>
        <v>http://dx.doi.org/10.1029/2011JD016441</v>
      </c>
      <c r="BG998" t="s">
        <v>74</v>
      </c>
      <c r="BH998" t="s">
        <v>74</v>
      </c>
      <c r="BI998">
        <v>20</v>
      </c>
      <c r="BJ998" t="s">
        <v>378</v>
      </c>
      <c r="BK998" t="s">
        <v>98</v>
      </c>
      <c r="BL998" t="s">
        <v>378</v>
      </c>
      <c r="BM998" t="s">
        <v>18421</v>
      </c>
      <c r="BN998" t="s">
        <v>74</v>
      </c>
      <c r="BO998" t="s">
        <v>607</v>
      </c>
      <c r="BP998" t="s">
        <v>74</v>
      </c>
      <c r="BQ998" t="s">
        <v>74</v>
      </c>
      <c r="BR998" t="s">
        <v>101</v>
      </c>
      <c r="BS998" t="s">
        <v>18422</v>
      </c>
      <c r="BT998" t="str">
        <f>HYPERLINK("https%3A%2F%2Fwww.webofscience.com%2Fwos%2Fwoscc%2Ffull-record%2FWOS:000304259700001","View Full Record in Web of Science")</f>
        <v>View Full Record in Web of Science</v>
      </c>
    </row>
    <row r="999" spans="1:72" x14ac:dyDescent="0.15">
      <c r="A999" t="s">
        <v>72</v>
      </c>
      <c r="B999" t="s">
        <v>18423</v>
      </c>
      <c r="C999" t="s">
        <v>74</v>
      </c>
      <c r="D999" t="s">
        <v>74</v>
      </c>
      <c r="E999" t="s">
        <v>74</v>
      </c>
      <c r="F999" t="s">
        <v>18424</v>
      </c>
      <c r="G999" t="s">
        <v>74</v>
      </c>
      <c r="H999" t="s">
        <v>74</v>
      </c>
      <c r="I999" t="s">
        <v>18425</v>
      </c>
      <c r="J999" t="s">
        <v>947</v>
      </c>
      <c r="K999" t="s">
        <v>74</v>
      </c>
      <c r="L999" t="s">
        <v>74</v>
      </c>
      <c r="M999" t="s">
        <v>78</v>
      </c>
      <c r="N999" t="s">
        <v>79</v>
      </c>
      <c r="O999" t="s">
        <v>74</v>
      </c>
      <c r="P999" t="s">
        <v>74</v>
      </c>
      <c r="Q999" t="s">
        <v>74</v>
      </c>
      <c r="R999" t="s">
        <v>74</v>
      </c>
      <c r="S999" t="s">
        <v>74</v>
      </c>
      <c r="T999" t="s">
        <v>18426</v>
      </c>
      <c r="U999" t="s">
        <v>18427</v>
      </c>
      <c r="V999" t="s">
        <v>18428</v>
      </c>
      <c r="W999" t="s">
        <v>18429</v>
      </c>
      <c r="X999" t="s">
        <v>18430</v>
      </c>
      <c r="Y999" t="s">
        <v>18431</v>
      </c>
      <c r="Z999" t="s">
        <v>18432</v>
      </c>
      <c r="AA999" t="s">
        <v>74</v>
      </c>
      <c r="AB999" t="s">
        <v>18433</v>
      </c>
      <c r="AC999" t="s">
        <v>18434</v>
      </c>
      <c r="AD999" t="s">
        <v>18435</v>
      </c>
      <c r="AE999" t="s">
        <v>18436</v>
      </c>
      <c r="AF999" t="s">
        <v>74</v>
      </c>
      <c r="AG999">
        <v>91</v>
      </c>
      <c r="AH999">
        <v>36</v>
      </c>
      <c r="AI999">
        <v>38</v>
      </c>
      <c r="AJ999">
        <v>3</v>
      </c>
      <c r="AK999">
        <v>41</v>
      </c>
      <c r="AL999" t="s">
        <v>188</v>
      </c>
      <c r="AM999" t="s">
        <v>189</v>
      </c>
      <c r="AN999" t="s">
        <v>190</v>
      </c>
      <c r="AO999" t="s">
        <v>960</v>
      </c>
      <c r="AP999" t="s">
        <v>961</v>
      </c>
      <c r="AQ999" t="s">
        <v>74</v>
      </c>
      <c r="AR999" t="s">
        <v>962</v>
      </c>
      <c r="AS999" t="s">
        <v>963</v>
      </c>
      <c r="AT999" t="s">
        <v>18352</v>
      </c>
      <c r="AU999">
        <v>2012</v>
      </c>
      <c r="AV999">
        <v>311</v>
      </c>
      <c r="AW999" t="s">
        <v>74</v>
      </c>
      <c r="AX999" t="s">
        <v>74</v>
      </c>
      <c r="AY999" t="s">
        <v>74</v>
      </c>
      <c r="AZ999" t="s">
        <v>74</v>
      </c>
      <c r="BA999" t="s">
        <v>74</v>
      </c>
      <c r="BB999">
        <v>1</v>
      </c>
      <c r="BC999">
        <v>16</v>
      </c>
      <c r="BD999" t="s">
        <v>74</v>
      </c>
      <c r="BE999" t="s">
        <v>18437</v>
      </c>
      <c r="BF999" t="str">
        <f>HYPERLINK("http://dx.doi.org/10.1016/j.margeo.2012.04.006","http://dx.doi.org/10.1016/j.margeo.2012.04.006")</f>
        <v>http://dx.doi.org/10.1016/j.margeo.2012.04.006</v>
      </c>
      <c r="BG999" t="s">
        <v>74</v>
      </c>
      <c r="BH999" t="s">
        <v>74</v>
      </c>
      <c r="BI999">
        <v>16</v>
      </c>
      <c r="BJ999" t="s">
        <v>966</v>
      </c>
      <c r="BK999" t="s">
        <v>98</v>
      </c>
      <c r="BL999" t="s">
        <v>967</v>
      </c>
      <c r="BM999" t="s">
        <v>18438</v>
      </c>
      <c r="BN999" t="s">
        <v>74</v>
      </c>
      <c r="BO999" t="s">
        <v>74</v>
      </c>
      <c r="BP999" t="s">
        <v>74</v>
      </c>
      <c r="BQ999" t="s">
        <v>74</v>
      </c>
      <c r="BR999" t="s">
        <v>101</v>
      </c>
      <c r="BS999" t="s">
        <v>18439</v>
      </c>
      <c r="BT999" t="str">
        <f>HYPERLINK("https%3A%2F%2Fwww.webofscience.com%2Fwos%2Fwoscc%2Ffull-record%2FWOS:000306035200001","View Full Record in Web of Science")</f>
        <v>View Full Record in Web of Science</v>
      </c>
    </row>
    <row r="1000" spans="1:72" x14ac:dyDescent="0.15">
      <c r="A1000" t="s">
        <v>72</v>
      </c>
      <c r="B1000" t="s">
        <v>18440</v>
      </c>
      <c r="C1000" t="s">
        <v>74</v>
      </c>
      <c r="D1000" t="s">
        <v>74</v>
      </c>
      <c r="E1000" t="s">
        <v>74</v>
      </c>
      <c r="F1000" t="s">
        <v>18441</v>
      </c>
      <c r="G1000" t="s">
        <v>74</v>
      </c>
      <c r="H1000" t="s">
        <v>74</v>
      </c>
      <c r="I1000" t="s">
        <v>18442</v>
      </c>
      <c r="J1000" t="s">
        <v>539</v>
      </c>
      <c r="K1000" t="s">
        <v>74</v>
      </c>
      <c r="L1000" t="s">
        <v>74</v>
      </c>
      <c r="M1000" t="s">
        <v>78</v>
      </c>
      <c r="N1000" t="s">
        <v>79</v>
      </c>
      <c r="O1000" t="s">
        <v>74</v>
      </c>
      <c r="P1000" t="s">
        <v>74</v>
      </c>
      <c r="Q1000" t="s">
        <v>74</v>
      </c>
      <c r="R1000" t="s">
        <v>74</v>
      </c>
      <c r="S1000" t="s">
        <v>74</v>
      </c>
      <c r="T1000" t="s">
        <v>74</v>
      </c>
      <c r="U1000" t="s">
        <v>18443</v>
      </c>
      <c r="V1000" t="s">
        <v>18444</v>
      </c>
      <c r="W1000" t="s">
        <v>18445</v>
      </c>
      <c r="X1000" t="s">
        <v>18446</v>
      </c>
      <c r="Y1000" t="s">
        <v>18447</v>
      </c>
      <c r="Z1000" t="s">
        <v>18448</v>
      </c>
      <c r="AA1000" t="s">
        <v>18449</v>
      </c>
      <c r="AB1000" t="s">
        <v>18450</v>
      </c>
      <c r="AC1000" t="s">
        <v>18451</v>
      </c>
      <c r="AD1000" t="s">
        <v>18452</v>
      </c>
      <c r="AE1000" t="s">
        <v>18453</v>
      </c>
      <c r="AF1000" t="s">
        <v>74</v>
      </c>
      <c r="AG1000">
        <v>35</v>
      </c>
      <c r="AH1000">
        <v>287</v>
      </c>
      <c r="AI1000">
        <v>308</v>
      </c>
      <c r="AJ1000">
        <v>2</v>
      </c>
      <c r="AK1000">
        <v>205</v>
      </c>
      <c r="AL1000" t="s">
        <v>541</v>
      </c>
      <c r="AM1000" t="s">
        <v>119</v>
      </c>
      <c r="AN1000" t="s">
        <v>542</v>
      </c>
      <c r="AO1000" t="s">
        <v>543</v>
      </c>
      <c r="AP1000" t="s">
        <v>10073</v>
      </c>
      <c r="AQ1000" t="s">
        <v>74</v>
      </c>
      <c r="AR1000" t="s">
        <v>539</v>
      </c>
      <c r="AS1000" t="s">
        <v>544</v>
      </c>
      <c r="AT1000" t="s">
        <v>18454</v>
      </c>
      <c r="AU1000">
        <v>2012</v>
      </c>
      <c r="AV1000">
        <v>336</v>
      </c>
      <c r="AW1000">
        <v>6082</v>
      </c>
      <c r="AX1000" t="s">
        <v>74</v>
      </c>
      <c r="AY1000" t="s">
        <v>74</v>
      </c>
      <c r="AZ1000" t="s">
        <v>74</v>
      </c>
      <c r="BA1000" t="s">
        <v>74</v>
      </c>
      <c r="BB1000">
        <v>711</v>
      </c>
      <c r="BC1000">
        <v>714</v>
      </c>
      <c r="BD1000" t="s">
        <v>74</v>
      </c>
      <c r="BE1000" t="s">
        <v>18455</v>
      </c>
      <c r="BF1000" t="str">
        <f>HYPERLINK("http://dx.doi.org/10.1126/science.1217161","http://dx.doi.org/10.1126/science.1217161")</f>
        <v>http://dx.doi.org/10.1126/science.1217161</v>
      </c>
      <c r="BG1000" t="s">
        <v>74</v>
      </c>
      <c r="BH1000" t="s">
        <v>74</v>
      </c>
      <c r="BI1000">
        <v>4</v>
      </c>
      <c r="BJ1000" t="s">
        <v>153</v>
      </c>
      <c r="BK1000" t="s">
        <v>98</v>
      </c>
      <c r="BL1000" t="s">
        <v>154</v>
      </c>
      <c r="BM1000" t="s">
        <v>18456</v>
      </c>
      <c r="BN1000">
        <v>22461496</v>
      </c>
      <c r="BO1000" t="s">
        <v>1287</v>
      </c>
      <c r="BP1000" t="s">
        <v>74</v>
      </c>
      <c r="BQ1000" t="s">
        <v>74</v>
      </c>
      <c r="BR1000" t="s">
        <v>101</v>
      </c>
      <c r="BS1000" t="s">
        <v>18457</v>
      </c>
      <c r="BT1000" t="str">
        <f>HYPERLINK("https%3A%2F%2Fwww.webofscience.com%2Fwos%2Fwoscc%2Ffull-record%2FWOS:000303872300047","View Full Record in Web of Science")</f>
        <v>View Full Record in Web of Science</v>
      </c>
    </row>
    <row r="1001" spans="1:72" x14ac:dyDescent="0.15">
      <c r="A1001" t="s">
        <v>72</v>
      </c>
      <c r="B1001" t="s">
        <v>18458</v>
      </c>
      <c r="C1001" t="s">
        <v>74</v>
      </c>
      <c r="D1001" t="s">
        <v>74</v>
      </c>
      <c r="E1001" t="s">
        <v>74</v>
      </c>
      <c r="F1001" t="s">
        <v>18459</v>
      </c>
      <c r="G1001" t="s">
        <v>74</v>
      </c>
      <c r="H1001" t="s">
        <v>74</v>
      </c>
      <c r="I1001" t="s">
        <v>18460</v>
      </c>
      <c r="J1001" t="s">
        <v>18461</v>
      </c>
      <c r="K1001" t="s">
        <v>74</v>
      </c>
      <c r="L1001" t="s">
        <v>74</v>
      </c>
      <c r="M1001" t="s">
        <v>78</v>
      </c>
      <c r="N1001" t="s">
        <v>79</v>
      </c>
      <c r="O1001" t="s">
        <v>74</v>
      </c>
      <c r="P1001" t="s">
        <v>74</v>
      </c>
      <c r="Q1001" t="s">
        <v>74</v>
      </c>
      <c r="R1001" t="s">
        <v>74</v>
      </c>
      <c r="S1001" t="s">
        <v>74</v>
      </c>
      <c r="T1001" t="s">
        <v>74</v>
      </c>
      <c r="U1001" t="s">
        <v>18462</v>
      </c>
      <c r="V1001" t="s">
        <v>18463</v>
      </c>
      <c r="W1001" t="s">
        <v>18464</v>
      </c>
      <c r="X1001" t="s">
        <v>18465</v>
      </c>
      <c r="Y1001" t="s">
        <v>18466</v>
      </c>
      <c r="Z1001" t="s">
        <v>18467</v>
      </c>
      <c r="AA1001" t="s">
        <v>18468</v>
      </c>
      <c r="AB1001" t="s">
        <v>74</v>
      </c>
      <c r="AC1001" t="s">
        <v>18469</v>
      </c>
      <c r="AD1001" t="s">
        <v>18470</v>
      </c>
      <c r="AE1001" t="s">
        <v>18471</v>
      </c>
      <c r="AF1001" t="s">
        <v>74</v>
      </c>
      <c r="AG1001">
        <v>50</v>
      </c>
      <c r="AH1001">
        <v>44</v>
      </c>
      <c r="AI1001">
        <v>44</v>
      </c>
      <c r="AJ1001">
        <v>0</v>
      </c>
      <c r="AK1001">
        <v>12</v>
      </c>
      <c r="AL1001" t="s">
        <v>118</v>
      </c>
      <c r="AM1001" t="s">
        <v>119</v>
      </c>
      <c r="AN1001" t="s">
        <v>120</v>
      </c>
      <c r="AO1001" t="s">
        <v>18472</v>
      </c>
      <c r="AP1001" t="s">
        <v>18473</v>
      </c>
      <c r="AQ1001" t="s">
        <v>74</v>
      </c>
      <c r="AR1001" t="s">
        <v>18474</v>
      </c>
      <c r="AS1001" t="s">
        <v>18475</v>
      </c>
      <c r="AT1001" t="s">
        <v>18454</v>
      </c>
      <c r="AU1001">
        <v>2012</v>
      </c>
      <c r="AV1001">
        <v>117</v>
      </c>
      <c r="AW1001" t="s">
        <v>74</v>
      </c>
      <c r="AX1001" t="s">
        <v>74</v>
      </c>
      <c r="AY1001" t="s">
        <v>74</v>
      </c>
      <c r="AZ1001" t="s">
        <v>74</v>
      </c>
      <c r="BA1001" t="s">
        <v>74</v>
      </c>
      <c r="BB1001" t="s">
        <v>74</v>
      </c>
      <c r="BC1001" t="s">
        <v>74</v>
      </c>
      <c r="BD1001" t="s">
        <v>18476</v>
      </c>
      <c r="BE1001" t="s">
        <v>18477</v>
      </c>
      <c r="BF1001" t="str">
        <f>HYPERLINK("http://dx.doi.org/10.1029/2011JB008878","http://dx.doi.org/10.1029/2011JB008878")</f>
        <v>http://dx.doi.org/10.1029/2011JB008878</v>
      </c>
      <c r="BG1001" t="s">
        <v>74</v>
      </c>
      <c r="BH1001" t="s">
        <v>74</v>
      </c>
      <c r="BI1001">
        <v>16</v>
      </c>
      <c r="BJ1001" t="s">
        <v>241</v>
      </c>
      <c r="BK1001" t="s">
        <v>98</v>
      </c>
      <c r="BL1001" t="s">
        <v>241</v>
      </c>
      <c r="BM1001" t="s">
        <v>18478</v>
      </c>
      <c r="BN1001" t="s">
        <v>74</v>
      </c>
      <c r="BO1001" t="s">
        <v>607</v>
      </c>
      <c r="BP1001" t="s">
        <v>74</v>
      </c>
      <c r="BQ1001" t="s">
        <v>74</v>
      </c>
      <c r="BR1001" t="s">
        <v>101</v>
      </c>
      <c r="BS1001" t="s">
        <v>18479</v>
      </c>
      <c r="BT1001" t="str">
        <f>HYPERLINK("https%3A%2F%2Fwww.webofscience.com%2Fwos%2Fwoscc%2Ffull-record%2FWOS:000304011900003","View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2024-07-28T15:24:13Z</dcterms:created>
  <dcterms:modified xsi:type="dcterms:W3CDTF">2024-07-28T15:24:13Z</dcterms:modified>
</cp:coreProperties>
</file>